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OPIA JOSE LUNA DURAN\JOSE_LUNA\AÑO 2021\DR. FELIX  2021\INFORMES  MENSUALES  2021\DICIEMBRE 2021\"/>
    </mc:Choice>
  </mc:AlternateContent>
  <bookViews>
    <workbookView xWindow="75" yWindow="600" windowWidth="12465" windowHeight="4590" tabRatio="839"/>
  </bookViews>
  <sheets>
    <sheet name="DICIEMBRE  2021" sheetId="454" r:id="rId1"/>
    <sheet name="ADICIONES  2021" sheetId="5" r:id="rId2"/>
    <sheet name="EJECUTIVO DICIEMBRE  2021 " sheetId="457" r:id="rId3"/>
    <sheet name="RESERVA  DICIEMBRE DTO  83" sheetId="456" r:id="rId4"/>
  </sheets>
  <externalReferences>
    <externalReference r:id="rId5"/>
    <externalReference r:id="rId6"/>
  </externalReferences>
  <definedNames>
    <definedName name="_xlnm._FilterDatabase" localSheetId="0" hidden="1">'DICIEMBRE  2021'!$A$9:$AC$9</definedName>
    <definedName name="_xlnm._FilterDatabase" localSheetId="2" hidden="1">'EJECUTIVO DICIEMBRE  2021 '!$A$9:$AC$1138</definedName>
    <definedName name="_xlnm._FilterDatabase" localSheetId="3" hidden="1">'RESERVA  DICIEMBRE DTO  83'!$A$121:$AA$170</definedName>
    <definedName name="AGRICULTURA" localSheetId="0">[1]!AGRICULTURA</definedName>
    <definedName name="AGRICULTURA" localSheetId="2">[1]!AGRICULTURA</definedName>
    <definedName name="AGRICULTURA" localSheetId="3">[1]!AGRICULTURA</definedName>
    <definedName name="AGRICULTURA">[1]!AGRICULTURA</definedName>
    <definedName name="Apreciado" localSheetId="0">#REF!</definedName>
    <definedName name="Apreciado" localSheetId="2">#REF!</definedName>
    <definedName name="Apreciado" localSheetId="3">#REF!</definedName>
    <definedName name="Apreciado">#REF!</definedName>
    <definedName name="Ciud" localSheetId="0">#REF!</definedName>
    <definedName name="Ciud" localSheetId="2">#REF!</definedName>
    <definedName name="Ciud" localSheetId="3">#REF!</definedName>
    <definedName name="Ciud">#REF!</definedName>
    <definedName name="ConFin" localSheetId="0">#REF!</definedName>
    <definedName name="ConFin" localSheetId="2">#REF!</definedName>
    <definedName name="ConFin" localSheetId="3">#REF!</definedName>
    <definedName name="ConFin">#REF!</definedName>
    <definedName name="ConFin1" localSheetId="0">#REF!</definedName>
    <definedName name="ConFin1" localSheetId="2">#REF!</definedName>
    <definedName name="ConFin1" localSheetId="3">#REF!</definedName>
    <definedName name="ConFin1">#REF!</definedName>
    <definedName name="CUANTIA" localSheetId="0">#REF!</definedName>
    <definedName name="CUANTIA" localSheetId="2">#REF!</definedName>
    <definedName name="CUANTIA" localSheetId="3">#REF!</definedName>
    <definedName name="CUANTIA">#REF!</definedName>
    <definedName name="CUANTIA1" localSheetId="0">#REF!</definedName>
    <definedName name="CUANTIA1" localSheetId="2">#REF!</definedName>
    <definedName name="CUANTIA1" localSheetId="3">#REF!</definedName>
    <definedName name="CUANTIA1">#REF!</definedName>
    <definedName name="DESTINO" localSheetId="0">#REF!</definedName>
    <definedName name="DESTINO" localSheetId="2">#REF!</definedName>
    <definedName name="DESTINO" localSheetId="3">#REF!</definedName>
    <definedName name="DESTINO">#REF!</definedName>
    <definedName name="DESTINO1" localSheetId="0">#REF!</definedName>
    <definedName name="DESTINO1" localSheetId="2">#REF!</definedName>
    <definedName name="DESTINO1" localSheetId="3">#REF!</definedName>
    <definedName name="DESTINO1">#REF!</definedName>
    <definedName name="Doctor" localSheetId="0">#REF!</definedName>
    <definedName name="Doctor" localSheetId="2">#REF!</definedName>
    <definedName name="Doctor" localSheetId="3">#REF!</definedName>
    <definedName name="Doctor">#REF!</definedName>
    <definedName name="Doctora" localSheetId="0">#REF!</definedName>
    <definedName name="Doctora" localSheetId="2">#REF!</definedName>
    <definedName name="Doctora" localSheetId="3">#REF!</definedName>
    <definedName name="Doctora">#REF!</definedName>
    <definedName name="FechaActa" localSheetId="0">#REF!</definedName>
    <definedName name="FechaActa" localSheetId="2">#REF!</definedName>
    <definedName name="FechaActa" localSheetId="3">#REF!</definedName>
    <definedName name="FechaActa">#REF!</definedName>
    <definedName name="FELIX" localSheetId="0">[1]!FELIX</definedName>
    <definedName name="FELIX" localSheetId="2">[1]!FELIX</definedName>
    <definedName name="FELIX" localSheetId="3">[1]!FELIX</definedName>
    <definedName name="FELIX">[1]!FELIX</definedName>
    <definedName name="GARANTIA" localSheetId="0">#REF!</definedName>
    <definedName name="GARANTIA" localSheetId="2">#REF!</definedName>
    <definedName name="GARANTIA" localSheetId="3">#REF!</definedName>
    <definedName name="GARANTIA">#REF!</definedName>
    <definedName name="INGRES" localSheetId="0">[1]!INGRES</definedName>
    <definedName name="INGRES" localSheetId="2">[1]!INGRES</definedName>
    <definedName name="INGRES" localSheetId="3">[1]!INGRES</definedName>
    <definedName name="INGRES">[1]!INGRES</definedName>
    <definedName name="INICIALES" localSheetId="0">#REF!</definedName>
    <definedName name="INICIALES" localSheetId="2">#REF!</definedName>
    <definedName name="INICIALES" localSheetId="3">#REF!</definedName>
    <definedName name="INICIALES">#REF!</definedName>
    <definedName name="JOSE" localSheetId="0">#REF!</definedName>
    <definedName name="JOSE" localSheetId="2">#REF!</definedName>
    <definedName name="JOSE" localSheetId="3">#REF!</definedName>
    <definedName name="JOSE">#REF!</definedName>
    <definedName name="MargFin" localSheetId="0">#REF!</definedName>
    <definedName name="MargFin" localSheetId="2">#REF!</definedName>
    <definedName name="MargFin" localSheetId="3">#REF!</definedName>
    <definedName name="MargFin">#REF!</definedName>
    <definedName name="MarGtias" localSheetId="0">#REF!</definedName>
    <definedName name="MarGtias" localSheetId="2">#REF!</definedName>
    <definedName name="MarGtias" localSheetId="3">#REF!</definedName>
    <definedName name="MarGtias">#REF!</definedName>
    <definedName name="MaxResFut" localSheetId="0">#REF!</definedName>
    <definedName name="MaxResFut" localSheetId="2">#REF!</definedName>
    <definedName name="MaxResFut" localSheetId="3">#REF!</definedName>
    <definedName name="MaxResFut">#REF!</definedName>
    <definedName name="MENSAJE" localSheetId="0">[1]!MENSAJE</definedName>
    <definedName name="MENSAJE" localSheetId="2">[1]!MENSAJE</definedName>
    <definedName name="MENSAJE" localSheetId="3">[1]!MENSAJE</definedName>
    <definedName name="MENSAJE">[1]!MENSAJE</definedName>
    <definedName name="MENSAJE2" localSheetId="0">[1]!MENSAJE2</definedName>
    <definedName name="MENSAJE2" localSheetId="2">[1]!MENSAJE2</definedName>
    <definedName name="MENSAJE2" localSheetId="3">[1]!MENSAJE2</definedName>
    <definedName name="MENSAJE2">[1]!MENSAJE2</definedName>
    <definedName name="MENSAJE3" localSheetId="0">[1]!MENSAJE3</definedName>
    <definedName name="MENSAJE3" localSheetId="2">[1]!MENSAJE3</definedName>
    <definedName name="MENSAJE3" localSheetId="3">[1]!MENSAJE3</definedName>
    <definedName name="MENSAJE3">[1]!MENSAJE3</definedName>
    <definedName name="MODALIDAD" localSheetId="0">#REF!</definedName>
    <definedName name="MODALIDAD" localSheetId="2">#REF!</definedName>
    <definedName name="MODALIDAD" localSheetId="3">#REF!</definedName>
    <definedName name="MODALIDAD">#REF!</definedName>
    <definedName name="MODALIDAD1" localSheetId="0">#REF!</definedName>
    <definedName name="MODALIDAD1" localSheetId="2">#REF!</definedName>
    <definedName name="MODALIDAD1" localSheetId="3">#REF!</definedName>
    <definedName name="MODALIDAD1">#REF!</definedName>
    <definedName name="NoActa" localSheetId="0">#REF!</definedName>
    <definedName name="NoActa" localSheetId="2">#REF!</definedName>
    <definedName name="NoActa" localSheetId="3">#REF!</definedName>
    <definedName name="NoActa">#REF!</definedName>
    <definedName name="NOMBRE">[2]DECIS!$F$3</definedName>
    <definedName name="Oficina" localSheetId="0">#REF!</definedName>
    <definedName name="Oficina" localSheetId="2">#REF!</definedName>
    <definedName name="Oficina" localSheetId="3">#REF!</definedName>
    <definedName name="Oficina">#REF!</definedName>
    <definedName name="OLE_LINK1" localSheetId="0">'DICIEMBRE  2021'!#REF!</definedName>
    <definedName name="OLE_LINK1" localSheetId="2">'EJECUTIVO DICIEMBRE  2021 '!#REF!</definedName>
    <definedName name="OLE_LINK1" localSheetId="3">'RESERVA  DICIEMBRE DTO  83'!#REF!</definedName>
    <definedName name="OrgDeAprobacion" localSheetId="0">#REF!</definedName>
    <definedName name="OrgDeAprobacion" localSheetId="2">#REF!</definedName>
    <definedName name="OrgDeAprobacion" localSheetId="3">#REF!</definedName>
    <definedName name="OrgDeAprobacion">#REF!</definedName>
    <definedName name="PAGO2" localSheetId="0">#REF!</definedName>
    <definedName name="PAGO2" localSheetId="2">#REF!</definedName>
    <definedName name="PAGO2" localSheetId="3">#REF!</definedName>
    <definedName name="PAGO2">#REF!</definedName>
    <definedName name="pg_tmp_ejecucion_ingresos_mayores" localSheetId="0">#REF!</definedName>
    <definedName name="pg_tmp_ejecucion_ingresos_mayores" localSheetId="2">#REF!</definedName>
    <definedName name="pg_tmp_ejecucion_ingresos_mayores" localSheetId="3">#REF!</definedName>
    <definedName name="pg_tmp_ejecucion_ingresos_mayores">#REF!</definedName>
    <definedName name="PROYECCIONES" localSheetId="0">#REF!</definedName>
    <definedName name="PROYECCIONES" localSheetId="2">#REF!</definedName>
    <definedName name="PROYECCIONES" localSheetId="3">#REF!</definedName>
    <definedName name="PROYECCIONES">#REF!</definedName>
    <definedName name="REFERENCIA" localSheetId="0">#REF!</definedName>
    <definedName name="REFERENCIA" localSheetId="2">#REF!</definedName>
    <definedName name="REFERENCIA" localSheetId="3">#REF!</definedName>
    <definedName name="REFERENCIA">#REF!</definedName>
    <definedName name="Reg" localSheetId="0">#REF!</definedName>
    <definedName name="Reg" localSheetId="2">#REF!</definedName>
    <definedName name="Reg" localSheetId="3">#REF!</definedName>
    <definedName name="Reg">#REF!</definedName>
    <definedName name="Regional" localSheetId="0">#REF!</definedName>
    <definedName name="Regional" localSheetId="2">#REF!</definedName>
    <definedName name="Regional" localSheetId="3">#REF!</definedName>
    <definedName name="Regional">#REF!</definedName>
    <definedName name="RINFBAS" localSheetId="0">#REF!</definedName>
    <definedName name="RINFBAS" localSheetId="2">#REF!</definedName>
    <definedName name="RINFBAS" localSheetId="3">#REF!</definedName>
    <definedName name="RINFBAS">#REF!</definedName>
    <definedName name="SUPUESTO1" localSheetId="0">#REF!</definedName>
    <definedName name="SUPUESTO1" localSheetId="2">#REF!</definedName>
    <definedName name="SUPUESTO1" localSheetId="3">#REF!</definedName>
    <definedName name="SUPUESTO1">#REF!</definedName>
    <definedName name="SUPUESTO2" localSheetId="0">#REF!</definedName>
    <definedName name="SUPUESTO2" localSheetId="2">#REF!</definedName>
    <definedName name="SUPUESTO2" localSheetId="3">#REF!</definedName>
    <definedName name="SUPUESTO2">#REF!</definedName>
    <definedName name="SUPUESTOS" localSheetId="0">#REF!</definedName>
    <definedName name="SUPUESTOS" localSheetId="2">#REF!</definedName>
    <definedName name="SUPUESTOS" localSheetId="3">#REF!</definedName>
    <definedName name="SUPUESTOS">#REF!</definedName>
    <definedName name="_xlnm.Print_Titles" localSheetId="0">'DICIEMBRE  2021'!$C:$C,'DICIEMBRE  2021'!$1:$10</definedName>
    <definedName name="_xlnm.Print_Titles" localSheetId="2">'EJECUTIVO DICIEMBRE  2021 '!$C:$C,'EJECUTIVO DICIEMBRE  2021 '!$1:$10</definedName>
    <definedName name="_xlnm.Print_Titles" localSheetId="3">'RESERVA  DICIEMBRE DTO  83'!$A:$A,'RESERVA  DICIEMBRE DTO  83'!$1:$3</definedName>
    <definedName name="VIGENCIA" localSheetId="0">#REF!</definedName>
    <definedName name="VIGENCIA" localSheetId="2">#REF!</definedName>
    <definedName name="VIGENCIA" localSheetId="3">#REF!</definedName>
    <definedName name="VIGENCIA">#REF!</definedName>
    <definedName name="VIGENCIA1" localSheetId="0">#REF!</definedName>
    <definedName name="VIGENCIA1" localSheetId="2">#REF!</definedName>
    <definedName name="VIGENCIA1" localSheetId="3">#REF!</definedName>
    <definedName name="VIGENCIA1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45" i="457" l="1"/>
  <c r="E1135" i="457"/>
  <c r="AA1134" i="457"/>
  <c r="R1134" i="457"/>
  <c r="E1134" i="457"/>
  <c r="K1134" i="457" s="1"/>
  <c r="AA1133" i="457"/>
  <c r="R1133" i="457"/>
  <c r="K1133" i="457"/>
  <c r="E1133" i="457"/>
  <c r="Z1132" i="457"/>
  <c r="Y1132" i="457"/>
  <c r="X1132" i="457"/>
  <c r="W1132" i="457"/>
  <c r="V1132" i="457"/>
  <c r="U1132" i="457"/>
  <c r="T1132" i="457"/>
  <c r="S1132" i="457"/>
  <c r="Q1132" i="457"/>
  <c r="P1132" i="457"/>
  <c r="O1132" i="457"/>
  <c r="N1132" i="457"/>
  <c r="M1132" i="457"/>
  <c r="L1132" i="457"/>
  <c r="J1132" i="457"/>
  <c r="I1132" i="457"/>
  <c r="H1132" i="457"/>
  <c r="G1132" i="457"/>
  <c r="F1132" i="457"/>
  <c r="E1132" i="457"/>
  <c r="D1132" i="457"/>
  <c r="AA1131" i="457"/>
  <c r="R1131" i="457"/>
  <c r="K1131" i="457"/>
  <c r="E1131" i="457"/>
  <c r="AA1130" i="457"/>
  <c r="R1130" i="457"/>
  <c r="E1130" i="457"/>
  <c r="K1130" i="457" s="1"/>
  <c r="AA1129" i="457"/>
  <c r="R1129" i="457"/>
  <c r="K1129" i="457"/>
  <c r="E1129" i="457"/>
  <c r="AA1128" i="457"/>
  <c r="R1128" i="457"/>
  <c r="E1128" i="457"/>
  <c r="K1128" i="457" s="1"/>
  <c r="Z1127" i="457"/>
  <c r="Z1125" i="457" s="1"/>
  <c r="Y1127" i="457"/>
  <c r="Y1125" i="457" s="1"/>
  <c r="X1127" i="457"/>
  <c r="X1125" i="457" s="1"/>
  <c r="W1127" i="457"/>
  <c r="W1125" i="457" s="1"/>
  <c r="V1127" i="457"/>
  <c r="V1125" i="457" s="1"/>
  <c r="U1127" i="457"/>
  <c r="U1125" i="457" s="1"/>
  <c r="T1127" i="457"/>
  <c r="T1125" i="457" s="1"/>
  <c r="S1127" i="457"/>
  <c r="S1125" i="457" s="1"/>
  <c r="Q1127" i="457"/>
  <c r="Q1125" i="457" s="1"/>
  <c r="P1127" i="457"/>
  <c r="P1125" i="457" s="1"/>
  <c r="O1127" i="457"/>
  <c r="O1125" i="457" s="1"/>
  <c r="N1127" i="457"/>
  <c r="N1125" i="457" s="1"/>
  <c r="M1127" i="457"/>
  <c r="M1125" i="457" s="1"/>
  <c r="L1127" i="457"/>
  <c r="L1125" i="457" s="1"/>
  <c r="J1127" i="457"/>
  <c r="J1125" i="457" s="1"/>
  <c r="I1127" i="457"/>
  <c r="I1125" i="457" s="1"/>
  <c r="H1127" i="457"/>
  <c r="H1125" i="457" s="1"/>
  <c r="G1127" i="457"/>
  <c r="F1127" i="457"/>
  <c r="F1125" i="457" s="1"/>
  <c r="E1127" i="457"/>
  <c r="D1127" i="457"/>
  <c r="D1125" i="457" s="1"/>
  <c r="AA1126" i="457"/>
  <c r="R1126" i="457"/>
  <c r="E1126" i="457"/>
  <c r="K1126" i="457" s="1"/>
  <c r="G1125" i="457"/>
  <c r="E1125" i="457"/>
  <c r="AA1124" i="457"/>
  <c r="R1124" i="457"/>
  <c r="E1124" i="457"/>
  <c r="K1124" i="457" s="1"/>
  <c r="Z1123" i="457"/>
  <c r="Z1122" i="457" s="1"/>
  <c r="Z1121" i="457" s="1"/>
  <c r="Y1123" i="457"/>
  <c r="Y1122" i="457" s="1"/>
  <c r="Y1121" i="457" s="1"/>
  <c r="X1123" i="457"/>
  <c r="X1122" i="457" s="1"/>
  <c r="X1121" i="457" s="1"/>
  <c r="W1123" i="457"/>
  <c r="W1122" i="457" s="1"/>
  <c r="W1121" i="457" s="1"/>
  <c r="V1123" i="457"/>
  <c r="V1122" i="457" s="1"/>
  <c r="V1121" i="457" s="1"/>
  <c r="U1123" i="457"/>
  <c r="U1122" i="457" s="1"/>
  <c r="U1121" i="457" s="1"/>
  <c r="T1123" i="457"/>
  <c r="T1122" i="457" s="1"/>
  <c r="T1121" i="457" s="1"/>
  <c r="S1123" i="457"/>
  <c r="S1122" i="457" s="1"/>
  <c r="Q1123" i="457"/>
  <c r="Q1122" i="457" s="1"/>
  <c r="Q1121" i="457" s="1"/>
  <c r="P1123" i="457"/>
  <c r="P1122" i="457" s="1"/>
  <c r="P1121" i="457" s="1"/>
  <c r="O1123" i="457"/>
  <c r="N1123" i="457"/>
  <c r="M1123" i="457"/>
  <c r="L1123" i="457"/>
  <c r="L1122" i="457" s="1"/>
  <c r="L1121" i="457" s="1"/>
  <c r="J1123" i="457"/>
  <c r="J1122" i="457" s="1"/>
  <c r="J1121" i="457" s="1"/>
  <c r="I1123" i="457"/>
  <c r="I1122" i="457" s="1"/>
  <c r="I1121" i="457" s="1"/>
  <c r="H1123" i="457"/>
  <c r="H1122" i="457" s="1"/>
  <c r="H1121" i="457" s="1"/>
  <c r="G1123" i="457"/>
  <c r="G1122" i="457" s="1"/>
  <c r="G1121" i="457" s="1"/>
  <c r="F1123" i="457"/>
  <c r="F1122" i="457" s="1"/>
  <c r="F1121" i="457" s="1"/>
  <c r="E1123" i="457"/>
  <c r="D1123" i="457"/>
  <c r="D1122" i="457" s="1"/>
  <c r="O1122" i="457"/>
  <c r="O1121" i="457" s="1"/>
  <c r="N1122" i="457"/>
  <c r="N1121" i="457" s="1"/>
  <c r="E1122" i="457"/>
  <c r="E1121" i="457"/>
  <c r="E1120" i="457"/>
  <c r="AA1119" i="457"/>
  <c r="R1119" i="457"/>
  <c r="K1119" i="457"/>
  <c r="E1119" i="457"/>
  <c r="Z1118" i="457"/>
  <c r="Z1116" i="457" s="1"/>
  <c r="Z1115" i="457" s="1"/>
  <c r="Z1114" i="457" s="1"/>
  <c r="Z1113" i="457" s="1"/>
  <c r="Z1112" i="457" s="1"/>
  <c r="Y1118" i="457"/>
  <c r="Y1116" i="457" s="1"/>
  <c r="Y1115" i="457" s="1"/>
  <c r="Y1114" i="457" s="1"/>
  <c r="Y1113" i="457" s="1"/>
  <c r="Y1112" i="457" s="1"/>
  <c r="X1118" i="457"/>
  <c r="X1116" i="457" s="1"/>
  <c r="X1115" i="457" s="1"/>
  <c r="X1114" i="457" s="1"/>
  <c r="X1113" i="457" s="1"/>
  <c r="X1112" i="457" s="1"/>
  <c r="W1118" i="457"/>
  <c r="W1116" i="457" s="1"/>
  <c r="W1115" i="457" s="1"/>
  <c r="W1114" i="457" s="1"/>
  <c r="W1113" i="457" s="1"/>
  <c r="W1112" i="457" s="1"/>
  <c r="V1118" i="457"/>
  <c r="V1116" i="457" s="1"/>
  <c r="V1115" i="457" s="1"/>
  <c r="V1114" i="457" s="1"/>
  <c r="V1113" i="457" s="1"/>
  <c r="V1112" i="457" s="1"/>
  <c r="U1118" i="457"/>
  <c r="U1116" i="457" s="1"/>
  <c r="U1115" i="457" s="1"/>
  <c r="U1114" i="457" s="1"/>
  <c r="U1113" i="457" s="1"/>
  <c r="U1112" i="457" s="1"/>
  <c r="T1118" i="457"/>
  <c r="T1116" i="457" s="1"/>
  <c r="T1115" i="457" s="1"/>
  <c r="T1114" i="457" s="1"/>
  <c r="T1113" i="457" s="1"/>
  <c r="T1112" i="457" s="1"/>
  <c r="S1118" i="457"/>
  <c r="S1116" i="457" s="1"/>
  <c r="S1115" i="457" s="1"/>
  <c r="Q1118" i="457"/>
  <c r="P1118" i="457"/>
  <c r="P1116" i="457" s="1"/>
  <c r="P1115" i="457" s="1"/>
  <c r="P1114" i="457" s="1"/>
  <c r="P1113" i="457" s="1"/>
  <c r="P1112" i="457" s="1"/>
  <c r="N1118" i="457"/>
  <c r="N1116" i="457" s="1"/>
  <c r="M1118" i="457"/>
  <c r="M1116" i="457" s="1"/>
  <c r="M1115" i="457" s="1"/>
  <c r="M1114" i="457" s="1"/>
  <c r="M1113" i="457" s="1"/>
  <c r="M1112" i="457" s="1"/>
  <c r="L1118" i="457"/>
  <c r="L1116" i="457" s="1"/>
  <c r="L1115" i="457" s="1"/>
  <c r="J1118" i="457"/>
  <c r="J1116" i="457" s="1"/>
  <c r="J1115" i="457" s="1"/>
  <c r="J1114" i="457" s="1"/>
  <c r="J1113" i="457" s="1"/>
  <c r="J1112" i="457" s="1"/>
  <c r="I1118" i="457"/>
  <c r="I1116" i="457" s="1"/>
  <c r="I1115" i="457" s="1"/>
  <c r="I1114" i="457" s="1"/>
  <c r="I1113" i="457" s="1"/>
  <c r="I1112" i="457" s="1"/>
  <c r="H1118" i="457"/>
  <c r="H1116" i="457" s="1"/>
  <c r="H1115" i="457" s="1"/>
  <c r="H1114" i="457" s="1"/>
  <c r="H1113" i="457" s="1"/>
  <c r="H1112" i="457" s="1"/>
  <c r="G1118" i="457"/>
  <c r="G1116" i="457" s="1"/>
  <c r="G1115" i="457" s="1"/>
  <c r="G1114" i="457" s="1"/>
  <c r="G1113" i="457" s="1"/>
  <c r="G1112" i="457" s="1"/>
  <c r="F1118" i="457"/>
  <c r="E1118" i="457"/>
  <c r="D1118" i="457"/>
  <c r="D1116" i="457" s="1"/>
  <c r="D1115" i="457" s="1"/>
  <c r="D1114" i="457" s="1"/>
  <c r="D1113" i="457" s="1"/>
  <c r="D1112" i="457" s="1"/>
  <c r="AA1117" i="457"/>
  <c r="R1117" i="457"/>
  <c r="E1117" i="457"/>
  <c r="K1117" i="457" s="1"/>
  <c r="Q1116" i="457"/>
  <c r="Q1115" i="457" s="1"/>
  <c r="Q1114" i="457" s="1"/>
  <c r="Q1113" i="457" s="1"/>
  <c r="Q1112" i="457" s="1"/>
  <c r="O1116" i="457"/>
  <c r="O1115" i="457" s="1"/>
  <c r="O1114" i="457" s="1"/>
  <c r="O1113" i="457" s="1"/>
  <c r="O1112" i="457" s="1"/>
  <c r="E1116" i="457"/>
  <c r="E1115" i="457"/>
  <c r="E1114" i="457"/>
  <c r="E1113" i="457"/>
  <c r="E1112" i="457"/>
  <c r="E1111" i="457"/>
  <c r="Z1108" i="457"/>
  <c r="Y1108" i="457"/>
  <c r="X1108" i="457"/>
  <c r="W1108" i="457"/>
  <c r="V1108" i="457"/>
  <c r="U1108" i="457"/>
  <c r="T1108" i="457"/>
  <c r="S1108" i="457"/>
  <c r="Q1108" i="457"/>
  <c r="P1108" i="457"/>
  <c r="O1108" i="457"/>
  <c r="N1108" i="457"/>
  <c r="M1108" i="457"/>
  <c r="L1108" i="457"/>
  <c r="J1108" i="457"/>
  <c r="I1108" i="457"/>
  <c r="H1108" i="457"/>
  <c r="G1108" i="457"/>
  <c r="F1108" i="457"/>
  <c r="D1108" i="457"/>
  <c r="AA1107" i="457"/>
  <c r="AA1108" i="457" s="1"/>
  <c r="R1107" i="457"/>
  <c r="K1107" i="457"/>
  <c r="K1108" i="457" s="1"/>
  <c r="E1107" i="457"/>
  <c r="E1108" i="457" s="1"/>
  <c r="AA1103" i="457"/>
  <c r="R1103" i="457"/>
  <c r="K1103" i="457"/>
  <c r="E1103" i="457"/>
  <c r="AA1102" i="457"/>
  <c r="R1102" i="457"/>
  <c r="E1102" i="457"/>
  <c r="K1102" i="457" s="1"/>
  <c r="AA1101" i="457"/>
  <c r="R1101" i="457"/>
  <c r="K1101" i="457"/>
  <c r="E1101" i="457"/>
  <c r="AA1100" i="457"/>
  <c r="R1100" i="457"/>
  <c r="E1100" i="457"/>
  <c r="K1100" i="457" s="1"/>
  <c r="AA1099" i="457"/>
  <c r="R1099" i="457"/>
  <c r="K1099" i="457"/>
  <c r="E1099" i="457"/>
  <c r="AA1098" i="457"/>
  <c r="R1098" i="457"/>
  <c r="E1098" i="457"/>
  <c r="K1098" i="457" s="1"/>
  <c r="AA1097" i="457"/>
  <c r="R1097" i="457"/>
  <c r="K1097" i="457"/>
  <c r="E1097" i="457"/>
  <c r="AA1096" i="457"/>
  <c r="R1096" i="457"/>
  <c r="E1096" i="457"/>
  <c r="K1096" i="457" s="1"/>
  <c r="AA1095" i="457"/>
  <c r="R1095" i="457"/>
  <c r="K1095" i="457"/>
  <c r="E1095" i="457"/>
  <c r="AA1094" i="457"/>
  <c r="R1094" i="457"/>
  <c r="E1094" i="457"/>
  <c r="K1094" i="457" s="1"/>
  <c r="AA1093" i="457"/>
  <c r="R1093" i="457"/>
  <c r="K1093" i="457"/>
  <c r="E1093" i="457"/>
  <c r="AA1092" i="457"/>
  <c r="R1092" i="457"/>
  <c r="E1092" i="457"/>
  <c r="K1092" i="457" s="1"/>
  <c r="AA1091" i="457"/>
  <c r="R1091" i="457"/>
  <c r="K1091" i="457"/>
  <c r="E1091" i="457"/>
  <c r="AA1090" i="457"/>
  <c r="R1090" i="457"/>
  <c r="E1090" i="457"/>
  <c r="K1090" i="457" s="1"/>
  <c r="AA1089" i="457"/>
  <c r="R1089" i="457"/>
  <c r="K1089" i="457"/>
  <c r="E1089" i="457"/>
  <c r="AA1088" i="457"/>
  <c r="R1088" i="457"/>
  <c r="E1088" i="457"/>
  <c r="K1088" i="457" s="1"/>
  <c r="AA1087" i="457"/>
  <c r="R1087" i="457"/>
  <c r="K1087" i="457"/>
  <c r="E1087" i="457"/>
  <c r="AA1086" i="457"/>
  <c r="R1086" i="457"/>
  <c r="E1086" i="457"/>
  <c r="K1086" i="457" s="1"/>
  <c r="AA1085" i="457"/>
  <c r="R1085" i="457"/>
  <c r="K1085" i="457"/>
  <c r="E1085" i="457"/>
  <c r="Z1084" i="457"/>
  <c r="Z1083" i="457" s="1"/>
  <c r="Z1082" i="457" s="1"/>
  <c r="Z1081" i="457" s="1"/>
  <c r="Y1084" i="457"/>
  <c r="Y1083" i="457" s="1"/>
  <c r="Y1082" i="457" s="1"/>
  <c r="Y1081" i="457" s="1"/>
  <c r="X1084" i="457"/>
  <c r="X1083" i="457" s="1"/>
  <c r="X1082" i="457" s="1"/>
  <c r="X1081" i="457" s="1"/>
  <c r="W1084" i="457"/>
  <c r="W1083" i="457" s="1"/>
  <c r="W1082" i="457" s="1"/>
  <c r="W1081" i="457" s="1"/>
  <c r="V1084" i="457"/>
  <c r="V1083" i="457" s="1"/>
  <c r="V1082" i="457" s="1"/>
  <c r="V1081" i="457" s="1"/>
  <c r="U1084" i="457"/>
  <c r="U1083" i="457" s="1"/>
  <c r="U1082" i="457" s="1"/>
  <c r="U1081" i="457" s="1"/>
  <c r="T1084" i="457"/>
  <c r="T1083" i="457" s="1"/>
  <c r="T1082" i="457" s="1"/>
  <c r="T1081" i="457" s="1"/>
  <c r="S1084" i="457"/>
  <c r="S1083" i="457" s="1"/>
  <c r="Q1084" i="457"/>
  <c r="Q1083" i="457" s="1"/>
  <c r="Q1082" i="457" s="1"/>
  <c r="Q1081" i="457" s="1"/>
  <c r="P1084" i="457"/>
  <c r="P1083" i="457" s="1"/>
  <c r="P1082" i="457" s="1"/>
  <c r="P1081" i="457" s="1"/>
  <c r="O1084" i="457"/>
  <c r="O1083" i="457" s="1"/>
  <c r="O1082" i="457" s="1"/>
  <c r="O1081" i="457" s="1"/>
  <c r="N1084" i="457"/>
  <c r="M1084" i="457"/>
  <c r="M1083" i="457" s="1"/>
  <c r="M1082" i="457" s="1"/>
  <c r="M1081" i="457" s="1"/>
  <c r="L1084" i="457"/>
  <c r="J1084" i="457"/>
  <c r="J1083" i="457" s="1"/>
  <c r="J1082" i="457" s="1"/>
  <c r="J1081" i="457" s="1"/>
  <c r="I1084" i="457"/>
  <c r="I1083" i="457" s="1"/>
  <c r="I1082" i="457" s="1"/>
  <c r="I1081" i="457" s="1"/>
  <c r="H1084" i="457"/>
  <c r="H1083" i="457" s="1"/>
  <c r="H1082" i="457" s="1"/>
  <c r="H1081" i="457" s="1"/>
  <c r="G1084" i="457"/>
  <c r="G1083" i="457" s="1"/>
  <c r="G1082" i="457" s="1"/>
  <c r="G1081" i="457" s="1"/>
  <c r="F1084" i="457"/>
  <c r="F1083" i="457" s="1"/>
  <c r="F1082" i="457" s="1"/>
  <c r="F1081" i="457" s="1"/>
  <c r="E1084" i="457"/>
  <c r="D1084" i="457"/>
  <c r="N1083" i="457"/>
  <c r="N1082" i="457" s="1"/>
  <c r="E1083" i="457"/>
  <c r="S1082" i="457"/>
  <c r="E1082" i="457"/>
  <c r="N1081" i="457"/>
  <c r="E1081" i="457"/>
  <c r="AA1080" i="457"/>
  <c r="R1080" i="457"/>
  <c r="E1080" i="457"/>
  <c r="K1080" i="457" s="1"/>
  <c r="AA1079" i="457"/>
  <c r="R1079" i="457"/>
  <c r="E1079" i="457"/>
  <c r="K1079" i="457" s="1"/>
  <c r="Z1078" i="457"/>
  <c r="Y1078" i="457"/>
  <c r="X1078" i="457"/>
  <c r="W1078" i="457"/>
  <c r="V1078" i="457"/>
  <c r="U1078" i="457"/>
  <c r="T1078" i="457"/>
  <c r="S1078" i="457"/>
  <c r="Q1078" i="457"/>
  <c r="P1078" i="457"/>
  <c r="O1078" i="457"/>
  <c r="N1078" i="457"/>
  <c r="M1078" i="457"/>
  <c r="L1078" i="457"/>
  <c r="J1078" i="457"/>
  <c r="I1078" i="457"/>
  <c r="H1078" i="457"/>
  <c r="G1078" i="457"/>
  <c r="F1078" i="457"/>
  <c r="E1078" i="457"/>
  <c r="D1078" i="457"/>
  <c r="AA1077" i="457"/>
  <c r="R1077" i="457"/>
  <c r="E1077" i="457"/>
  <c r="K1077" i="457" s="1"/>
  <c r="AA1076" i="457"/>
  <c r="R1076" i="457"/>
  <c r="E1076" i="457"/>
  <c r="K1076" i="457" s="1"/>
  <c r="AA1075" i="457"/>
  <c r="R1075" i="457"/>
  <c r="E1075" i="457"/>
  <c r="K1075" i="457" s="1"/>
  <c r="AA1074" i="457"/>
  <c r="R1074" i="457"/>
  <c r="E1074" i="457"/>
  <c r="K1074" i="457" s="1"/>
  <c r="AA1073" i="457"/>
  <c r="R1073" i="457"/>
  <c r="E1073" i="457"/>
  <c r="K1073" i="457" s="1"/>
  <c r="AA1072" i="457"/>
  <c r="R1072" i="457"/>
  <c r="E1072" i="457"/>
  <c r="K1072" i="457" s="1"/>
  <c r="AA1071" i="457"/>
  <c r="R1071" i="457"/>
  <c r="E1071" i="457"/>
  <c r="K1071" i="457" s="1"/>
  <c r="AA1070" i="457"/>
  <c r="R1070" i="457"/>
  <c r="K1070" i="457"/>
  <c r="E1070" i="457"/>
  <c r="AA1069" i="457"/>
  <c r="R1069" i="457"/>
  <c r="E1069" i="457"/>
  <c r="K1069" i="457" s="1"/>
  <c r="AA1068" i="457"/>
  <c r="R1068" i="457"/>
  <c r="E1068" i="457"/>
  <c r="K1068" i="457" s="1"/>
  <c r="AA1067" i="457"/>
  <c r="R1067" i="457"/>
  <c r="E1067" i="457"/>
  <c r="K1067" i="457" s="1"/>
  <c r="AA1066" i="457"/>
  <c r="R1066" i="457"/>
  <c r="E1066" i="457"/>
  <c r="K1066" i="457" s="1"/>
  <c r="AA1065" i="457"/>
  <c r="R1065" i="457"/>
  <c r="E1065" i="457"/>
  <c r="K1065" i="457" s="1"/>
  <c r="AA1064" i="457"/>
  <c r="AB1064" i="457" s="1"/>
  <c r="R1064" i="457"/>
  <c r="E1064" i="457"/>
  <c r="K1064" i="457" s="1"/>
  <c r="AA1063" i="457"/>
  <c r="R1063" i="457"/>
  <c r="E1063" i="457"/>
  <c r="K1063" i="457" s="1"/>
  <c r="AA1062" i="457"/>
  <c r="R1062" i="457"/>
  <c r="K1062" i="457"/>
  <c r="E1062" i="457"/>
  <c r="AA1061" i="457"/>
  <c r="R1061" i="457"/>
  <c r="E1061" i="457"/>
  <c r="K1061" i="457" s="1"/>
  <c r="AA1060" i="457"/>
  <c r="R1060" i="457"/>
  <c r="E1060" i="457"/>
  <c r="K1060" i="457" s="1"/>
  <c r="AA1059" i="457"/>
  <c r="R1059" i="457"/>
  <c r="E1059" i="457"/>
  <c r="K1059" i="457" s="1"/>
  <c r="AA1058" i="457"/>
  <c r="R1058" i="457"/>
  <c r="E1058" i="457"/>
  <c r="K1058" i="457" s="1"/>
  <c r="AA1057" i="457"/>
  <c r="R1057" i="457"/>
  <c r="E1057" i="457"/>
  <c r="K1057" i="457" s="1"/>
  <c r="AA1056" i="457"/>
  <c r="R1056" i="457"/>
  <c r="AB1056" i="457" s="1"/>
  <c r="E1056" i="457"/>
  <c r="K1056" i="457" s="1"/>
  <c r="AA1055" i="457"/>
  <c r="R1055" i="457"/>
  <c r="E1055" i="457"/>
  <c r="K1055" i="457" s="1"/>
  <c r="AA1054" i="457"/>
  <c r="AB1054" i="457" s="1"/>
  <c r="R1054" i="457"/>
  <c r="K1054" i="457"/>
  <c r="E1054" i="457"/>
  <c r="AA1053" i="457"/>
  <c r="R1053" i="457"/>
  <c r="E1053" i="457"/>
  <c r="K1053" i="457" s="1"/>
  <c r="AA1052" i="457"/>
  <c r="R1052" i="457"/>
  <c r="E1052" i="457"/>
  <c r="K1052" i="457" s="1"/>
  <c r="AA1051" i="457"/>
  <c r="R1051" i="457"/>
  <c r="E1051" i="457"/>
  <c r="K1051" i="457" s="1"/>
  <c r="AA1050" i="457"/>
  <c r="R1050" i="457"/>
  <c r="E1050" i="457"/>
  <c r="K1050" i="457" s="1"/>
  <c r="AA1049" i="457"/>
  <c r="R1049" i="457"/>
  <c r="E1049" i="457"/>
  <c r="K1049" i="457" s="1"/>
  <c r="AA1048" i="457"/>
  <c r="R1048" i="457"/>
  <c r="E1048" i="457"/>
  <c r="K1048" i="457" s="1"/>
  <c r="AA1047" i="457"/>
  <c r="R1047" i="457"/>
  <c r="E1047" i="457"/>
  <c r="K1047" i="457" s="1"/>
  <c r="AA1046" i="457"/>
  <c r="R1046" i="457"/>
  <c r="K1046" i="457"/>
  <c r="E1046" i="457"/>
  <c r="AA1045" i="457"/>
  <c r="R1045" i="457"/>
  <c r="E1045" i="457"/>
  <c r="K1045" i="457" s="1"/>
  <c r="AA1044" i="457"/>
  <c r="R1044" i="457"/>
  <c r="E1044" i="457"/>
  <c r="K1044" i="457" s="1"/>
  <c r="AA1043" i="457"/>
  <c r="R1043" i="457"/>
  <c r="E1043" i="457"/>
  <c r="K1043" i="457" s="1"/>
  <c r="AA1042" i="457"/>
  <c r="R1042" i="457"/>
  <c r="E1042" i="457"/>
  <c r="K1042" i="457" s="1"/>
  <c r="AA1041" i="457"/>
  <c r="R1041" i="457"/>
  <c r="E1041" i="457"/>
  <c r="K1041" i="457" s="1"/>
  <c r="AA1040" i="457"/>
  <c r="R1040" i="457"/>
  <c r="E1040" i="457"/>
  <c r="K1040" i="457" s="1"/>
  <c r="AA1039" i="457"/>
  <c r="R1039" i="457"/>
  <c r="E1039" i="457"/>
  <c r="K1039" i="457" s="1"/>
  <c r="AA1038" i="457"/>
  <c r="R1038" i="457"/>
  <c r="K1038" i="457"/>
  <c r="E1038" i="457"/>
  <c r="AA1037" i="457"/>
  <c r="R1037" i="457"/>
  <c r="E1037" i="457"/>
  <c r="K1037" i="457" s="1"/>
  <c r="AA1036" i="457"/>
  <c r="R1036" i="457"/>
  <c r="E1036" i="457"/>
  <c r="K1036" i="457" s="1"/>
  <c r="AA1035" i="457"/>
  <c r="R1035" i="457"/>
  <c r="E1035" i="457"/>
  <c r="K1035" i="457" s="1"/>
  <c r="AA1034" i="457"/>
  <c r="R1034" i="457"/>
  <c r="E1034" i="457"/>
  <c r="K1034" i="457" s="1"/>
  <c r="AA1033" i="457"/>
  <c r="R1033" i="457"/>
  <c r="E1033" i="457"/>
  <c r="K1033" i="457" s="1"/>
  <c r="AA1032" i="457"/>
  <c r="R1032" i="457"/>
  <c r="E1032" i="457"/>
  <c r="K1032" i="457" s="1"/>
  <c r="AA1031" i="457"/>
  <c r="R1031" i="457"/>
  <c r="E1031" i="457"/>
  <c r="K1031" i="457" s="1"/>
  <c r="AA1030" i="457"/>
  <c r="R1030" i="457"/>
  <c r="K1030" i="457"/>
  <c r="E1030" i="457"/>
  <c r="Z1029" i="457"/>
  <c r="Z1028" i="457" s="1"/>
  <c r="Z1027" i="457" s="1"/>
  <c r="Y1029" i="457"/>
  <c r="X1029" i="457"/>
  <c r="W1029" i="457"/>
  <c r="W1028" i="457" s="1"/>
  <c r="W1027" i="457" s="1"/>
  <c r="V1029" i="457"/>
  <c r="V1028" i="457" s="1"/>
  <c r="V1027" i="457" s="1"/>
  <c r="U1029" i="457"/>
  <c r="U1028" i="457" s="1"/>
  <c r="U1027" i="457" s="1"/>
  <c r="T1029" i="457"/>
  <c r="T1028" i="457" s="1"/>
  <c r="T1027" i="457" s="1"/>
  <c r="S1029" i="457"/>
  <c r="S1028" i="457" s="1"/>
  <c r="S1027" i="457" s="1"/>
  <c r="Q1029" i="457"/>
  <c r="Q1028" i="457" s="1"/>
  <c r="Q1027" i="457" s="1"/>
  <c r="P1029" i="457"/>
  <c r="P1028" i="457" s="1"/>
  <c r="P1027" i="457" s="1"/>
  <c r="O1029" i="457"/>
  <c r="O1028" i="457" s="1"/>
  <c r="O1027" i="457" s="1"/>
  <c r="N1029" i="457"/>
  <c r="N1028" i="457" s="1"/>
  <c r="M1029" i="457"/>
  <c r="M1028" i="457" s="1"/>
  <c r="M1027" i="457" s="1"/>
  <c r="L1029" i="457"/>
  <c r="L1028" i="457" s="1"/>
  <c r="J1029" i="457"/>
  <c r="J1028" i="457" s="1"/>
  <c r="J1027" i="457" s="1"/>
  <c r="I1029" i="457"/>
  <c r="I1028" i="457" s="1"/>
  <c r="I1027" i="457" s="1"/>
  <c r="H1029" i="457"/>
  <c r="H1028" i="457" s="1"/>
  <c r="H1027" i="457" s="1"/>
  <c r="G1029" i="457"/>
  <c r="G1028" i="457" s="1"/>
  <c r="G1027" i="457" s="1"/>
  <c r="F1029" i="457"/>
  <c r="E1029" i="457"/>
  <c r="D1029" i="457"/>
  <c r="D1028" i="457" s="1"/>
  <c r="Y1028" i="457"/>
  <c r="Y1027" i="457" s="1"/>
  <c r="X1028" i="457"/>
  <c r="X1027" i="457" s="1"/>
  <c r="E1028" i="457"/>
  <c r="N1027" i="457"/>
  <c r="E1027" i="457"/>
  <c r="AA1026" i="457"/>
  <c r="R1026" i="457"/>
  <c r="E1026" i="457"/>
  <c r="K1026" i="457" s="1"/>
  <c r="AA1025" i="457"/>
  <c r="R1025" i="457"/>
  <c r="E1025" i="457"/>
  <c r="K1025" i="457" s="1"/>
  <c r="AA1024" i="457"/>
  <c r="R1024" i="457"/>
  <c r="E1024" i="457"/>
  <c r="K1024" i="457" s="1"/>
  <c r="Z1023" i="457"/>
  <c r="Y1023" i="457"/>
  <c r="Y1022" i="457" s="1"/>
  <c r="X1023" i="457"/>
  <c r="X1022" i="457" s="1"/>
  <c r="W1023" i="457"/>
  <c r="W1022" i="457" s="1"/>
  <c r="V1023" i="457"/>
  <c r="V1022" i="457" s="1"/>
  <c r="U1023" i="457"/>
  <c r="U1022" i="457" s="1"/>
  <c r="T1023" i="457"/>
  <c r="T1022" i="457" s="1"/>
  <c r="S1023" i="457"/>
  <c r="S1022" i="457" s="1"/>
  <c r="Q1023" i="457"/>
  <c r="Q1022" i="457" s="1"/>
  <c r="P1023" i="457"/>
  <c r="P1022" i="457" s="1"/>
  <c r="O1023" i="457"/>
  <c r="O1022" i="457" s="1"/>
  <c r="N1023" i="457"/>
  <c r="N1022" i="457" s="1"/>
  <c r="M1023" i="457"/>
  <c r="L1023" i="457"/>
  <c r="J1023" i="457"/>
  <c r="J1022" i="457" s="1"/>
  <c r="I1023" i="457"/>
  <c r="I1022" i="457" s="1"/>
  <c r="H1023" i="457"/>
  <c r="G1023" i="457"/>
  <c r="G1022" i="457" s="1"/>
  <c r="F1023" i="457"/>
  <c r="E1023" i="457"/>
  <c r="D1023" i="457"/>
  <c r="D1022" i="457" s="1"/>
  <c r="Z1022" i="457"/>
  <c r="M1022" i="457"/>
  <c r="H1022" i="457"/>
  <c r="E1022" i="457"/>
  <c r="AA1021" i="457"/>
  <c r="R1021" i="457"/>
  <c r="K1021" i="457"/>
  <c r="E1021" i="457"/>
  <c r="AA1020" i="457"/>
  <c r="R1020" i="457"/>
  <c r="E1020" i="457"/>
  <c r="K1020" i="457" s="1"/>
  <c r="AA1019" i="457"/>
  <c r="R1019" i="457"/>
  <c r="K1019" i="457"/>
  <c r="E1019" i="457"/>
  <c r="Z1018" i="457"/>
  <c r="Z1017" i="457" s="1"/>
  <c r="Y1018" i="457"/>
  <c r="X1018" i="457"/>
  <c r="X1017" i="457" s="1"/>
  <c r="W1018" i="457"/>
  <c r="W1017" i="457" s="1"/>
  <c r="V1018" i="457"/>
  <c r="V1017" i="457" s="1"/>
  <c r="U1018" i="457"/>
  <c r="U1017" i="457" s="1"/>
  <c r="T1018" i="457"/>
  <c r="T1017" i="457" s="1"/>
  <c r="S1018" i="457"/>
  <c r="S1017" i="457" s="1"/>
  <c r="Q1018" i="457"/>
  <c r="Q1017" i="457" s="1"/>
  <c r="P1018" i="457"/>
  <c r="P1017" i="457" s="1"/>
  <c r="O1018" i="457"/>
  <c r="O1017" i="457" s="1"/>
  <c r="O1016" i="457" s="1"/>
  <c r="O1015" i="457" s="1"/>
  <c r="N1018" i="457"/>
  <c r="M1018" i="457"/>
  <c r="M1017" i="457" s="1"/>
  <c r="L1018" i="457"/>
  <c r="J1018" i="457"/>
  <c r="J1017" i="457" s="1"/>
  <c r="I1018" i="457"/>
  <c r="H1018" i="457"/>
  <c r="H1017" i="457" s="1"/>
  <c r="G1018" i="457"/>
  <c r="G1017" i="457" s="1"/>
  <c r="F1018" i="457"/>
  <c r="E1018" i="457"/>
  <c r="D1018" i="457"/>
  <c r="D1017" i="457" s="1"/>
  <c r="Y1017" i="457"/>
  <c r="N1017" i="457"/>
  <c r="I1017" i="457"/>
  <c r="E1017" i="457"/>
  <c r="E1016" i="457"/>
  <c r="E1015" i="457"/>
  <c r="AA1014" i="457"/>
  <c r="R1014" i="457"/>
  <c r="K1014" i="457"/>
  <c r="E1014" i="457"/>
  <c r="AA1013" i="457"/>
  <c r="R1013" i="457"/>
  <c r="E1013" i="457"/>
  <c r="K1013" i="457" s="1"/>
  <c r="Z1012" i="457"/>
  <c r="Z1011" i="457" s="1"/>
  <c r="Z1010" i="457" s="1"/>
  <c r="Y1012" i="457"/>
  <c r="Y1011" i="457" s="1"/>
  <c r="Y1010" i="457" s="1"/>
  <c r="X1012" i="457"/>
  <c r="X1011" i="457" s="1"/>
  <c r="X1010" i="457" s="1"/>
  <c r="W1012" i="457"/>
  <c r="W1011" i="457" s="1"/>
  <c r="W1010" i="457" s="1"/>
  <c r="V1012" i="457"/>
  <c r="V1011" i="457" s="1"/>
  <c r="V1010" i="457" s="1"/>
  <c r="U1012" i="457"/>
  <c r="U1011" i="457" s="1"/>
  <c r="U1010" i="457" s="1"/>
  <c r="T1012" i="457"/>
  <c r="T1011" i="457" s="1"/>
  <c r="T1010" i="457" s="1"/>
  <c r="S1012" i="457"/>
  <c r="S1011" i="457" s="1"/>
  <c r="S1010" i="457" s="1"/>
  <c r="Q1012" i="457"/>
  <c r="Q1011" i="457" s="1"/>
  <c r="Q1010" i="457" s="1"/>
  <c r="P1012" i="457"/>
  <c r="P1011" i="457" s="1"/>
  <c r="P1010" i="457" s="1"/>
  <c r="O1012" i="457"/>
  <c r="O1011" i="457" s="1"/>
  <c r="O1010" i="457" s="1"/>
  <c r="N1012" i="457"/>
  <c r="N1011" i="457" s="1"/>
  <c r="N1010" i="457" s="1"/>
  <c r="M1012" i="457"/>
  <c r="M1011" i="457" s="1"/>
  <c r="M1010" i="457" s="1"/>
  <c r="L1012" i="457"/>
  <c r="J1012" i="457"/>
  <c r="J1011" i="457" s="1"/>
  <c r="J1010" i="457" s="1"/>
  <c r="I1012" i="457"/>
  <c r="I1011" i="457" s="1"/>
  <c r="I1010" i="457" s="1"/>
  <c r="H1012" i="457"/>
  <c r="H1011" i="457" s="1"/>
  <c r="H1010" i="457" s="1"/>
  <c r="G1012" i="457"/>
  <c r="G1011" i="457" s="1"/>
  <c r="G1010" i="457" s="1"/>
  <c r="F1012" i="457"/>
  <c r="F1011" i="457" s="1"/>
  <c r="F1010" i="457" s="1"/>
  <c r="E1012" i="457"/>
  <c r="D1012" i="457"/>
  <c r="E1011" i="457"/>
  <c r="E1010" i="457"/>
  <c r="AA1009" i="457"/>
  <c r="R1009" i="457"/>
  <c r="E1009" i="457"/>
  <c r="K1009" i="457" s="1"/>
  <c r="AA1008" i="457"/>
  <c r="R1008" i="457"/>
  <c r="E1008" i="457"/>
  <c r="K1008" i="457" s="1"/>
  <c r="AA1007" i="457"/>
  <c r="R1007" i="457"/>
  <c r="E1007" i="457"/>
  <c r="K1007" i="457" s="1"/>
  <c r="Z1006" i="457"/>
  <c r="Y1006" i="457"/>
  <c r="X1006" i="457"/>
  <c r="W1006" i="457"/>
  <c r="V1006" i="457"/>
  <c r="U1006" i="457"/>
  <c r="T1006" i="457"/>
  <c r="S1006" i="457"/>
  <c r="Q1006" i="457"/>
  <c r="P1006" i="457"/>
  <c r="O1006" i="457"/>
  <c r="N1006" i="457"/>
  <c r="M1006" i="457"/>
  <c r="L1006" i="457"/>
  <c r="J1006" i="457"/>
  <c r="I1006" i="457"/>
  <c r="H1006" i="457"/>
  <c r="G1006" i="457"/>
  <c r="E1006" i="457"/>
  <c r="D1006" i="457"/>
  <c r="AA1005" i="457"/>
  <c r="R1005" i="457"/>
  <c r="K1005" i="457"/>
  <c r="E1005" i="457"/>
  <c r="AA1004" i="457"/>
  <c r="R1004" i="457"/>
  <c r="E1004" i="457"/>
  <c r="K1004" i="457" s="1"/>
  <c r="Z1003" i="457"/>
  <c r="Y1003" i="457"/>
  <c r="X1003" i="457"/>
  <c r="W1003" i="457"/>
  <c r="V1003" i="457"/>
  <c r="U1003" i="457"/>
  <c r="T1003" i="457"/>
  <c r="S1003" i="457"/>
  <c r="Q1003" i="457"/>
  <c r="P1003" i="457"/>
  <c r="O1003" i="457"/>
  <c r="N1003" i="457"/>
  <c r="M1003" i="457"/>
  <c r="L1003" i="457"/>
  <c r="J1003" i="457"/>
  <c r="I1003" i="457"/>
  <c r="H1003" i="457"/>
  <c r="G1003" i="457"/>
  <c r="E1003" i="457"/>
  <c r="D1003" i="457"/>
  <c r="E1002" i="457"/>
  <c r="E1001" i="457"/>
  <c r="E1000" i="457"/>
  <c r="AA999" i="457"/>
  <c r="R999" i="457"/>
  <c r="E999" i="457"/>
  <c r="K999" i="457" s="1"/>
  <c r="AA998" i="457"/>
  <c r="R998" i="457"/>
  <c r="E998" i="457"/>
  <c r="K998" i="457" s="1"/>
  <c r="Z997" i="457"/>
  <c r="Z992" i="457" s="1"/>
  <c r="Y997" i="457"/>
  <c r="Y992" i="457" s="1"/>
  <c r="X997" i="457"/>
  <c r="X992" i="457" s="1"/>
  <c r="W997" i="457"/>
  <c r="W992" i="457" s="1"/>
  <c r="V997" i="457"/>
  <c r="V992" i="457" s="1"/>
  <c r="U997" i="457"/>
  <c r="U992" i="457" s="1"/>
  <c r="T997" i="457"/>
  <c r="T992" i="457" s="1"/>
  <c r="S997" i="457"/>
  <c r="S992" i="457" s="1"/>
  <c r="Q997" i="457"/>
  <c r="Q992" i="457" s="1"/>
  <c r="P997" i="457"/>
  <c r="P992" i="457" s="1"/>
  <c r="O997" i="457"/>
  <c r="O992" i="457" s="1"/>
  <c r="N997" i="457"/>
  <c r="N992" i="457" s="1"/>
  <c r="M997" i="457"/>
  <c r="M992" i="457" s="1"/>
  <c r="L997" i="457"/>
  <c r="L992" i="457" s="1"/>
  <c r="J997" i="457"/>
  <c r="J992" i="457" s="1"/>
  <c r="I997" i="457"/>
  <c r="I992" i="457" s="1"/>
  <c r="H997" i="457"/>
  <c r="H992" i="457" s="1"/>
  <c r="G997" i="457"/>
  <c r="G992" i="457" s="1"/>
  <c r="F997" i="457"/>
  <c r="E997" i="457"/>
  <c r="D997" i="457"/>
  <c r="D992" i="457" s="1"/>
  <c r="AA996" i="457"/>
  <c r="R996" i="457"/>
  <c r="K996" i="457"/>
  <c r="E996" i="457"/>
  <c r="AA995" i="457"/>
  <c r="R995" i="457"/>
  <c r="E995" i="457"/>
  <c r="K995" i="457" s="1"/>
  <c r="AA994" i="457"/>
  <c r="R994" i="457"/>
  <c r="E994" i="457"/>
  <c r="K994" i="457" s="1"/>
  <c r="AA993" i="457"/>
  <c r="R993" i="457"/>
  <c r="E993" i="457"/>
  <c r="K993" i="457" s="1"/>
  <c r="E992" i="457"/>
  <c r="AA991" i="457"/>
  <c r="R991" i="457"/>
  <c r="K991" i="457"/>
  <c r="E991" i="457"/>
  <c r="Z990" i="457"/>
  <c r="Z987" i="457" s="1"/>
  <c r="Y990" i="457"/>
  <c r="Y987" i="457" s="1"/>
  <c r="X990" i="457"/>
  <c r="X987" i="457" s="1"/>
  <c r="W990" i="457"/>
  <c r="W987" i="457" s="1"/>
  <c r="V990" i="457"/>
  <c r="V987" i="457" s="1"/>
  <c r="U990" i="457"/>
  <c r="U987" i="457" s="1"/>
  <c r="T990" i="457"/>
  <c r="T987" i="457" s="1"/>
  <c r="S990" i="457"/>
  <c r="S987" i="457" s="1"/>
  <c r="Q990" i="457"/>
  <c r="Q987" i="457" s="1"/>
  <c r="P990" i="457"/>
  <c r="P987" i="457" s="1"/>
  <c r="O990" i="457"/>
  <c r="O987" i="457" s="1"/>
  <c r="N990" i="457"/>
  <c r="M990" i="457"/>
  <c r="M987" i="457" s="1"/>
  <c r="L990" i="457"/>
  <c r="J990" i="457"/>
  <c r="J987" i="457" s="1"/>
  <c r="I990" i="457"/>
  <c r="I987" i="457" s="1"/>
  <c r="H990" i="457"/>
  <c r="H987" i="457" s="1"/>
  <c r="G990" i="457"/>
  <c r="G987" i="457" s="1"/>
  <c r="E990" i="457"/>
  <c r="D990" i="457"/>
  <c r="D987" i="457" s="1"/>
  <c r="AA989" i="457"/>
  <c r="R989" i="457"/>
  <c r="K989" i="457"/>
  <c r="E989" i="457"/>
  <c r="AA988" i="457"/>
  <c r="R988" i="457"/>
  <c r="E988" i="457"/>
  <c r="K988" i="457" s="1"/>
  <c r="N987" i="457"/>
  <c r="E987" i="457"/>
  <c r="AA986" i="457"/>
  <c r="R986" i="457"/>
  <c r="K986" i="457"/>
  <c r="E986" i="457"/>
  <c r="Z985" i="457"/>
  <c r="Z982" i="457" s="1"/>
  <c r="Y985" i="457"/>
  <c r="Y982" i="457" s="1"/>
  <c r="X985" i="457"/>
  <c r="X982" i="457" s="1"/>
  <c r="W985" i="457"/>
  <c r="W982" i="457" s="1"/>
  <c r="V985" i="457"/>
  <c r="V982" i="457" s="1"/>
  <c r="U985" i="457"/>
  <c r="U982" i="457" s="1"/>
  <c r="T985" i="457"/>
  <c r="T982" i="457" s="1"/>
  <c r="S985" i="457"/>
  <c r="S982" i="457" s="1"/>
  <c r="Q985" i="457"/>
  <c r="Q982" i="457" s="1"/>
  <c r="P985" i="457"/>
  <c r="P982" i="457" s="1"/>
  <c r="O985" i="457"/>
  <c r="O982" i="457" s="1"/>
  <c r="N985" i="457"/>
  <c r="N982" i="457" s="1"/>
  <c r="M985" i="457"/>
  <c r="M982" i="457" s="1"/>
  <c r="L985" i="457"/>
  <c r="L982" i="457" s="1"/>
  <c r="J985" i="457"/>
  <c r="J982" i="457" s="1"/>
  <c r="I985" i="457"/>
  <c r="H985" i="457"/>
  <c r="H982" i="457" s="1"/>
  <c r="G985" i="457"/>
  <c r="G982" i="457" s="1"/>
  <c r="E985" i="457"/>
  <c r="D985" i="457"/>
  <c r="D982" i="457" s="1"/>
  <c r="AA984" i="457"/>
  <c r="R984" i="457"/>
  <c r="E984" i="457"/>
  <c r="K984" i="457" s="1"/>
  <c r="AA983" i="457"/>
  <c r="R983" i="457"/>
  <c r="E983" i="457"/>
  <c r="K983" i="457" s="1"/>
  <c r="I982" i="457"/>
  <c r="E982" i="457"/>
  <c r="E981" i="457"/>
  <c r="E980" i="457"/>
  <c r="AA979" i="457"/>
  <c r="R979" i="457"/>
  <c r="E979" i="457"/>
  <c r="K979" i="457" s="1"/>
  <c r="AA978" i="457"/>
  <c r="R978" i="457"/>
  <c r="E978" i="457"/>
  <c r="K978" i="457" s="1"/>
  <c r="Z977" i="457"/>
  <c r="Y977" i="457"/>
  <c r="Y976" i="457" s="1"/>
  <c r="Y975" i="457" s="1"/>
  <c r="X977" i="457"/>
  <c r="X976" i="457" s="1"/>
  <c r="X975" i="457" s="1"/>
  <c r="W977" i="457"/>
  <c r="W976" i="457" s="1"/>
  <c r="W975" i="457" s="1"/>
  <c r="V977" i="457"/>
  <c r="V976" i="457" s="1"/>
  <c r="V975" i="457" s="1"/>
  <c r="U977" i="457"/>
  <c r="U976" i="457" s="1"/>
  <c r="U975" i="457" s="1"/>
  <c r="T977" i="457"/>
  <c r="T976" i="457" s="1"/>
  <c r="T975" i="457" s="1"/>
  <c r="S977" i="457"/>
  <c r="S976" i="457" s="1"/>
  <c r="S975" i="457" s="1"/>
  <c r="Q977" i="457"/>
  <c r="Q976" i="457" s="1"/>
  <c r="Q975" i="457" s="1"/>
  <c r="P977" i="457"/>
  <c r="P976" i="457" s="1"/>
  <c r="P975" i="457" s="1"/>
  <c r="O977" i="457"/>
  <c r="O976" i="457" s="1"/>
  <c r="O975" i="457" s="1"/>
  <c r="N977" i="457"/>
  <c r="N976" i="457" s="1"/>
  <c r="N975" i="457" s="1"/>
  <c r="M977" i="457"/>
  <c r="M976" i="457" s="1"/>
  <c r="M975" i="457" s="1"/>
  <c r="L977" i="457"/>
  <c r="J977" i="457"/>
  <c r="J976" i="457" s="1"/>
  <c r="J975" i="457" s="1"/>
  <c r="I977" i="457"/>
  <c r="I976" i="457" s="1"/>
  <c r="I975" i="457" s="1"/>
  <c r="H977" i="457"/>
  <c r="H976" i="457" s="1"/>
  <c r="H975" i="457" s="1"/>
  <c r="G977" i="457"/>
  <c r="G976" i="457" s="1"/>
  <c r="G975" i="457" s="1"/>
  <c r="F977" i="457"/>
  <c r="F976" i="457" s="1"/>
  <c r="F975" i="457" s="1"/>
  <c r="E977" i="457"/>
  <c r="D977" i="457"/>
  <c r="Z976" i="457"/>
  <c r="Z975" i="457" s="1"/>
  <c r="E976" i="457"/>
  <c r="E975" i="457"/>
  <c r="AA974" i="457"/>
  <c r="R974" i="457"/>
  <c r="E974" i="457"/>
  <c r="K974" i="457" s="1"/>
  <c r="Z973" i="457"/>
  <c r="Z972" i="457" s="1"/>
  <c r="Y973" i="457"/>
  <c r="X973" i="457"/>
  <c r="W973" i="457"/>
  <c r="W972" i="457" s="1"/>
  <c r="V973" i="457"/>
  <c r="V972" i="457" s="1"/>
  <c r="U973" i="457"/>
  <c r="U972" i="457" s="1"/>
  <c r="T973" i="457"/>
  <c r="T972" i="457" s="1"/>
  <c r="S973" i="457"/>
  <c r="S972" i="457" s="1"/>
  <c r="Q973" i="457"/>
  <c r="Q972" i="457" s="1"/>
  <c r="P973" i="457"/>
  <c r="P972" i="457" s="1"/>
  <c r="O973" i="457"/>
  <c r="O972" i="457" s="1"/>
  <c r="N973" i="457"/>
  <c r="N972" i="457" s="1"/>
  <c r="M973" i="457"/>
  <c r="M972" i="457" s="1"/>
  <c r="L973" i="457"/>
  <c r="L972" i="457" s="1"/>
  <c r="J973" i="457"/>
  <c r="J972" i="457" s="1"/>
  <c r="I973" i="457"/>
  <c r="I972" i="457" s="1"/>
  <c r="H973" i="457"/>
  <c r="H972" i="457" s="1"/>
  <c r="G973" i="457"/>
  <c r="G972" i="457" s="1"/>
  <c r="F973" i="457"/>
  <c r="E973" i="457"/>
  <c r="D973" i="457"/>
  <c r="D972" i="457" s="1"/>
  <c r="Y972" i="457"/>
  <c r="X972" i="457"/>
  <c r="E972" i="457"/>
  <c r="AA971" i="457"/>
  <c r="R971" i="457"/>
  <c r="E971" i="457"/>
  <c r="K971" i="457" s="1"/>
  <c r="X970" i="457"/>
  <c r="W970" i="457"/>
  <c r="V970" i="457"/>
  <c r="U970" i="457"/>
  <c r="T970" i="457"/>
  <c r="S970" i="457"/>
  <c r="AA970" i="457" s="1"/>
  <c r="Q970" i="457"/>
  <c r="P970" i="457"/>
  <c r="O970" i="457"/>
  <c r="N970" i="457"/>
  <c r="M970" i="457"/>
  <c r="L970" i="457"/>
  <c r="R970" i="457" s="1"/>
  <c r="K970" i="457"/>
  <c r="E970" i="457"/>
  <c r="AA969" i="457"/>
  <c r="R969" i="457"/>
  <c r="E969" i="457"/>
  <c r="K969" i="457" s="1"/>
  <c r="AA968" i="457"/>
  <c r="R968" i="457"/>
  <c r="E968" i="457"/>
  <c r="K968" i="457" s="1"/>
  <c r="AA967" i="457"/>
  <c r="R967" i="457"/>
  <c r="E967" i="457"/>
  <c r="K967" i="457" s="1"/>
  <c r="AA966" i="457"/>
  <c r="R966" i="457"/>
  <c r="K966" i="457"/>
  <c r="E966" i="457"/>
  <c r="X965" i="457"/>
  <c r="W965" i="457"/>
  <c r="V965" i="457"/>
  <c r="U965" i="457"/>
  <c r="U955" i="457" s="1"/>
  <c r="U954" i="457" s="1"/>
  <c r="U953" i="457" s="1"/>
  <c r="T965" i="457"/>
  <c r="AA965" i="457" s="1"/>
  <c r="S965" i="457"/>
  <c r="Q965" i="457"/>
  <c r="Q955" i="457" s="1"/>
  <c r="Q954" i="457" s="1"/>
  <c r="P965" i="457"/>
  <c r="O965" i="457"/>
  <c r="N965" i="457"/>
  <c r="M965" i="457"/>
  <c r="M955" i="457" s="1"/>
  <c r="M954" i="457" s="1"/>
  <c r="L965" i="457"/>
  <c r="R965" i="457" s="1"/>
  <c r="E965" i="457"/>
  <c r="K965" i="457" s="1"/>
  <c r="X964" i="457"/>
  <c r="X955" i="457" s="1"/>
  <c r="X954" i="457" s="1"/>
  <c r="W964" i="457"/>
  <c r="V964" i="457"/>
  <c r="U964" i="457"/>
  <c r="T964" i="457"/>
  <c r="T955" i="457" s="1"/>
  <c r="S964" i="457"/>
  <c r="Q964" i="457"/>
  <c r="P964" i="457"/>
  <c r="P955" i="457" s="1"/>
  <c r="P954" i="457" s="1"/>
  <c r="O964" i="457"/>
  <c r="N964" i="457"/>
  <c r="M964" i="457"/>
  <c r="L964" i="457"/>
  <c r="R964" i="457" s="1"/>
  <c r="E964" i="457"/>
  <c r="K964" i="457" s="1"/>
  <c r="AA963" i="457"/>
  <c r="R963" i="457"/>
  <c r="E963" i="457"/>
  <c r="K963" i="457" s="1"/>
  <c r="AA962" i="457"/>
  <c r="R962" i="457"/>
  <c r="E962" i="457"/>
  <c r="K962" i="457" s="1"/>
  <c r="AA961" i="457"/>
  <c r="R961" i="457"/>
  <c r="E961" i="457"/>
  <c r="K961" i="457" s="1"/>
  <c r="AA960" i="457"/>
  <c r="R960" i="457"/>
  <c r="E960" i="457"/>
  <c r="K960" i="457" s="1"/>
  <c r="AA959" i="457"/>
  <c r="R959" i="457"/>
  <c r="E959" i="457"/>
  <c r="K959" i="457" s="1"/>
  <c r="AA958" i="457"/>
  <c r="R958" i="457"/>
  <c r="E958" i="457"/>
  <c r="K958" i="457" s="1"/>
  <c r="AA957" i="457"/>
  <c r="R957" i="457"/>
  <c r="E957" i="457"/>
  <c r="K957" i="457" s="1"/>
  <c r="AA956" i="457"/>
  <c r="R956" i="457"/>
  <c r="E956" i="457"/>
  <c r="K956" i="457" s="1"/>
  <c r="Z955" i="457"/>
  <c r="Z954" i="457" s="1"/>
  <c r="Y955" i="457"/>
  <c r="Y954" i="457" s="1"/>
  <c r="W955" i="457"/>
  <c r="W954" i="457" s="1"/>
  <c r="V955" i="457"/>
  <c r="V954" i="457" s="1"/>
  <c r="S955" i="457"/>
  <c r="O955" i="457"/>
  <c r="N955" i="457"/>
  <c r="N954" i="457" s="1"/>
  <c r="L955" i="457"/>
  <c r="J955" i="457"/>
  <c r="J954" i="457" s="1"/>
  <c r="I955" i="457"/>
  <c r="I954" i="457" s="1"/>
  <c r="H955" i="457"/>
  <c r="H954" i="457" s="1"/>
  <c r="G955" i="457"/>
  <c r="G954" i="457" s="1"/>
  <c r="F955" i="457"/>
  <c r="F954" i="457" s="1"/>
  <c r="E955" i="457"/>
  <c r="D955" i="457"/>
  <c r="E954" i="457"/>
  <c r="E953" i="457"/>
  <c r="AA952" i="457"/>
  <c r="R952" i="457"/>
  <c r="E952" i="457"/>
  <c r="K952" i="457" s="1"/>
  <c r="AA951" i="457"/>
  <c r="R951" i="457"/>
  <c r="E951" i="457"/>
  <c r="K951" i="457" s="1"/>
  <c r="AA950" i="457"/>
  <c r="R950" i="457"/>
  <c r="E950" i="457"/>
  <c r="K950" i="457" s="1"/>
  <c r="Z949" i="457"/>
  <c r="Y949" i="457"/>
  <c r="X949" i="457"/>
  <c r="W949" i="457"/>
  <c r="V949" i="457"/>
  <c r="U949" i="457"/>
  <c r="T949" i="457"/>
  <c r="S949" i="457"/>
  <c r="Q949" i="457"/>
  <c r="P949" i="457"/>
  <c r="O949" i="457"/>
  <c r="N949" i="457"/>
  <c r="M949" i="457"/>
  <c r="L949" i="457"/>
  <c r="J949" i="457"/>
  <c r="I949" i="457"/>
  <c r="H949" i="457"/>
  <c r="G949" i="457"/>
  <c r="F949" i="457"/>
  <c r="E949" i="457"/>
  <c r="D949" i="457"/>
  <c r="AA948" i="457"/>
  <c r="R948" i="457"/>
  <c r="E948" i="457"/>
  <c r="K948" i="457" s="1"/>
  <c r="AA947" i="457"/>
  <c r="R947" i="457"/>
  <c r="K947" i="457"/>
  <c r="E947" i="457"/>
  <c r="AA946" i="457"/>
  <c r="R946" i="457"/>
  <c r="E946" i="457"/>
  <c r="K946" i="457" s="1"/>
  <c r="AA945" i="457"/>
  <c r="R945" i="457"/>
  <c r="E945" i="457"/>
  <c r="K945" i="457" s="1"/>
  <c r="AA944" i="457"/>
  <c r="R944" i="457"/>
  <c r="E944" i="457"/>
  <c r="K944" i="457" s="1"/>
  <c r="AA943" i="457"/>
  <c r="R943" i="457"/>
  <c r="E943" i="457"/>
  <c r="K943" i="457" s="1"/>
  <c r="AA942" i="457"/>
  <c r="R942" i="457"/>
  <c r="E942" i="457"/>
  <c r="K942" i="457" s="1"/>
  <c r="Z941" i="457"/>
  <c r="Z940" i="457" s="1"/>
  <c r="Y941" i="457"/>
  <c r="Y940" i="457" s="1"/>
  <c r="X941" i="457"/>
  <c r="X940" i="457" s="1"/>
  <c r="W941" i="457"/>
  <c r="W940" i="457" s="1"/>
  <c r="V941" i="457"/>
  <c r="V940" i="457" s="1"/>
  <c r="U941" i="457"/>
  <c r="U940" i="457" s="1"/>
  <c r="T941" i="457"/>
  <c r="T940" i="457" s="1"/>
  <c r="S941" i="457"/>
  <c r="S940" i="457" s="1"/>
  <c r="Q941" i="457"/>
  <c r="Q940" i="457" s="1"/>
  <c r="P941" i="457"/>
  <c r="P940" i="457" s="1"/>
  <c r="O941" i="457"/>
  <c r="O940" i="457" s="1"/>
  <c r="N941" i="457"/>
  <c r="N940" i="457" s="1"/>
  <c r="M941" i="457"/>
  <c r="M940" i="457" s="1"/>
  <c r="L941" i="457"/>
  <c r="J941" i="457"/>
  <c r="I941" i="457"/>
  <c r="I940" i="457" s="1"/>
  <c r="H941" i="457"/>
  <c r="H940" i="457" s="1"/>
  <c r="G941" i="457"/>
  <c r="G940" i="457" s="1"/>
  <c r="F941" i="457"/>
  <c r="F940" i="457" s="1"/>
  <c r="E941" i="457"/>
  <c r="D941" i="457"/>
  <c r="J940" i="457"/>
  <c r="E940" i="457"/>
  <c r="AA939" i="457"/>
  <c r="R939" i="457"/>
  <c r="E939" i="457"/>
  <c r="K939" i="457" s="1"/>
  <c r="AA938" i="457"/>
  <c r="R938" i="457"/>
  <c r="K938" i="457"/>
  <c r="E938" i="457"/>
  <c r="AA937" i="457"/>
  <c r="R937" i="457"/>
  <c r="K937" i="457"/>
  <c r="E937" i="457"/>
  <c r="AA936" i="457"/>
  <c r="R936" i="457"/>
  <c r="E936" i="457"/>
  <c r="K936" i="457" s="1"/>
  <c r="AA935" i="457"/>
  <c r="R935" i="457"/>
  <c r="E935" i="457"/>
  <c r="K935" i="457" s="1"/>
  <c r="AA934" i="457"/>
  <c r="R934" i="457"/>
  <c r="E934" i="457"/>
  <c r="K934" i="457" s="1"/>
  <c r="Z933" i="457"/>
  <c r="Y933" i="457"/>
  <c r="X933" i="457"/>
  <c r="W933" i="457"/>
  <c r="V933" i="457"/>
  <c r="U933" i="457"/>
  <c r="T933" i="457"/>
  <c r="S933" i="457"/>
  <c r="Q933" i="457"/>
  <c r="P933" i="457"/>
  <c r="O933" i="457"/>
  <c r="N933" i="457"/>
  <c r="M933" i="457"/>
  <c r="L933" i="457"/>
  <c r="J933" i="457"/>
  <c r="I933" i="457"/>
  <c r="H933" i="457"/>
  <c r="G933" i="457"/>
  <c r="F933" i="457"/>
  <c r="E933" i="457"/>
  <c r="D933" i="457"/>
  <c r="AA932" i="457"/>
  <c r="R932" i="457"/>
  <c r="E932" i="457"/>
  <c r="K932" i="457" s="1"/>
  <c r="AA931" i="457"/>
  <c r="R931" i="457"/>
  <c r="K931" i="457"/>
  <c r="E931" i="457"/>
  <c r="AA930" i="457"/>
  <c r="R930" i="457"/>
  <c r="E930" i="457"/>
  <c r="K930" i="457" s="1"/>
  <c r="Z929" i="457"/>
  <c r="Y929" i="457"/>
  <c r="X929" i="457"/>
  <c r="W929" i="457"/>
  <c r="V929" i="457"/>
  <c r="U929" i="457"/>
  <c r="T929" i="457"/>
  <c r="S929" i="457"/>
  <c r="Q929" i="457"/>
  <c r="P929" i="457"/>
  <c r="O929" i="457"/>
  <c r="N929" i="457"/>
  <c r="M929" i="457"/>
  <c r="L929" i="457"/>
  <c r="J929" i="457"/>
  <c r="I929" i="457"/>
  <c r="H929" i="457"/>
  <c r="G929" i="457"/>
  <c r="F929" i="457"/>
  <c r="E929" i="457"/>
  <c r="D929" i="457"/>
  <c r="E928" i="457"/>
  <c r="E927" i="457"/>
  <c r="AA926" i="457"/>
  <c r="R926" i="457"/>
  <c r="E926" i="457"/>
  <c r="K926" i="457" s="1"/>
  <c r="AA925" i="457"/>
  <c r="R925" i="457"/>
  <c r="E925" i="457"/>
  <c r="K925" i="457" s="1"/>
  <c r="AA924" i="457"/>
  <c r="R924" i="457"/>
  <c r="E924" i="457"/>
  <c r="K924" i="457" s="1"/>
  <c r="AA923" i="457"/>
  <c r="R923" i="457"/>
  <c r="K923" i="457"/>
  <c r="E923" i="457"/>
  <c r="Z922" i="457"/>
  <c r="Z921" i="457" s="1"/>
  <c r="Y922" i="457"/>
  <c r="X922" i="457"/>
  <c r="W922" i="457"/>
  <c r="W921" i="457" s="1"/>
  <c r="V922" i="457"/>
  <c r="V921" i="457" s="1"/>
  <c r="U922" i="457"/>
  <c r="U921" i="457" s="1"/>
  <c r="T922" i="457"/>
  <c r="T921" i="457" s="1"/>
  <c r="S922" i="457"/>
  <c r="S921" i="457" s="1"/>
  <c r="Q922" i="457"/>
  <c r="P922" i="457"/>
  <c r="P921" i="457" s="1"/>
  <c r="O922" i="457"/>
  <c r="O921" i="457" s="1"/>
  <c r="N922" i="457"/>
  <c r="N921" i="457" s="1"/>
  <c r="M922" i="457"/>
  <c r="M921" i="457" s="1"/>
  <c r="L922" i="457"/>
  <c r="L921" i="457" s="1"/>
  <c r="J922" i="457"/>
  <c r="J921" i="457" s="1"/>
  <c r="I922" i="457"/>
  <c r="I921" i="457" s="1"/>
  <c r="H922" i="457"/>
  <c r="G922" i="457"/>
  <c r="G921" i="457" s="1"/>
  <c r="F922" i="457"/>
  <c r="F921" i="457" s="1"/>
  <c r="E922" i="457"/>
  <c r="D922" i="457"/>
  <c r="D921" i="457" s="1"/>
  <c r="Y921" i="457"/>
  <c r="X921" i="457"/>
  <c r="Q921" i="457"/>
  <c r="H921" i="457"/>
  <c r="E921" i="457"/>
  <c r="E920" i="457"/>
  <c r="AA919" i="457"/>
  <c r="AB919" i="457" s="1"/>
  <c r="R919" i="457"/>
  <c r="K919" i="457"/>
  <c r="E919" i="457"/>
  <c r="Z918" i="457"/>
  <c r="Z917" i="457" s="1"/>
  <c r="Z916" i="457" s="1"/>
  <c r="Y918" i="457"/>
  <c r="Y917" i="457" s="1"/>
  <c r="Y916" i="457" s="1"/>
  <c r="X918" i="457"/>
  <c r="X917" i="457" s="1"/>
  <c r="X916" i="457" s="1"/>
  <c r="W918" i="457"/>
  <c r="W917" i="457" s="1"/>
  <c r="W916" i="457" s="1"/>
  <c r="V918" i="457"/>
  <c r="V917" i="457" s="1"/>
  <c r="V916" i="457" s="1"/>
  <c r="U918" i="457"/>
  <c r="T918" i="457"/>
  <c r="T917" i="457" s="1"/>
  <c r="T916" i="457" s="1"/>
  <c r="S918" i="457"/>
  <c r="S917" i="457" s="1"/>
  <c r="Q918" i="457"/>
  <c r="Q917" i="457" s="1"/>
  <c r="Q916" i="457" s="1"/>
  <c r="P918" i="457"/>
  <c r="P917" i="457" s="1"/>
  <c r="P916" i="457" s="1"/>
  <c r="O918" i="457"/>
  <c r="N918" i="457"/>
  <c r="N917" i="457" s="1"/>
  <c r="N916" i="457" s="1"/>
  <c r="M918" i="457"/>
  <c r="M917" i="457" s="1"/>
  <c r="M916" i="457" s="1"/>
  <c r="L918" i="457"/>
  <c r="L917" i="457" s="1"/>
  <c r="L916" i="457" s="1"/>
  <c r="J918" i="457"/>
  <c r="J917" i="457" s="1"/>
  <c r="J916" i="457" s="1"/>
  <c r="I918" i="457"/>
  <c r="I917" i="457" s="1"/>
  <c r="I916" i="457" s="1"/>
  <c r="H918" i="457"/>
  <c r="H917" i="457" s="1"/>
  <c r="H916" i="457" s="1"/>
  <c r="G918" i="457"/>
  <c r="G917" i="457" s="1"/>
  <c r="E918" i="457"/>
  <c r="D918" i="457"/>
  <c r="D917" i="457" s="1"/>
  <c r="D916" i="457" s="1"/>
  <c r="U917" i="457"/>
  <c r="O917" i="457"/>
  <c r="O916" i="457" s="1"/>
  <c r="E917" i="457"/>
  <c r="U916" i="457"/>
  <c r="E916" i="457"/>
  <c r="AA915" i="457"/>
  <c r="R915" i="457"/>
  <c r="K915" i="457"/>
  <c r="E915" i="457"/>
  <c r="AA914" i="457"/>
  <c r="R914" i="457"/>
  <c r="E914" i="457"/>
  <c r="K914" i="457" s="1"/>
  <c r="AA913" i="457"/>
  <c r="R913" i="457"/>
  <c r="K913" i="457"/>
  <c r="E913" i="457"/>
  <c r="AA912" i="457"/>
  <c r="R912" i="457"/>
  <c r="E912" i="457"/>
  <c r="K912" i="457" s="1"/>
  <c r="Z911" i="457"/>
  <c r="Z910" i="457" s="1"/>
  <c r="Y911" i="457"/>
  <c r="Y910" i="457" s="1"/>
  <c r="X911" i="457"/>
  <c r="X910" i="457" s="1"/>
  <c r="W911" i="457"/>
  <c r="W910" i="457" s="1"/>
  <c r="V911" i="457"/>
  <c r="V910" i="457" s="1"/>
  <c r="U911" i="457"/>
  <c r="U910" i="457" s="1"/>
  <c r="T911" i="457"/>
  <c r="T910" i="457" s="1"/>
  <c r="S911" i="457"/>
  <c r="Q911" i="457"/>
  <c r="Q910" i="457" s="1"/>
  <c r="P911" i="457"/>
  <c r="P910" i="457" s="1"/>
  <c r="O911" i="457"/>
  <c r="O910" i="457" s="1"/>
  <c r="N911" i="457"/>
  <c r="N910" i="457" s="1"/>
  <c r="M911" i="457"/>
  <c r="M910" i="457" s="1"/>
  <c r="L911" i="457"/>
  <c r="L910" i="457" s="1"/>
  <c r="J911" i="457"/>
  <c r="J910" i="457" s="1"/>
  <c r="I911" i="457"/>
  <c r="I910" i="457" s="1"/>
  <c r="H911" i="457"/>
  <c r="H910" i="457" s="1"/>
  <c r="G911" i="457"/>
  <c r="G910" i="457" s="1"/>
  <c r="F911" i="457"/>
  <c r="F910" i="457" s="1"/>
  <c r="E911" i="457"/>
  <c r="D911" i="457"/>
  <c r="D910" i="457" s="1"/>
  <c r="S910" i="457"/>
  <c r="E910" i="457"/>
  <c r="E909" i="457"/>
  <c r="AA908" i="457"/>
  <c r="R908" i="457"/>
  <c r="E908" i="457"/>
  <c r="K908" i="457" s="1"/>
  <c r="AA907" i="457"/>
  <c r="R907" i="457"/>
  <c r="K907" i="457"/>
  <c r="E907" i="457"/>
  <c r="AA906" i="457"/>
  <c r="R906" i="457"/>
  <c r="E906" i="457"/>
  <c r="K906" i="457" s="1"/>
  <c r="Z905" i="457"/>
  <c r="Y905" i="457"/>
  <c r="X905" i="457"/>
  <c r="W905" i="457"/>
  <c r="V905" i="457"/>
  <c r="U905" i="457"/>
  <c r="T905" i="457"/>
  <c r="S905" i="457"/>
  <c r="Q905" i="457"/>
  <c r="P905" i="457"/>
  <c r="O905" i="457"/>
  <c r="N905" i="457"/>
  <c r="M905" i="457"/>
  <c r="L905" i="457"/>
  <c r="J905" i="457"/>
  <c r="I905" i="457"/>
  <c r="H905" i="457"/>
  <c r="G905" i="457"/>
  <c r="F905" i="457"/>
  <c r="E905" i="457"/>
  <c r="D905" i="457"/>
  <c r="AA904" i="457"/>
  <c r="R904" i="457"/>
  <c r="E904" i="457"/>
  <c r="K904" i="457" s="1"/>
  <c r="Z903" i="457"/>
  <c r="Z902" i="457" s="1"/>
  <c r="Z901" i="457" s="1"/>
  <c r="Y903" i="457"/>
  <c r="Y902" i="457" s="1"/>
  <c r="Y901" i="457" s="1"/>
  <c r="X903" i="457"/>
  <c r="X902" i="457" s="1"/>
  <c r="X901" i="457" s="1"/>
  <c r="W903" i="457"/>
  <c r="W902" i="457" s="1"/>
  <c r="W901" i="457" s="1"/>
  <c r="V903" i="457"/>
  <c r="V902" i="457" s="1"/>
  <c r="V901" i="457" s="1"/>
  <c r="U903" i="457"/>
  <c r="U902" i="457" s="1"/>
  <c r="U901" i="457" s="1"/>
  <c r="T903" i="457"/>
  <c r="T902" i="457" s="1"/>
  <c r="T901" i="457" s="1"/>
  <c r="S903" i="457"/>
  <c r="S902" i="457" s="1"/>
  <c r="Q903" i="457"/>
  <c r="Q902" i="457" s="1"/>
  <c r="Q901" i="457" s="1"/>
  <c r="P903" i="457"/>
  <c r="O903" i="457"/>
  <c r="N903" i="457"/>
  <c r="N902" i="457" s="1"/>
  <c r="N901" i="457" s="1"/>
  <c r="M903" i="457"/>
  <c r="M902" i="457" s="1"/>
  <c r="M901" i="457" s="1"/>
  <c r="L903" i="457"/>
  <c r="L902" i="457" s="1"/>
  <c r="L901" i="457" s="1"/>
  <c r="J903" i="457"/>
  <c r="J902" i="457" s="1"/>
  <c r="J901" i="457" s="1"/>
  <c r="I903" i="457"/>
  <c r="I902" i="457" s="1"/>
  <c r="I901" i="457" s="1"/>
  <c r="H903" i="457"/>
  <c r="H902" i="457" s="1"/>
  <c r="H901" i="457" s="1"/>
  <c r="G903" i="457"/>
  <c r="G902" i="457" s="1"/>
  <c r="G901" i="457" s="1"/>
  <c r="E903" i="457"/>
  <c r="D903" i="457"/>
  <c r="P902" i="457"/>
  <c r="P901" i="457" s="1"/>
  <c r="O902" i="457"/>
  <c r="O901" i="457" s="1"/>
  <c r="E902" i="457"/>
  <c r="E901" i="457"/>
  <c r="AA900" i="457"/>
  <c r="R900" i="457"/>
  <c r="E900" i="457"/>
  <c r="K900" i="457" s="1"/>
  <c r="Z899" i="457"/>
  <c r="Z896" i="457" s="1"/>
  <c r="Y899" i="457"/>
  <c r="Y896" i="457" s="1"/>
  <c r="X899" i="457"/>
  <c r="X896" i="457" s="1"/>
  <c r="W899" i="457"/>
  <c r="V899" i="457"/>
  <c r="V896" i="457" s="1"/>
  <c r="U899" i="457"/>
  <c r="U896" i="457" s="1"/>
  <c r="T899" i="457"/>
  <c r="T896" i="457" s="1"/>
  <c r="S899" i="457"/>
  <c r="S896" i="457" s="1"/>
  <c r="Q899" i="457"/>
  <c r="Q896" i="457" s="1"/>
  <c r="P899" i="457"/>
  <c r="P896" i="457" s="1"/>
  <c r="O899" i="457"/>
  <c r="O896" i="457" s="1"/>
  <c r="N899" i="457"/>
  <c r="N896" i="457" s="1"/>
  <c r="M899" i="457"/>
  <c r="M896" i="457" s="1"/>
  <c r="L899" i="457"/>
  <c r="L896" i="457" s="1"/>
  <c r="J899" i="457"/>
  <c r="J896" i="457" s="1"/>
  <c r="I899" i="457"/>
  <c r="H899" i="457"/>
  <c r="H896" i="457" s="1"/>
  <c r="G899" i="457"/>
  <c r="E899" i="457"/>
  <c r="D899" i="457"/>
  <c r="AA898" i="457"/>
  <c r="R898" i="457"/>
  <c r="E898" i="457"/>
  <c r="K898" i="457" s="1"/>
  <c r="AA897" i="457"/>
  <c r="R897" i="457"/>
  <c r="K897" i="457"/>
  <c r="E897" i="457"/>
  <c r="W896" i="457"/>
  <c r="I896" i="457"/>
  <c r="E896" i="457"/>
  <c r="D896" i="457"/>
  <c r="AA895" i="457"/>
  <c r="R895" i="457"/>
  <c r="E895" i="457"/>
  <c r="K895" i="457" s="1"/>
  <c r="AA894" i="457"/>
  <c r="R894" i="457"/>
  <c r="K894" i="457"/>
  <c r="E894" i="457"/>
  <c r="AA893" i="457"/>
  <c r="R893" i="457"/>
  <c r="E893" i="457"/>
  <c r="K893" i="457" s="1"/>
  <c r="Z892" i="457"/>
  <c r="Z885" i="457" s="1"/>
  <c r="Y892" i="457"/>
  <c r="Y885" i="457" s="1"/>
  <c r="X892" i="457"/>
  <c r="X885" i="457" s="1"/>
  <c r="W892" i="457"/>
  <c r="W885" i="457" s="1"/>
  <c r="V892" i="457"/>
  <c r="V885" i="457" s="1"/>
  <c r="U892" i="457"/>
  <c r="U885" i="457" s="1"/>
  <c r="T892" i="457"/>
  <c r="S892" i="457"/>
  <c r="S885" i="457" s="1"/>
  <c r="Q892" i="457"/>
  <c r="Q885" i="457" s="1"/>
  <c r="P892" i="457"/>
  <c r="P885" i="457" s="1"/>
  <c r="O892" i="457"/>
  <c r="O885" i="457" s="1"/>
  <c r="N892" i="457"/>
  <c r="N885" i="457" s="1"/>
  <c r="N884" i="457" s="1"/>
  <c r="M892" i="457"/>
  <c r="M885" i="457" s="1"/>
  <c r="L892" i="457"/>
  <c r="L885" i="457" s="1"/>
  <c r="J892" i="457"/>
  <c r="J885" i="457" s="1"/>
  <c r="I892" i="457"/>
  <c r="I885" i="457" s="1"/>
  <c r="H892" i="457"/>
  <c r="G892" i="457"/>
  <c r="G885" i="457" s="1"/>
  <c r="F892" i="457"/>
  <c r="F885" i="457" s="1"/>
  <c r="E892" i="457"/>
  <c r="D892" i="457"/>
  <c r="D885" i="457" s="1"/>
  <c r="D884" i="457" s="1"/>
  <c r="AA891" i="457"/>
  <c r="R891" i="457"/>
  <c r="E891" i="457"/>
  <c r="K891" i="457" s="1"/>
  <c r="AA890" i="457"/>
  <c r="R890" i="457"/>
  <c r="K890" i="457"/>
  <c r="E890" i="457"/>
  <c r="AA889" i="457"/>
  <c r="R889" i="457"/>
  <c r="E889" i="457"/>
  <c r="K889" i="457" s="1"/>
  <c r="AA888" i="457"/>
  <c r="R888" i="457"/>
  <c r="K888" i="457"/>
  <c r="E888" i="457"/>
  <c r="AA887" i="457"/>
  <c r="R887" i="457"/>
  <c r="E887" i="457"/>
  <c r="K887" i="457" s="1"/>
  <c r="AA886" i="457"/>
  <c r="R886" i="457"/>
  <c r="K886" i="457"/>
  <c r="E886" i="457"/>
  <c r="T885" i="457"/>
  <c r="H885" i="457"/>
  <c r="E885" i="457"/>
  <c r="E884" i="457"/>
  <c r="AA883" i="457"/>
  <c r="R883" i="457"/>
  <c r="E883" i="457"/>
  <c r="K883" i="457" s="1"/>
  <c r="AA882" i="457"/>
  <c r="R882" i="457"/>
  <c r="E882" i="457"/>
  <c r="K882" i="457" s="1"/>
  <c r="AA881" i="457"/>
  <c r="R881" i="457"/>
  <c r="K881" i="457"/>
  <c r="E881" i="457"/>
  <c r="Z880" i="457"/>
  <c r="Z873" i="457" s="1"/>
  <c r="Y880" i="457"/>
  <c r="Y873" i="457" s="1"/>
  <c r="X880" i="457"/>
  <c r="X873" i="457" s="1"/>
  <c r="W880" i="457"/>
  <c r="W873" i="457" s="1"/>
  <c r="V880" i="457"/>
  <c r="V873" i="457" s="1"/>
  <c r="U880" i="457"/>
  <c r="U873" i="457" s="1"/>
  <c r="T880" i="457"/>
  <c r="T873" i="457" s="1"/>
  <c r="S880" i="457"/>
  <c r="S873" i="457" s="1"/>
  <c r="Q880" i="457"/>
  <c r="P880" i="457"/>
  <c r="P873" i="457" s="1"/>
  <c r="O880" i="457"/>
  <c r="O873" i="457" s="1"/>
  <c r="N880" i="457"/>
  <c r="N873" i="457" s="1"/>
  <c r="M880" i="457"/>
  <c r="M873" i="457" s="1"/>
  <c r="L880" i="457"/>
  <c r="L873" i="457" s="1"/>
  <c r="J880" i="457"/>
  <c r="J873" i="457" s="1"/>
  <c r="I880" i="457"/>
  <c r="I873" i="457" s="1"/>
  <c r="H880" i="457"/>
  <c r="H873" i="457" s="1"/>
  <c r="G880" i="457"/>
  <c r="G873" i="457" s="1"/>
  <c r="F880" i="457"/>
  <c r="E880" i="457"/>
  <c r="D880" i="457"/>
  <c r="AA879" i="457"/>
  <c r="R879" i="457"/>
  <c r="K879" i="457"/>
  <c r="E879" i="457"/>
  <c r="AA878" i="457"/>
  <c r="R878" i="457"/>
  <c r="E878" i="457"/>
  <c r="K878" i="457" s="1"/>
  <c r="AA877" i="457"/>
  <c r="R877" i="457"/>
  <c r="K877" i="457"/>
  <c r="E877" i="457"/>
  <c r="AA876" i="457"/>
  <c r="R876" i="457"/>
  <c r="E876" i="457"/>
  <c r="K876" i="457" s="1"/>
  <c r="AA875" i="457"/>
  <c r="R875" i="457"/>
  <c r="K875" i="457"/>
  <c r="E875" i="457"/>
  <c r="AA874" i="457"/>
  <c r="R874" i="457"/>
  <c r="K874" i="457"/>
  <c r="E874" i="457"/>
  <c r="Q873" i="457"/>
  <c r="E873" i="457"/>
  <c r="D873" i="457"/>
  <c r="AA872" i="457"/>
  <c r="R872" i="457"/>
  <c r="K872" i="457"/>
  <c r="E872" i="457"/>
  <c r="AA871" i="457"/>
  <c r="R871" i="457"/>
  <c r="K871" i="457"/>
  <c r="E871" i="457"/>
  <c r="AA870" i="457"/>
  <c r="R870" i="457"/>
  <c r="E870" i="457"/>
  <c r="K870" i="457" s="1"/>
  <c r="Z869" i="457"/>
  <c r="Z862" i="457" s="1"/>
  <c r="Y869" i="457"/>
  <c r="Y862" i="457" s="1"/>
  <c r="X869" i="457"/>
  <c r="X862" i="457" s="1"/>
  <c r="W869" i="457"/>
  <c r="W862" i="457" s="1"/>
  <c r="V869" i="457"/>
  <c r="V862" i="457" s="1"/>
  <c r="V861" i="457" s="1"/>
  <c r="U869" i="457"/>
  <c r="U862" i="457" s="1"/>
  <c r="T869" i="457"/>
  <c r="T862" i="457" s="1"/>
  <c r="S869" i="457"/>
  <c r="Q869" i="457"/>
  <c r="Q862" i="457" s="1"/>
  <c r="P869" i="457"/>
  <c r="O869" i="457"/>
  <c r="O862" i="457" s="1"/>
  <c r="N869" i="457"/>
  <c r="N862" i="457" s="1"/>
  <c r="M869" i="457"/>
  <c r="L869" i="457"/>
  <c r="J869" i="457"/>
  <c r="J862" i="457" s="1"/>
  <c r="I869" i="457"/>
  <c r="H869" i="457"/>
  <c r="H862" i="457" s="1"/>
  <c r="H861" i="457" s="1"/>
  <c r="G869" i="457"/>
  <c r="G862" i="457" s="1"/>
  <c r="F869" i="457"/>
  <c r="E869" i="457"/>
  <c r="D869" i="457"/>
  <c r="D862" i="457" s="1"/>
  <c r="AA868" i="457"/>
  <c r="R868" i="457"/>
  <c r="K868" i="457"/>
  <c r="E868" i="457"/>
  <c r="AA867" i="457"/>
  <c r="R867" i="457"/>
  <c r="E867" i="457"/>
  <c r="K867" i="457" s="1"/>
  <c r="AA866" i="457"/>
  <c r="R866" i="457"/>
  <c r="E866" i="457"/>
  <c r="K866" i="457" s="1"/>
  <c r="AA865" i="457"/>
  <c r="R865" i="457"/>
  <c r="K865" i="457"/>
  <c r="E865" i="457"/>
  <c r="AA864" i="457"/>
  <c r="R864" i="457"/>
  <c r="K864" i="457"/>
  <c r="E864" i="457"/>
  <c r="AA863" i="457"/>
  <c r="R863" i="457"/>
  <c r="E863" i="457"/>
  <c r="K863" i="457" s="1"/>
  <c r="P862" i="457"/>
  <c r="L862" i="457"/>
  <c r="I862" i="457"/>
  <c r="E862" i="457"/>
  <c r="E861" i="457"/>
  <c r="AA860" i="457"/>
  <c r="R860" i="457"/>
  <c r="K860" i="457"/>
  <c r="E860" i="457"/>
  <c r="AA859" i="457"/>
  <c r="R859" i="457"/>
  <c r="E859" i="457"/>
  <c r="K859" i="457" s="1"/>
  <c r="Z858" i="457"/>
  <c r="Z853" i="457" s="1"/>
  <c r="Z852" i="457" s="1"/>
  <c r="Y858" i="457"/>
  <c r="Y853" i="457" s="1"/>
  <c r="Y852" i="457" s="1"/>
  <c r="X858" i="457"/>
  <c r="X853" i="457" s="1"/>
  <c r="X852" i="457" s="1"/>
  <c r="W858" i="457"/>
  <c r="W853" i="457" s="1"/>
  <c r="W852" i="457" s="1"/>
  <c r="V858" i="457"/>
  <c r="V853" i="457" s="1"/>
  <c r="V852" i="457" s="1"/>
  <c r="U858" i="457"/>
  <c r="U853" i="457" s="1"/>
  <c r="U852" i="457" s="1"/>
  <c r="T858" i="457"/>
  <c r="T853" i="457" s="1"/>
  <c r="T852" i="457" s="1"/>
  <c r="S858" i="457"/>
  <c r="S853" i="457" s="1"/>
  <c r="S852" i="457" s="1"/>
  <c r="Q858" i="457"/>
  <c r="Q853" i="457" s="1"/>
  <c r="Q852" i="457" s="1"/>
  <c r="P858" i="457"/>
  <c r="O858" i="457"/>
  <c r="O853" i="457" s="1"/>
  <c r="O852" i="457" s="1"/>
  <c r="N858" i="457"/>
  <c r="N853" i="457" s="1"/>
  <c r="N852" i="457" s="1"/>
  <c r="M858" i="457"/>
  <c r="M853" i="457" s="1"/>
  <c r="M852" i="457" s="1"/>
  <c r="L858" i="457"/>
  <c r="L853" i="457" s="1"/>
  <c r="L852" i="457" s="1"/>
  <c r="J858" i="457"/>
  <c r="J853" i="457" s="1"/>
  <c r="J852" i="457" s="1"/>
  <c r="I858" i="457"/>
  <c r="I853" i="457" s="1"/>
  <c r="I852" i="457" s="1"/>
  <c r="H858" i="457"/>
  <c r="H853" i="457" s="1"/>
  <c r="H852" i="457" s="1"/>
  <c r="G858" i="457"/>
  <c r="G853" i="457" s="1"/>
  <c r="G852" i="457" s="1"/>
  <c r="F858" i="457"/>
  <c r="E858" i="457"/>
  <c r="D858" i="457"/>
  <c r="AA857" i="457"/>
  <c r="R857" i="457"/>
  <c r="E857" i="457"/>
  <c r="K857" i="457" s="1"/>
  <c r="AA856" i="457"/>
  <c r="R856" i="457"/>
  <c r="K856" i="457"/>
  <c r="E856" i="457"/>
  <c r="AA855" i="457"/>
  <c r="R855" i="457"/>
  <c r="K855" i="457"/>
  <c r="E855" i="457"/>
  <c r="AA854" i="457"/>
  <c r="R854" i="457"/>
  <c r="E854" i="457"/>
  <c r="D854" i="457"/>
  <c r="P853" i="457"/>
  <c r="P852" i="457" s="1"/>
  <c r="E853" i="457"/>
  <c r="E852" i="457"/>
  <c r="E851" i="457"/>
  <c r="AA850" i="457"/>
  <c r="R850" i="457"/>
  <c r="K850" i="457"/>
  <c r="E850" i="457"/>
  <c r="AA849" i="457"/>
  <c r="R849" i="457"/>
  <c r="E849" i="457"/>
  <c r="K849" i="457" s="1"/>
  <c r="AA848" i="457"/>
  <c r="R848" i="457"/>
  <c r="K848" i="457"/>
  <c r="E848" i="457"/>
  <c r="Z847" i="457"/>
  <c r="Z844" i="457" s="1"/>
  <c r="Y847" i="457"/>
  <c r="Y844" i="457" s="1"/>
  <c r="X847" i="457"/>
  <c r="X844" i="457" s="1"/>
  <c r="W847" i="457"/>
  <c r="W844" i="457" s="1"/>
  <c r="V847" i="457"/>
  <c r="V844" i="457" s="1"/>
  <c r="U847" i="457"/>
  <c r="U844" i="457" s="1"/>
  <c r="T847" i="457"/>
  <c r="T844" i="457" s="1"/>
  <c r="S847" i="457"/>
  <c r="Q847" i="457"/>
  <c r="Q844" i="457" s="1"/>
  <c r="P847" i="457"/>
  <c r="P844" i="457" s="1"/>
  <c r="O847" i="457"/>
  <c r="O844" i="457" s="1"/>
  <c r="N847" i="457"/>
  <c r="N844" i="457" s="1"/>
  <c r="M847" i="457"/>
  <c r="M844" i="457" s="1"/>
  <c r="L847" i="457"/>
  <c r="J847" i="457"/>
  <c r="I847" i="457"/>
  <c r="I844" i="457" s="1"/>
  <c r="H847" i="457"/>
  <c r="H844" i="457" s="1"/>
  <c r="G847" i="457"/>
  <c r="G844" i="457" s="1"/>
  <c r="F847" i="457"/>
  <c r="E847" i="457"/>
  <c r="D847" i="457"/>
  <c r="AA846" i="457"/>
  <c r="R846" i="457"/>
  <c r="K846" i="457"/>
  <c r="E846" i="457"/>
  <c r="AA845" i="457"/>
  <c r="R845" i="457"/>
  <c r="K845" i="457"/>
  <c r="E845" i="457"/>
  <c r="J844" i="457"/>
  <c r="E844" i="457"/>
  <c r="AA843" i="457"/>
  <c r="R843" i="457"/>
  <c r="E843" i="457"/>
  <c r="K843" i="457" s="1"/>
  <c r="AA842" i="457"/>
  <c r="R842" i="457"/>
  <c r="K842" i="457"/>
  <c r="E842" i="457"/>
  <c r="Z841" i="457"/>
  <c r="Z836" i="457" s="1"/>
  <c r="Y841" i="457"/>
  <c r="Y836" i="457" s="1"/>
  <c r="X841" i="457"/>
  <c r="X836" i="457" s="1"/>
  <c r="W841" i="457"/>
  <c r="W836" i="457" s="1"/>
  <c r="V841" i="457"/>
  <c r="U841" i="457"/>
  <c r="U836" i="457" s="1"/>
  <c r="T841" i="457"/>
  <c r="T836" i="457" s="1"/>
  <c r="S841" i="457"/>
  <c r="S836" i="457" s="1"/>
  <c r="Q841" i="457"/>
  <c r="Q836" i="457" s="1"/>
  <c r="P841" i="457"/>
  <c r="P836" i="457" s="1"/>
  <c r="O841" i="457"/>
  <c r="O836" i="457" s="1"/>
  <c r="N841" i="457"/>
  <c r="N836" i="457" s="1"/>
  <c r="M841" i="457"/>
  <c r="M836" i="457" s="1"/>
  <c r="L841" i="457"/>
  <c r="J841" i="457"/>
  <c r="J836" i="457" s="1"/>
  <c r="I841" i="457"/>
  <c r="I836" i="457" s="1"/>
  <c r="H841" i="457"/>
  <c r="H836" i="457" s="1"/>
  <c r="G841" i="457"/>
  <c r="G836" i="457" s="1"/>
  <c r="F841" i="457"/>
  <c r="F836" i="457" s="1"/>
  <c r="F835" i="457" s="1"/>
  <c r="E841" i="457"/>
  <c r="D841" i="457"/>
  <c r="AA840" i="457"/>
  <c r="R840" i="457"/>
  <c r="K840" i="457"/>
  <c r="E840" i="457"/>
  <c r="AA839" i="457"/>
  <c r="R839" i="457"/>
  <c r="E839" i="457"/>
  <c r="K839" i="457" s="1"/>
  <c r="AA838" i="457"/>
  <c r="R838" i="457"/>
  <c r="K838" i="457"/>
  <c r="E838" i="457"/>
  <c r="AA837" i="457"/>
  <c r="R837" i="457"/>
  <c r="E837" i="457"/>
  <c r="K837" i="457" s="1"/>
  <c r="V836" i="457"/>
  <c r="E836" i="457"/>
  <c r="E835" i="457"/>
  <c r="AA834" i="457"/>
  <c r="R834" i="457"/>
  <c r="K834" i="457"/>
  <c r="E834" i="457"/>
  <c r="AA833" i="457"/>
  <c r="R833" i="457"/>
  <c r="K833" i="457"/>
  <c r="E833" i="457"/>
  <c r="AA832" i="457"/>
  <c r="R832" i="457"/>
  <c r="E832" i="457"/>
  <c r="K832" i="457" s="1"/>
  <c r="Z831" i="457"/>
  <c r="Z824" i="457" s="1"/>
  <c r="Z823" i="457" s="1"/>
  <c r="Y831" i="457"/>
  <c r="Y824" i="457" s="1"/>
  <c r="X831" i="457"/>
  <c r="X824" i="457" s="1"/>
  <c r="X823" i="457" s="1"/>
  <c r="W831" i="457"/>
  <c r="V831" i="457"/>
  <c r="V824" i="457" s="1"/>
  <c r="V823" i="457" s="1"/>
  <c r="U831" i="457"/>
  <c r="U824" i="457" s="1"/>
  <c r="U823" i="457" s="1"/>
  <c r="T831" i="457"/>
  <c r="T824" i="457" s="1"/>
  <c r="T823" i="457" s="1"/>
  <c r="S831" i="457"/>
  <c r="Q831" i="457"/>
  <c r="P831" i="457"/>
  <c r="O831" i="457"/>
  <c r="O824" i="457" s="1"/>
  <c r="O823" i="457" s="1"/>
  <c r="N831" i="457"/>
  <c r="M831" i="457"/>
  <c r="M824" i="457" s="1"/>
  <c r="M823" i="457" s="1"/>
  <c r="L831" i="457"/>
  <c r="L824" i="457" s="1"/>
  <c r="L823" i="457" s="1"/>
  <c r="J831" i="457"/>
  <c r="J824" i="457" s="1"/>
  <c r="J823" i="457" s="1"/>
  <c r="I831" i="457"/>
  <c r="I824" i="457" s="1"/>
  <c r="I823" i="457" s="1"/>
  <c r="H831" i="457"/>
  <c r="H824" i="457" s="1"/>
  <c r="H823" i="457" s="1"/>
  <c r="G831" i="457"/>
  <c r="G824" i="457" s="1"/>
  <c r="G823" i="457" s="1"/>
  <c r="F831" i="457"/>
  <c r="E831" i="457"/>
  <c r="D831" i="457"/>
  <c r="D824" i="457" s="1"/>
  <c r="D823" i="457" s="1"/>
  <c r="AA830" i="457"/>
  <c r="R830" i="457"/>
  <c r="E830" i="457"/>
  <c r="K830" i="457" s="1"/>
  <c r="AA829" i="457"/>
  <c r="R829" i="457"/>
  <c r="K829" i="457"/>
  <c r="E829" i="457"/>
  <c r="AA828" i="457"/>
  <c r="R828" i="457"/>
  <c r="E828" i="457"/>
  <c r="K828" i="457" s="1"/>
  <c r="AA827" i="457"/>
  <c r="R827" i="457"/>
  <c r="K827" i="457"/>
  <c r="E827" i="457"/>
  <c r="AA826" i="457"/>
  <c r="R826" i="457"/>
  <c r="K826" i="457"/>
  <c r="E826" i="457"/>
  <c r="AA825" i="457"/>
  <c r="R825" i="457"/>
  <c r="K825" i="457"/>
  <c r="E825" i="457"/>
  <c r="W824" i="457"/>
  <c r="W823" i="457" s="1"/>
  <c r="Q824" i="457"/>
  <c r="Q823" i="457" s="1"/>
  <c r="P824" i="457"/>
  <c r="P823" i="457" s="1"/>
  <c r="E824" i="457"/>
  <c r="Y823" i="457"/>
  <c r="E823" i="457"/>
  <c r="E822" i="457"/>
  <c r="E821" i="457"/>
  <c r="E820" i="457"/>
  <c r="E1104" i="457" s="1"/>
  <c r="AA816" i="457"/>
  <c r="R816" i="457"/>
  <c r="K816" i="457"/>
  <c r="E816" i="457"/>
  <c r="AA815" i="457"/>
  <c r="R815" i="457"/>
  <c r="K815" i="457"/>
  <c r="E815" i="457"/>
  <c r="AA814" i="457"/>
  <c r="R814" i="457"/>
  <c r="K814" i="457"/>
  <c r="E814" i="457"/>
  <c r="AA813" i="457"/>
  <c r="R813" i="457"/>
  <c r="K813" i="457"/>
  <c r="E813" i="457"/>
  <c r="AA812" i="457"/>
  <c r="R812" i="457"/>
  <c r="K812" i="457"/>
  <c r="E812" i="457"/>
  <c r="AA811" i="457"/>
  <c r="R811" i="457"/>
  <c r="K811" i="457"/>
  <c r="E811" i="457"/>
  <c r="AA810" i="457"/>
  <c r="R810" i="457"/>
  <c r="K810" i="457"/>
  <c r="E810" i="457"/>
  <c r="AA809" i="457"/>
  <c r="R809" i="457"/>
  <c r="K809" i="457"/>
  <c r="E809" i="457"/>
  <c r="AA808" i="457"/>
  <c r="R808" i="457"/>
  <c r="K808" i="457"/>
  <c r="E808" i="457"/>
  <c r="AA807" i="457"/>
  <c r="R807" i="457"/>
  <c r="K807" i="457"/>
  <c r="E807" i="457"/>
  <c r="AA806" i="457"/>
  <c r="R806" i="457"/>
  <c r="K806" i="457"/>
  <c r="E806" i="457"/>
  <c r="AA805" i="457"/>
  <c r="R805" i="457"/>
  <c r="K805" i="457"/>
  <c r="E805" i="457"/>
  <c r="AA804" i="457"/>
  <c r="R804" i="457"/>
  <c r="K804" i="457"/>
  <c r="E804" i="457"/>
  <c r="AA803" i="457"/>
  <c r="R803" i="457"/>
  <c r="K803" i="457"/>
  <c r="E803" i="457"/>
  <c r="AA802" i="457"/>
  <c r="R802" i="457"/>
  <c r="K802" i="457"/>
  <c r="E802" i="457"/>
  <c r="AA801" i="457"/>
  <c r="R801" i="457"/>
  <c r="K801" i="457"/>
  <c r="E801" i="457"/>
  <c r="AA800" i="457"/>
  <c r="R800" i="457"/>
  <c r="K800" i="457"/>
  <c r="E800" i="457"/>
  <c r="AA799" i="457"/>
  <c r="R799" i="457"/>
  <c r="K799" i="457"/>
  <c r="E799" i="457"/>
  <c r="AA798" i="457"/>
  <c r="R798" i="457"/>
  <c r="K798" i="457"/>
  <c r="E798" i="457"/>
  <c r="AA797" i="457"/>
  <c r="R797" i="457"/>
  <c r="K797" i="457"/>
  <c r="E797" i="457"/>
  <c r="AA796" i="457"/>
  <c r="R796" i="457"/>
  <c r="K796" i="457"/>
  <c r="E796" i="457"/>
  <c r="AA795" i="457"/>
  <c r="R795" i="457"/>
  <c r="E795" i="457"/>
  <c r="K795" i="457" s="1"/>
  <c r="AA794" i="457"/>
  <c r="R794" i="457"/>
  <c r="K794" i="457"/>
  <c r="E794" i="457"/>
  <c r="AA793" i="457"/>
  <c r="R793" i="457"/>
  <c r="K793" i="457"/>
  <c r="E793" i="457"/>
  <c r="AA792" i="457"/>
  <c r="R792" i="457"/>
  <c r="K792" i="457"/>
  <c r="E792" i="457"/>
  <c r="AA791" i="457"/>
  <c r="R791" i="457"/>
  <c r="E791" i="457"/>
  <c r="K791" i="457" s="1"/>
  <c r="AA790" i="457"/>
  <c r="R790" i="457"/>
  <c r="K790" i="457"/>
  <c r="E790" i="457"/>
  <c r="AA789" i="457"/>
  <c r="R789" i="457"/>
  <c r="K789" i="457"/>
  <c r="E789" i="457"/>
  <c r="AA788" i="457"/>
  <c r="R788" i="457"/>
  <c r="K788" i="457"/>
  <c r="E788" i="457"/>
  <c r="AA787" i="457"/>
  <c r="R787" i="457"/>
  <c r="E787" i="457"/>
  <c r="K787" i="457" s="1"/>
  <c r="AA786" i="457"/>
  <c r="R786" i="457"/>
  <c r="K786" i="457"/>
  <c r="E786" i="457"/>
  <c r="AA785" i="457"/>
  <c r="R785" i="457"/>
  <c r="K785" i="457"/>
  <c r="E785" i="457"/>
  <c r="AA784" i="457"/>
  <c r="R784" i="457"/>
  <c r="AB784" i="457" s="1"/>
  <c r="K784" i="457"/>
  <c r="E784" i="457"/>
  <c r="AA783" i="457"/>
  <c r="R783" i="457"/>
  <c r="E783" i="457"/>
  <c r="K783" i="457" s="1"/>
  <c r="AA782" i="457"/>
  <c r="R782" i="457"/>
  <c r="K782" i="457"/>
  <c r="E782" i="457"/>
  <c r="AA781" i="457"/>
  <c r="R781" i="457"/>
  <c r="K781" i="457"/>
  <c r="E781" i="457"/>
  <c r="AA780" i="457"/>
  <c r="R780" i="457"/>
  <c r="K780" i="457"/>
  <c r="E780" i="457"/>
  <c r="AA779" i="457"/>
  <c r="R779" i="457"/>
  <c r="E779" i="457"/>
  <c r="K779" i="457" s="1"/>
  <c r="AA778" i="457"/>
  <c r="R778" i="457"/>
  <c r="K778" i="457"/>
  <c r="E778" i="457"/>
  <c r="AA777" i="457"/>
  <c r="R777" i="457"/>
  <c r="K777" i="457"/>
  <c r="E777" i="457"/>
  <c r="AA776" i="457"/>
  <c r="R776" i="457"/>
  <c r="K776" i="457"/>
  <c r="E776" i="457"/>
  <c r="AA775" i="457"/>
  <c r="R775" i="457"/>
  <c r="E775" i="457"/>
  <c r="K775" i="457" s="1"/>
  <c r="AA774" i="457"/>
  <c r="R774" i="457"/>
  <c r="K774" i="457"/>
  <c r="E774" i="457"/>
  <c r="AA773" i="457"/>
  <c r="R773" i="457"/>
  <c r="K773" i="457"/>
  <c r="E773" i="457"/>
  <c r="AA772" i="457"/>
  <c r="R772" i="457"/>
  <c r="K772" i="457"/>
  <c r="E772" i="457"/>
  <c r="Z771" i="457"/>
  <c r="Y771" i="457"/>
  <c r="X771" i="457"/>
  <c r="W771" i="457"/>
  <c r="V771" i="457"/>
  <c r="U771" i="457"/>
  <c r="T771" i="457"/>
  <c r="S771" i="457"/>
  <c r="Q771" i="457"/>
  <c r="P771" i="457"/>
  <c r="O771" i="457"/>
  <c r="N771" i="457"/>
  <c r="M771" i="457"/>
  <c r="L771" i="457"/>
  <c r="J771" i="457"/>
  <c r="I771" i="457"/>
  <c r="H771" i="457"/>
  <c r="G771" i="457"/>
  <c r="F771" i="457"/>
  <c r="E771" i="457"/>
  <c r="D771" i="457"/>
  <c r="AA770" i="457"/>
  <c r="R770" i="457"/>
  <c r="K770" i="457"/>
  <c r="E770" i="457"/>
  <c r="Z769" i="457"/>
  <c r="Y769" i="457"/>
  <c r="X769" i="457"/>
  <c r="W769" i="457"/>
  <c r="V769" i="457"/>
  <c r="U769" i="457"/>
  <c r="T769" i="457"/>
  <c r="S769" i="457"/>
  <c r="Q769" i="457"/>
  <c r="P769" i="457"/>
  <c r="O769" i="457"/>
  <c r="N769" i="457"/>
  <c r="M769" i="457"/>
  <c r="L769" i="457"/>
  <c r="J769" i="457"/>
  <c r="I769" i="457"/>
  <c r="H769" i="457"/>
  <c r="G769" i="457"/>
  <c r="F769" i="457"/>
  <c r="E769" i="457"/>
  <c r="D769" i="457"/>
  <c r="AA768" i="457"/>
  <c r="R768" i="457"/>
  <c r="K768" i="457"/>
  <c r="E768" i="457"/>
  <c r="Z767" i="457"/>
  <c r="Y767" i="457"/>
  <c r="X767" i="457"/>
  <c r="W767" i="457"/>
  <c r="V767" i="457"/>
  <c r="U767" i="457"/>
  <c r="T767" i="457"/>
  <c r="S767" i="457"/>
  <c r="Q767" i="457"/>
  <c r="P767" i="457"/>
  <c r="O767" i="457"/>
  <c r="N767" i="457"/>
  <c r="M767" i="457"/>
  <c r="L767" i="457"/>
  <c r="J767" i="457"/>
  <c r="I767" i="457"/>
  <c r="H767" i="457"/>
  <c r="G767" i="457"/>
  <c r="F767" i="457"/>
  <c r="E767" i="457"/>
  <c r="D767" i="457"/>
  <c r="AA766" i="457"/>
  <c r="R766" i="457"/>
  <c r="K766" i="457"/>
  <c r="E766" i="457"/>
  <c r="Z765" i="457"/>
  <c r="Y765" i="457"/>
  <c r="X765" i="457"/>
  <c r="W765" i="457"/>
  <c r="V765" i="457"/>
  <c r="U765" i="457"/>
  <c r="T765" i="457"/>
  <c r="S765" i="457"/>
  <c r="Q765" i="457"/>
  <c r="P765" i="457"/>
  <c r="O765" i="457"/>
  <c r="N765" i="457"/>
  <c r="M765" i="457"/>
  <c r="L765" i="457"/>
  <c r="J765" i="457"/>
  <c r="I765" i="457"/>
  <c r="H765" i="457"/>
  <c r="G765" i="457"/>
  <c r="F765" i="457"/>
  <c r="E765" i="457"/>
  <c r="D765" i="457"/>
  <c r="AA764" i="457"/>
  <c r="R764" i="457"/>
  <c r="K764" i="457"/>
  <c r="E764" i="457"/>
  <c r="Z763" i="457"/>
  <c r="Y763" i="457"/>
  <c r="X763" i="457"/>
  <c r="W763" i="457"/>
  <c r="V763" i="457"/>
  <c r="U763" i="457"/>
  <c r="T763" i="457"/>
  <c r="S763" i="457"/>
  <c r="Q763" i="457"/>
  <c r="P763" i="457"/>
  <c r="O763" i="457"/>
  <c r="N763" i="457"/>
  <c r="M763" i="457"/>
  <c r="L763" i="457"/>
  <c r="J763" i="457"/>
  <c r="I763" i="457"/>
  <c r="H763" i="457"/>
  <c r="G763" i="457"/>
  <c r="F763" i="457"/>
  <c r="E763" i="457"/>
  <c r="D763" i="457"/>
  <c r="AA762" i="457"/>
  <c r="R762" i="457"/>
  <c r="K762" i="457"/>
  <c r="E762" i="457"/>
  <c r="Z761" i="457"/>
  <c r="Y761" i="457"/>
  <c r="X761" i="457"/>
  <c r="W761" i="457"/>
  <c r="V761" i="457"/>
  <c r="U761" i="457"/>
  <c r="T761" i="457"/>
  <c r="S761" i="457"/>
  <c r="Q761" i="457"/>
  <c r="P761" i="457"/>
  <c r="O761" i="457"/>
  <c r="N761" i="457"/>
  <c r="M761" i="457"/>
  <c r="L761" i="457"/>
  <c r="J761" i="457"/>
  <c r="I761" i="457"/>
  <c r="H761" i="457"/>
  <c r="G761" i="457"/>
  <c r="F761" i="457"/>
  <c r="E761" i="457"/>
  <c r="D761" i="457"/>
  <c r="AA760" i="457"/>
  <c r="R760" i="457"/>
  <c r="K760" i="457"/>
  <c r="E760" i="457"/>
  <c r="Z759" i="457"/>
  <c r="Y759" i="457"/>
  <c r="X759" i="457"/>
  <c r="W759" i="457"/>
  <c r="V759" i="457"/>
  <c r="U759" i="457"/>
  <c r="T759" i="457"/>
  <c r="S759" i="457"/>
  <c r="Q759" i="457"/>
  <c r="P759" i="457"/>
  <c r="O759" i="457"/>
  <c r="N759" i="457"/>
  <c r="M759" i="457"/>
  <c r="L759" i="457"/>
  <c r="J759" i="457"/>
  <c r="I759" i="457"/>
  <c r="H759" i="457"/>
  <c r="G759" i="457"/>
  <c r="F759" i="457"/>
  <c r="E759" i="457"/>
  <c r="D759" i="457"/>
  <c r="E758" i="457"/>
  <c r="AA757" i="457"/>
  <c r="R757" i="457"/>
  <c r="E757" i="457"/>
  <c r="K757" i="457" s="1"/>
  <c r="AA756" i="457"/>
  <c r="R756" i="457"/>
  <c r="K756" i="457"/>
  <c r="E756" i="457"/>
  <c r="AA755" i="457"/>
  <c r="R755" i="457"/>
  <c r="K755" i="457"/>
  <c r="E755" i="457"/>
  <c r="AA754" i="457"/>
  <c r="R754" i="457"/>
  <c r="K754" i="457"/>
  <c r="E754" i="457"/>
  <c r="Z753" i="457"/>
  <c r="Y753" i="457"/>
  <c r="X753" i="457"/>
  <c r="W753" i="457"/>
  <c r="V753" i="457"/>
  <c r="U753" i="457"/>
  <c r="T753" i="457"/>
  <c r="S753" i="457"/>
  <c r="Q753" i="457"/>
  <c r="P753" i="457"/>
  <c r="O753" i="457"/>
  <c r="N753" i="457"/>
  <c r="M753" i="457"/>
  <c r="L753" i="457"/>
  <c r="J753" i="457"/>
  <c r="I753" i="457"/>
  <c r="H753" i="457"/>
  <c r="G753" i="457"/>
  <c r="F753" i="457"/>
  <c r="E753" i="457"/>
  <c r="D753" i="457"/>
  <c r="AA752" i="457"/>
  <c r="R752" i="457"/>
  <c r="K752" i="457"/>
  <c r="E752" i="457"/>
  <c r="Z751" i="457"/>
  <c r="Y751" i="457"/>
  <c r="X751" i="457"/>
  <c r="W751" i="457"/>
  <c r="V751" i="457"/>
  <c r="U751" i="457"/>
  <c r="T751" i="457"/>
  <c r="S751" i="457"/>
  <c r="Q751" i="457"/>
  <c r="P751" i="457"/>
  <c r="O751" i="457"/>
  <c r="N751" i="457"/>
  <c r="M751" i="457"/>
  <c r="L751" i="457"/>
  <c r="J751" i="457"/>
  <c r="I751" i="457"/>
  <c r="H751" i="457"/>
  <c r="G751" i="457"/>
  <c r="F751" i="457"/>
  <c r="E751" i="457"/>
  <c r="D751" i="457"/>
  <c r="AA750" i="457"/>
  <c r="R750" i="457"/>
  <c r="K750" i="457"/>
  <c r="E750" i="457"/>
  <c r="Z749" i="457"/>
  <c r="Y749" i="457"/>
  <c r="X749" i="457"/>
  <c r="W749" i="457"/>
  <c r="V749" i="457"/>
  <c r="U749" i="457"/>
  <c r="T749" i="457"/>
  <c r="S749" i="457"/>
  <c r="Q749" i="457"/>
  <c r="P749" i="457"/>
  <c r="O749" i="457"/>
  <c r="N749" i="457"/>
  <c r="M749" i="457"/>
  <c r="L749" i="457"/>
  <c r="J749" i="457"/>
  <c r="I749" i="457"/>
  <c r="H749" i="457"/>
  <c r="G749" i="457"/>
  <c r="F749" i="457"/>
  <c r="E749" i="457"/>
  <c r="D749" i="457"/>
  <c r="AA748" i="457"/>
  <c r="R748" i="457"/>
  <c r="K748" i="457"/>
  <c r="E748" i="457"/>
  <c r="AA747" i="457"/>
  <c r="R747" i="457"/>
  <c r="E747" i="457"/>
  <c r="K747" i="457" s="1"/>
  <c r="Z746" i="457"/>
  <c r="Y746" i="457"/>
  <c r="X746" i="457"/>
  <c r="W746" i="457"/>
  <c r="V746" i="457"/>
  <c r="U746" i="457"/>
  <c r="T746" i="457"/>
  <c r="S746" i="457"/>
  <c r="Q746" i="457"/>
  <c r="P746" i="457"/>
  <c r="O746" i="457"/>
  <c r="N746" i="457"/>
  <c r="M746" i="457"/>
  <c r="L746" i="457"/>
  <c r="J746" i="457"/>
  <c r="I746" i="457"/>
  <c r="H746" i="457"/>
  <c r="G746" i="457"/>
  <c r="F746" i="457"/>
  <c r="E746" i="457"/>
  <c r="D746" i="457"/>
  <c r="E745" i="457"/>
  <c r="AA744" i="457"/>
  <c r="R744" i="457"/>
  <c r="K744" i="457"/>
  <c r="E744" i="457"/>
  <c r="Z743" i="457"/>
  <c r="Y743" i="457"/>
  <c r="X743" i="457"/>
  <c r="W743" i="457"/>
  <c r="V743" i="457"/>
  <c r="U743" i="457"/>
  <c r="T743" i="457"/>
  <c r="S743" i="457"/>
  <c r="Q743" i="457"/>
  <c r="P743" i="457"/>
  <c r="O743" i="457"/>
  <c r="N743" i="457"/>
  <c r="M743" i="457"/>
  <c r="L743" i="457"/>
  <c r="J743" i="457"/>
  <c r="I743" i="457"/>
  <c r="H743" i="457"/>
  <c r="G743" i="457"/>
  <c r="F743" i="457"/>
  <c r="E743" i="457"/>
  <c r="D743" i="457"/>
  <c r="AA742" i="457"/>
  <c r="R742" i="457"/>
  <c r="K742" i="457"/>
  <c r="E742" i="457"/>
  <c r="Z741" i="457"/>
  <c r="Y741" i="457"/>
  <c r="X741" i="457"/>
  <c r="W741" i="457"/>
  <c r="V741" i="457"/>
  <c r="U741" i="457"/>
  <c r="T741" i="457"/>
  <c r="S741" i="457"/>
  <c r="Q741" i="457"/>
  <c r="P741" i="457"/>
  <c r="O741" i="457"/>
  <c r="N741" i="457"/>
  <c r="M741" i="457"/>
  <c r="L741" i="457"/>
  <c r="J741" i="457"/>
  <c r="I741" i="457"/>
  <c r="H741" i="457"/>
  <c r="G741" i="457"/>
  <c r="F741" i="457"/>
  <c r="E741" i="457"/>
  <c r="D741" i="457"/>
  <c r="AA740" i="457"/>
  <c r="R740" i="457"/>
  <c r="K740" i="457"/>
  <c r="E740" i="457"/>
  <c r="Z739" i="457"/>
  <c r="Y739" i="457"/>
  <c r="X739" i="457"/>
  <c r="W739" i="457"/>
  <c r="V739" i="457"/>
  <c r="U739" i="457"/>
  <c r="T739" i="457"/>
  <c r="S739" i="457"/>
  <c r="Q739" i="457"/>
  <c r="P739" i="457"/>
  <c r="O739" i="457"/>
  <c r="N739" i="457"/>
  <c r="M739" i="457"/>
  <c r="L739" i="457"/>
  <c r="J739" i="457"/>
  <c r="I739" i="457"/>
  <c r="H739" i="457"/>
  <c r="G739" i="457"/>
  <c r="F739" i="457"/>
  <c r="E739" i="457"/>
  <c r="D739" i="457"/>
  <c r="AA738" i="457"/>
  <c r="R738" i="457"/>
  <c r="K738" i="457"/>
  <c r="E738" i="457"/>
  <c r="Z737" i="457"/>
  <c r="Y737" i="457"/>
  <c r="X737" i="457"/>
  <c r="W737" i="457"/>
  <c r="V737" i="457"/>
  <c r="U737" i="457"/>
  <c r="T737" i="457"/>
  <c r="S737" i="457"/>
  <c r="Q737" i="457"/>
  <c r="P737" i="457"/>
  <c r="O737" i="457"/>
  <c r="N737" i="457"/>
  <c r="M737" i="457"/>
  <c r="L737" i="457"/>
  <c r="J737" i="457"/>
  <c r="I737" i="457"/>
  <c r="H737" i="457"/>
  <c r="G737" i="457"/>
  <c r="F737" i="457"/>
  <c r="E737" i="457"/>
  <c r="D737" i="457"/>
  <c r="AA736" i="457"/>
  <c r="R736" i="457"/>
  <c r="K736" i="457"/>
  <c r="E736" i="457"/>
  <c r="Z735" i="457"/>
  <c r="Y735" i="457"/>
  <c r="X735" i="457"/>
  <c r="W735" i="457"/>
  <c r="V735" i="457"/>
  <c r="U735" i="457"/>
  <c r="T735" i="457"/>
  <c r="S735" i="457"/>
  <c r="Q735" i="457"/>
  <c r="P735" i="457"/>
  <c r="O735" i="457"/>
  <c r="N735" i="457"/>
  <c r="M735" i="457"/>
  <c r="L735" i="457"/>
  <c r="J735" i="457"/>
  <c r="I735" i="457"/>
  <c r="H735" i="457"/>
  <c r="G735" i="457"/>
  <c r="F735" i="457"/>
  <c r="E735" i="457"/>
  <c r="D735" i="457"/>
  <c r="AA734" i="457"/>
  <c r="R734" i="457"/>
  <c r="K734" i="457"/>
  <c r="E734" i="457"/>
  <c r="Z733" i="457"/>
  <c r="Y733" i="457"/>
  <c r="X733" i="457"/>
  <c r="W733" i="457"/>
  <c r="V733" i="457"/>
  <c r="U733" i="457"/>
  <c r="T733" i="457"/>
  <c r="S733" i="457"/>
  <c r="Q733" i="457"/>
  <c r="P733" i="457"/>
  <c r="O733" i="457"/>
  <c r="N733" i="457"/>
  <c r="M733" i="457"/>
  <c r="L733" i="457"/>
  <c r="J733" i="457"/>
  <c r="I733" i="457"/>
  <c r="H733" i="457"/>
  <c r="G733" i="457"/>
  <c r="F733" i="457"/>
  <c r="E733" i="457"/>
  <c r="D733" i="457"/>
  <c r="AA732" i="457"/>
  <c r="R732" i="457"/>
  <c r="K732" i="457"/>
  <c r="E732" i="457"/>
  <c r="Z731" i="457"/>
  <c r="Y731" i="457"/>
  <c r="X731" i="457"/>
  <c r="W731" i="457"/>
  <c r="V731" i="457"/>
  <c r="U731" i="457"/>
  <c r="T731" i="457"/>
  <c r="S731" i="457"/>
  <c r="Q731" i="457"/>
  <c r="P731" i="457"/>
  <c r="O731" i="457"/>
  <c r="N731" i="457"/>
  <c r="M731" i="457"/>
  <c r="L731" i="457"/>
  <c r="J731" i="457"/>
  <c r="I731" i="457"/>
  <c r="H731" i="457"/>
  <c r="G731" i="457"/>
  <c r="F731" i="457"/>
  <c r="E731" i="457"/>
  <c r="D731" i="457"/>
  <c r="AA730" i="457"/>
  <c r="R730" i="457"/>
  <c r="K730" i="457"/>
  <c r="E730" i="457"/>
  <c r="Z729" i="457"/>
  <c r="Y729" i="457"/>
  <c r="X729" i="457"/>
  <c r="W729" i="457"/>
  <c r="V729" i="457"/>
  <c r="U729" i="457"/>
  <c r="T729" i="457"/>
  <c r="S729" i="457"/>
  <c r="Q729" i="457"/>
  <c r="P729" i="457"/>
  <c r="O729" i="457"/>
  <c r="N729" i="457"/>
  <c r="M729" i="457"/>
  <c r="L729" i="457"/>
  <c r="J729" i="457"/>
  <c r="I729" i="457"/>
  <c r="H729" i="457"/>
  <c r="G729" i="457"/>
  <c r="F729" i="457"/>
  <c r="E729" i="457"/>
  <c r="D729" i="457"/>
  <c r="AA728" i="457"/>
  <c r="R728" i="457"/>
  <c r="K728" i="457"/>
  <c r="E728" i="457"/>
  <c r="AA727" i="457"/>
  <c r="R727" i="457"/>
  <c r="E727" i="457"/>
  <c r="K727" i="457" s="1"/>
  <c r="AA726" i="457"/>
  <c r="R726" i="457"/>
  <c r="K726" i="457"/>
  <c r="E726" i="457"/>
  <c r="Z725" i="457"/>
  <c r="Z724" i="457" s="1"/>
  <c r="Y725" i="457"/>
  <c r="Y724" i="457" s="1"/>
  <c r="X725" i="457"/>
  <c r="X724" i="457" s="1"/>
  <c r="W725" i="457"/>
  <c r="W724" i="457" s="1"/>
  <c r="V725" i="457"/>
  <c r="U725" i="457"/>
  <c r="U724" i="457" s="1"/>
  <c r="T725" i="457"/>
  <c r="T724" i="457" s="1"/>
  <c r="S725" i="457"/>
  <c r="S724" i="457" s="1"/>
  <c r="Q725" i="457"/>
  <c r="P725" i="457"/>
  <c r="P724" i="457" s="1"/>
  <c r="O725" i="457"/>
  <c r="O724" i="457" s="1"/>
  <c r="N725" i="457"/>
  <c r="N724" i="457" s="1"/>
  <c r="M725" i="457"/>
  <c r="L725" i="457"/>
  <c r="J725" i="457"/>
  <c r="J724" i="457" s="1"/>
  <c r="I725" i="457"/>
  <c r="I724" i="457" s="1"/>
  <c r="H725" i="457"/>
  <c r="H724" i="457" s="1"/>
  <c r="G725" i="457"/>
  <c r="G724" i="457" s="1"/>
  <c r="F725" i="457"/>
  <c r="F724" i="457" s="1"/>
  <c r="E725" i="457"/>
  <c r="D725" i="457"/>
  <c r="D724" i="457" s="1"/>
  <c r="V724" i="457"/>
  <c r="Q724" i="457"/>
  <c r="M724" i="457"/>
  <c r="E724" i="457"/>
  <c r="E723" i="457"/>
  <c r="E722" i="457"/>
  <c r="E721" i="457"/>
  <c r="E720" i="457"/>
  <c r="E719" i="457"/>
  <c r="AA718" i="457"/>
  <c r="R718" i="457"/>
  <c r="K718" i="457"/>
  <c r="E718" i="457"/>
  <c r="AA717" i="457"/>
  <c r="R717" i="457"/>
  <c r="AB717" i="457" s="1"/>
  <c r="E717" i="457"/>
  <c r="K717" i="457" s="1"/>
  <c r="AA716" i="457"/>
  <c r="R716" i="457"/>
  <c r="K716" i="457"/>
  <c r="E716" i="457"/>
  <c r="AA715" i="457"/>
  <c r="R715" i="457"/>
  <c r="K715" i="457"/>
  <c r="E715" i="457"/>
  <c r="AA714" i="457"/>
  <c r="R714" i="457"/>
  <c r="K714" i="457"/>
  <c r="E714" i="457"/>
  <c r="Z713" i="457"/>
  <c r="Y713" i="457"/>
  <c r="X713" i="457"/>
  <c r="W713" i="457"/>
  <c r="V713" i="457"/>
  <c r="U713" i="457"/>
  <c r="T713" i="457"/>
  <c r="S713" i="457"/>
  <c r="Q713" i="457"/>
  <c r="P713" i="457"/>
  <c r="O713" i="457"/>
  <c r="N713" i="457"/>
  <c r="M713" i="457"/>
  <c r="L713" i="457"/>
  <c r="J713" i="457"/>
  <c r="I713" i="457"/>
  <c r="H713" i="457"/>
  <c r="G713" i="457"/>
  <c r="F713" i="457"/>
  <c r="E713" i="457"/>
  <c r="D713" i="457"/>
  <c r="AA712" i="457"/>
  <c r="R712" i="457"/>
  <c r="K712" i="457"/>
  <c r="E712" i="457"/>
  <c r="AA711" i="457"/>
  <c r="R711" i="457"/>
  <c r="E711" i="457"/>
  <c r="K711" i="457" s="1"/>
  <c r="AA710" i="457"/>
  <c r="R710" i="457"/>
  <c r="K710" i="457"/>
  <c r="E710" i="457"/>
  <c r="AA709" i="457"/>
  <c r="R709" i="457"/>
  <c r="K709" i="457"/>
  <c r="E709" i="457"/>
  <c r="Z708" i="457"/>
  <c r="Y708" i="457"/>
  <c r="Y707" i="457" s="1"/>
  <c r="X708" i="457"/>
  <c r="W708" i="457"/>
  <c r="W707" i="457" s="1"/>
  <c r="V708" i="457"/>
  <c r="U708" i="457"/>
  <c r="T708" i="457"/>
  <c r="S708" i="457"/>
  <c r="S707" i="457" s="1"/>
  <c r="Q708" i="457"/>
  <c r="P708" i="457"/>
  <c r="O708" i="457"/>
  <c r="N708" i="457"/>
  <c r="N707" i="457" s="1"/>
  <c r="M708" i="457"/>
  <c r="L708" i="457"/>
  <c r="L707" i="457" s="1"/>
  <c r="J708" i="457"/>
  <c r="J707" i="457" s="1"/>
  <c r="I708" i="457"/>
  <c r="I707" i="457" s="1"/>
  <c r="H708" i="457"/>
  <c r="G708" i="457"/>
  <c r="G707" i="457" s="1"/>
  <c r="F708" i="457"/>
  <c r="E708" i="457"/>
  <c r="D708" i="457"/>
  <c r="E707" i="457"/>
  <c r="AA706" i="457"/>
  <c r="R706" i="457"/>
  <c r="K706" i="457"/>
  <c r="E706" i="457"/>
  <c r="AA705" i="457"/>
  <c r="R705" i="457"/>
  <c r="K705" i="457"/>
  <c r="E705" i="457"/>
  <c r="Z704" i="457"/>
  <c r="Y704" i="457"/>
  <c r="X704" i="457"/>
  <c r="W704" i="457"/>
  <c r="V704" i="457"/>
  <c r="U704" i="457"/>
  <c r="T704" i="457"/>
  <c r="S704" i="457"/>
  <c r="Q704" i="457"/>
  <c r="P704" i="457"/>
  <c r="O704" i="457"/>
  <c r="N704" i="457"/>
  <c r="M704" i="457"/>
  <c r="L704" i="457"/>
  <c r="J704" i="457"/>
  <c r="I704" i="457"/>
  <c r="H704" i="457"/>
  <c r="G704" i="457"/>
  <c r="F704" i="457"/>
  <c r="E704" i="457"/>
  <c r="D704" i="457"/>
  <c r="AA703" i="457"/>
  <c r="R703" i="457"/>
  <c r="E703" i="457"/>
  <c r="K703" i="457" s="1"/>
  <c r="AA702" i="457"/>
  <c r="R702" i="457"/>
  <c r="K702" i="457"/>
  <c r="E702" i="457"/>
  <c r="AA701" i="457"/>
  <c r="R701" i="457"/>
  <c r="K701" i="457"/>
  <c r="E701" i="457"/>
  <c r="AA700" i="457"/>
  <c r="R700" i="457"/>
  <c r="K700" i="457"/>
  <c r="E700" i="457"/>
  <c r="AA699" i="457"/>
  <c r="R699" i="457"/>
  <c r="E699" i="457"/>
  <c r="K699" i="457" s="1"/>
  <c r="Z698" i="457"/>
  <c r="Y698" i="457"/>
  <c r="X698" i="457"/>
  <c r="W698" i="457"/>
  <c r="V698" i="457"/>
  <c r="U698" i="457"/>
  <c r="T698" i="457"/>
  <c r="S698" i="457"/>
  <c r="Q698" i="457"/>
  <c r="P698" i="457"/>
  <c r="O698" i="457"/>
  <c r="N698" i="457"/>
  <c r="M698" i="457"/>
  <c r="L698" i="457"/>
  <c r="J698" i="457"/>
  <c r="I698" i="457"/>
  <c r="H698" i="457"/>
  <c r="G698" i="457"/>
  <c r="F698" i="457"/>
  <c r="E698" i="457"/>
  <c r="D698" i="457"/>
  <c r="E697" i="457"/>
  <c r="E696" i="457"/>
  <c r="AA695" i="457"/>
  <c r="R695" i="457"/>
  <c r="E695" i="457"/>
  <c r="K695" i="457" s="1"/>
  <c r="AA694" i="457"/>
  <c r="R694" i="457"/>
  <c r="E694" i="457"/>
  <c r="K694" i="457" s="1"/>
  <c r="AA693" i="457"/>
  <c r="R693" i="457"/>
  <c r="E693" i="457"/>
  <c r="K693" i="457" s="1"/>
  <c r="AA692" i="457"/>
  <c r="R692" i="457"/>
  <c r="K692" i="457"/>
  <c r="E692" i="457"/>
  <c r="AA691" i="457"/>
  <c r="R691" i="457"/>
  <c r="K691" i="457"/>
  <c r="E691" i="457"/>
  <c r="AA690" i="457"/>
  <c r="R690" i="457"/>
  <c r="E690" i="457"/>
  <c r="K690" i="457" s="1"/>
  <c r="AA689" i="457"/>
  <c r="R689" i="457"/>
  <c r="K689" i="457"/>
  <c r="E689" i="457"/>
  <c r="AA688" i="457"/>
  <c r="R688" i="457"/>
  <c r="K688" i="457"/>
  <c r="E688" i="457"/>
  <c r="AA687" i="457"/>
  <c r="R687" i="457"/>
  <c r="E687" i="457"/>
  <c r="K687" i="457" s="1"/>
  <c r="AA686" i="457"/>
  <c r="R686" i="457"/>
  <c r="E686" i="457"/>
  <c r="K686" i="457" s="1"/>
  <c r="AA685" i="457"/>
  <c r="R685" i="457"/>
  <c r="K685" i="457"/>
  <c r="E685" i="457"/>
  <c r="AA684" i="457"/>
  <c r="R684" i="457"/>
  <c r="K684" i="457"/>
  <c r="E684" i="457"/>
  <c r="AA683" i="457"/>
  <c r="R683" i="457"/>
  <c r="K683" i="457"/>
  <c r="E683" i="457"/>
  <c r="AA682" i="457"/>
  <c r="R682" i="457"/>
  <c r="E682" i="457"/>
  <c r="K682" i="457" s="1"/>
  <c r="AA681" i="457"/>
  <c r="R681" i="457"/>
  <c r="E681" i="457"/>
  <c r="K681" i="457" s="1"/>
  <c r="AA680" i="457"/>
  <c r="R680" i="457"/>
  <c r="K680" i="457"/>
  <c r="E680" i="457"/>
  <c r="AA679" i="457"/>
  <c r="R679" i="457"/>
  <c r="E679" i="457"/>
  <c r="K679" i="457" s="1"/>
  <c r="AA678" i="457"/>
  <c r="R678" i="457"/>
  <c r="K678" i="457"/>
  <c r="E678" i="457"/>
  <c r="AA677" i="457"/>
  <c r="R677" i="457"/>
  <c r="K677" i="457"/>
  <c r="E677" i="457"/>
  <c r="AA676" i="457"/>
  <c r="R676" i="457"/>
  <c r="E676" i="457"/>
  <c r="K676" i="457" s="1"/>
  <c r="AA675" i="457"/>
  <c r="R675" i="457"/>
  <c r="K675" i="457"/>
  <c r="E675" i="457"/>
  <c r="AA674" i="457"/>
  <c r="R674" i="457"/>
  <c r="E674" i="457"/>
  <c r="K674" i="457" s="1"/>
  <c r="AA673" i="457"/>
  <c r="R673" i="457"/>
  <c r="K673" i="457"/>
  <c r="E673" i="457"/>
  <c r="AA672" i="457"/>
  <c r="R672" i="457"/>
  <c r="K672" i="457"/>
  <c r="E672" i="457"/>
  <c r="AA671" i="457"/>
  <c r="R671" i="457"/>
  <c r="E671" i="457"/>
  <c r="K671" i="457" s="1"/>
  <c r="AA670" i="457"/>
  <c r="R670" i="457"/>
  <c r="E670" i="457"/>
  <c r="K670" i="457" s="1"/>
  <c r="AA669" i="457"/>
  <c r="R669" i="457"/>
  <c r="K669" i="457"/>
  <c r="E669" i="457"/>
  <c r="AA668" i="457"/>
  <c r="R668" i="457"/>
  <c r="K668" i="457"/>
  <c r="E668" i="457"/>
  <c r="AA667" i="457"/>
  <c r="R667" i="457"/>
  <c r="E667" i="457"/>
  <c r="K667" i="457" s="1"/>
  <c r="AA666" i="457"/>
  <c r="R666" i="457"/>
  <c r="E666" i="457"/>
  <c r="K666" i="457" s="1"/>
  <c r="AA665" i="457"/>
  <c r="R665" i="457"/>
  <c r="K665" i="457"/>
  <c r="E665" i="457"/>
  <c r="AA664" i="457"/>
  <c r="R664" i="457"/>
  <c r="E664" i="457"/>
  <c r="K664" i="457" s="1"/>
  <c r="AA663" i="457"/>
  <c r="R663" i="457"/>
  <c r="K663" i="457"/>
  <c r="E663" i="457"/>
  <c r="AA662" i="457"/>
  <c r="R662" i="457"/>
  <c r="K662" i="457"/>
  <c r="E662" i="457"/>
  <c r="AA661" i="457"/>
  <c r="R661" i="457"/>
  <c r="E661" i="457"/>
  <c r="K661" i="457" s="1"/>
  <c r="AA660" i="457"/>
  <c r="R660" i="457"/>
  <c r="E660" i="457"/>
  <c r="K660" i="457" s="1"/>
  <c r="AA659" i="457"/>
  <c r="R659" i="457"/>
  <c r="K659" i="457"/>
  <c r="E659" i="457"/>
  <c r="AA658" i="457"/>
  <c r="R658" i="457"/>
  <c r="E658" i="457"/>
  <c r="K658" i="457" s="1"/>
  <c r="AA657" i="457"/>
  <c r="R657" i="457"/>
  <c r="K657" i="457"/>
  <c r="E657" i="457"/>
  <c r="AA656" i="457"/>
  <c r="R656" i="457"/>
  <c r="E656" i="457"/>
  <c r="K656" i="457" s="1"/>
  <c r="AA655" i="457"/>
  <c r="R655" i="457"/>
  <c r="K655" i="457"/>
  <c r="E655" i="457"/>
  <c r="AA654" i="457"/>
  <c r="R654" i="457"/>
  <c r="E654" i="457"/>
  <c r="K654" i="457" s="1"/>
  <c r="AA653" i="457"/>
  <c r="R653" i="457"/>
  <c r="K653" i="457"/>
  <c r="E653" i="457"/>
  <c r="AA652" i="457"/>
  <c r="R652" i="457"/>
  <c r="E652" i="457"/>
  <c r="K652" i="457" s="1"/>
  <c r="AA651" i="457"/>
  <c r="R651" i="457"/>
  <c r="K651" i="457"/>
  <c r="E651" i="457"/>
  <c r="AA650" i="457"/>
  <c r="R650" i="457"/>
  <c r="E650" i="457"/>
  <c r="K650" i="457" s="1"/>
  <c r="AA649" i="457"/>
  <c r="R649" i="457"/>
  <c r="K649" i="457"/>
  <c r="E649" i="457"/>
  <c r="AA648" i="457"/>
  <c r="R648" i="457"/>
  <c r="E648" i="457"/>
  <c r="K648" i="457" s="1"/>
  <c r="AA647" i="457"/>
  <c r="R647" i="457"/>
  <c r="K647" i="457"/>
  <c r="E647" i="457"/>
  <c r="AA646" i="457"/>
  <c r="R646" i="457"/>
  <c r="E646" i="457"/>
  <c r="K646" i="457" s="1"/>
  <c r="AA645" i="457"/>
  <c r="R645" i="457"/>
  <c r="K645" i="457"/>
  <c r="E645" i="457"/>
  <c r="AA644" i="457"/>
  <c r="R644" i="457"/>
  <c r="E644" i="457"/>
  <c r="K644" i="457" s="1"/>
  <c r="AA643" i="457"/>
  <c r="R643" i="457"/>
  <c r="K643" i="457"/>
  <c r="E643" i="457"/>
  <c r="AA642" i="457"/>
  <c r="R642" i="457"/>
  <c r="E642" i="457"/>
  <c r="K642" i="457" s="1"/>
  <c r="AA641" i="457"/>
  <c r="R641" i="457"/>
  <c r="E641" i="457"/>
  <c r="K641" i="457" s="1"/>
  <c r="AA640" i="457"/>
  <c r="R640" i="457"/>
  <c r="K640" i="457"/>
  <c r="E640" i="457"/>
  <c r="AA639" i="457"/>
  <c r="R639" i="457"/>
  <c r="E639" i="457"/>
  <c r="K639" i="457" s="1"/>
  <c r="AA638" i="457"/>
  <c r="R638" i="457"/>
  <c r="K638" i="457"/>
  <c r="E638" i="457"/>
  <c r="AA637" i="457"/>
  <c r="R637" i="457"/>
  <c r="E637" i="457"/>
  <c r="K637" i="457" s="1"/>
  <c r="AA636" i="457"/>
  <c r="R636" i="457"/>
  <c r="K636" i="457"/>
  <c r="E636" i="457"/>
  <c r="AA635" i="457"/>
  <c r="R635" i="457"/>
  <c r="E635" i="457"/>
  <c r="K635" i="457" s="1"/>
  <c r="AA634" i="457"/>
  <c r="R634" i="457"/>
  <c r="E634" i="457"/>
  <c r="K634" i="457" s="1"/>
  <c r="AA633" i="457"/>
  <c r="R633" i="457"/>
  <c r="K633" i="457"/>
  <c r="E633" i="457"/>
  <c r="Z632" i="457"/>
  <c r="Y632" i="457"/>
  <c r="X632" i="457"/>
  <c r="W632" i="457"/>
  <c r="V632" i="457"/>
  <c r="U632" i="457"/>
  <c r="T632" i="457"/>
  <c r="S632" i="457"/>
  <c r="Q632" i="457"/>
  <c r="P632" i="457"/>
  <c r="O632" i="457"/>
  <c r="N632" i="457"/>
  <c r="M632" i="457"/>
  <c r="L632" i="457"/>
  <c r="J632" i="457"/>
  <c r="I632" i="457"/>
  <c r="H632" i="457"/>
  <c r="G632" i="457"/>
  <c r="F632" i="457"/>
  <c r="E632" i="457"/>
  <c r="D632" i="457"/>
  <c r="AA631" i="457"/>
  <c r="R631" i="457"/>
  <c r="E631" i="457"/>
  <c r="K631" i="457" s="1"/>
  <c r="Z630" i="457"/>
  <c r="Y630" i="457"/>
  <c r="X630" i="457"/>
  <c r="W630" i="457"/>
  <c r="V630" i="457"/>
  <c r="U630" i="457"/>
  <c r="T630" i="457"/>
  <c r="S630" i="457"/>
  <c r="Q630" i="457"/>
  <c r="P630" i="457"/>
  <c r="O630" i="457"/>
  <c r="N630" i="457"/>
  <c r="M630" i="457"/>
  <c r="L630" i="457"/>
  <c r="J630" i="457"/>
  <c r="I630" i="457"/>
  <c r="H630" i="457"/>
  <c r="G630" i="457"/>
  <c r="F630" i="457"/>
  <c r="E630" i="457"/>
  <c r="D630" i="457"/>
  <c r="AA629" i="457"/>
  <c r="R629" i="457"/>
  <c r="E629" i="457"/>
  <c r="K629" i="457" s="1"/>
  <c r="AA628" i="457"/>
  <c r="R628" i="457"/>
  <c r="K628" i="457"/>
  <c r="E628" i="457"/>
  <c r="Z627" i="457"/>
  <c r="Y627" i="457"/>
  <c r="X627" i="457"/>
  <c r="W627" i="457"/>
  <c r="V627" i="457"/>
  <c r="U627" i="457"/>
  <c r="T627" i="457"/>
  <c r="S627" i="457"/>
  <c r="Q627" i="457"/>
  <c r="P627" i="457"/>
  <c r="O627" i="457"/>
  <c r="N627" i="457"/>
  <c r="M627" i="457"/>
  <c r="L627" i="457"/>
  <c r="J627" i="457"/>
  <c r="I627" i="457"/>
  <c r="H627" i="457"/>
  <c r="G627" i="457"/>
  <c r="F627" i="457"/>
  <c r="E627" i="457"/>
  <c r="D627" i="457"/>
  <c r="AA626" i="457"/>
  <c r="R626" i="457"/>
  <c r="E626" i="457"/>
  <c r="K626" i="457" s="1"/>
  <c r="Z625" i="457"/>
  <c r="Y625" i="457"/>
  <c r="X625" i="457"/>
  <c r="W625" i="457"/>
  <c r="V625" i="457"/>
  <c r="U625" i="457"/>
  <c r="T625" i="457"/>
  <c r="S625" i="457"/>
  <c r="Q625" i="457"/>
  <c r="P625" i="457"/>
  <c r="O625" i="457"/>
  <c r="N625" i="457"/>
  <c r="M625" i="457"/>
  <c r="L625" i="457"/>
  <c r="J625" i="457"/>
  <c r="I625" i="457"/>
  <c r="H625" i="457"/>
  <c r="G625" i="457"/>
  <c r="F625" i="457"/>
  <c r="E625" i="457"/>
  <c r="D625" i="457"/>
  <c r="AA624" i="457"/>
  <c r="R624" i="457"/>
  <c r="K624" i="457"/>
  <c r="E624" i="457"/>
  <c r="Z623" i="457"/>
  <c r="Y623" i="457"/>
  <c r="X623" i="457"/>
  <c r="W623" i="457"/>
  <c r="V623" i="457"/>
  <c r="U623" i="457"/>
  <c r="T623" i="457"/>
  <c r="S623" i="457"/>
  <c r="Q623" i="457"/>
  <c r="P623" i="457"/>
  <c r="O623" i="457"/>
  <c r="N623" i="457"/>
  <c r="M623" i="457"/>
  <c r="L623" i="457"/>
  <c r="J623" i="457"/>
  <c r="I623" i="457"/>
  <c r="H623" i="457"/>
  <c r="G623" i="457"/>
  <c r="F623" i="457"/>
  <c r="E623" i="457"/>
  <c r="D623" i="457"/>
  <c r="AA622" i="457"/>
  <c r="R622" i="457"/>
  <c r="E622" i="457"/>
  <c r="K622" i="457" s="1"/>
  <c r="Z621" i="457"/>
  <c r="Y621" i="457"/>
  <c r="X621" i="457"/>
  <c r="W621" i="457"/>
  <c r="V621" i="457"/>
  <c r="U621" i="457"/>
  <c r="T621" i="457"/>
  <c r="S621" i="457"/>
  <c r="Q621" i="457"/>
  <c r="P621" i="457"/>
  <c r="O621" i="457"/>
  <c r="N621" i="457"/>
  <c r="M621" i="457"/>
  <c r="L621" i="457"/>
  <c r="J621" i="457"/>
  <c r="I621" i="457"/>
  <c r="H621" i="457"/>
  <c r="G621" i="457"/>
  <c r="F621" i="457"/>
  <c r="E621" i="457"/>
  <c r="D621" i="457"/>
  <c r="AA620" i="457"/>
  <c r="R620" i="457"/>
  <c r="K620" i="457"/>
  <c r="E620" i="457"/>
  <c r="AA619" i="457"/>
  <c r="R619" i="457"/>
  <c r="E619" i="457"/>
  <c r="K619" i="457" s="1"/>
  <c r="Z618" i="457"/>
  <c r="Y618" i="457"/>
  <c r="X618" i="457"/>
  <c r="W618" i="457"/>
  <c r="W617" i="457" s="1"/>
  <c r="W612" i="457" s="1"/>
  <c r="W611" i="457" s="1"/>
  <c r="V618" i="457"/>
  <c r="U618" i="457"/>
  <c r="T618" i="457"/>
  <c r="S618" i="457"/>
  <c r="Q618" i="457"/>
  <c r="P618" i="457"/>
  <c r="O618" i="457"/>
  <c r="N618" i="457"/>
  <c r="M618" i="457"/>
  <c r="L618" i="457"/>
  <c r="J618" i="457"/>
  <c r="I618" i="457"/>
  <c r="H618" i="457"/>
  <c r="G618" i="457"/>
  <c r="F618" i="457"/>
  <c r="E618" i="457"/>
  <c r="D618" i="457"/>
  <c r="E617" i="457"/>
  <c r="AA616" i="457"/>
  <c r="R616" i="457"/>
  <c r="E616" i="457"/>
  <c r="K616" i="457" s="1"/>
  <c r="AA615" i="457"/>
  <c r="R615" i="457"/>
  <c r="K615" i="457"/>
  <c r="E615" i="457"/>
  <c r="AA614" i="457"/>
  <c r="R614" i="457"/>
  <c r="K614" i="457"/>
  <c r="E614" i="457"/>
  <c r="AA613" i="457"/>
  <c r="R613" i="457"/>
  <c r="E613" i="457"/>
  <c r="K613" i="457" s="1"/>
  <c r="E612" i="457"/>
  <c r="E611" i="457"/>
  <c r="AA610" i="457"/>
  <c r="R610" i="457"/>
  <c r="E610" i="457"/>
  <c r="K610" i="457" s="1"/>
  <c r="Z609" i="457"/>
  <c r="Y609" i="457"/>
  <c r="X609" i="457"/>
  <c r="W609" i="457"/>
  <c r="V609" i="457"/>
  <c r="U609" i="457"/>
  <c r="T609" i="457"/>
  <c r="S609" i="457"/>
  <c r="Q609" i="457"/>
  <c r="P609" i="457"/>
  <c r="O609" i="457"/>
  <c r="N609" i="457"/>
  <c r="M609" i="457"/>
  <c r="L609" i="457"/>
  <c r="J609" i="457"/>
  <c r="I609" i="457"/>
  <c r="H609" i="457"/>
  <c r="G609" i="457"/>
  <c r="F609" i="457"/>
  <c r="E609" i="457"/>
  <c r="D609" i="457"/>
  <c r="AA608" i="457"/>
  <c r="R608" i="457"/>
  <c r="K608" i="457"/>
  <c r="E608" i="457"/>
  <c r="AA607" i="457"/>
  <c r="R607" i="457"/>
  <c r="AB607" i="457" s="1"/>
  <c r="E607" i="457"/>
  <c r="K607" i="457" s="1"/>
  <c r="Z606" i="457"/>
  <c r="Z605" i="457" s="1"/>
  <c r="Y606" i="457"/>
  <c r="X606" i="457"/>
  <c r="X605" i="457" s="1"/>
  <c r="W606" i="457"/>
  <c r="W605" i="457" s="1"/>
  <c r="V606" i="457"/>
  <c r="V605" i="457" s="1"/>
  <c r="U606" i="457"/>
  <c r="T606" i="457"/>
  <c r="T605" i="457" s="1"/>
  <c r="S606" i="457"/>
  <c r="Q606" i="457"/>
  <c r="Q605" i="457" s="1"/>
  <c r="P606" i="457"/>
  <c r="O606" i="457"/>
  <c r="O605" i="457" s="1"/>
  <c r="N606" i="457"/>
  <c r="M606" i="457"/>
  <c r="M605" i="457" s="1"/>
  <c r="L606" i="457"/>
  <c r="J606" i="457"/>
  <c r="J605" i="457" s="1"/>
  <c r="I606" i="457"/>
  <c r="H606" i="457"/>
  <c r="H605" i="457" s="1"/>
  <c r="G606" i="457"/>
  <c r="F606" i="457"/>
  <c r="F605" i="457" s="1"/>
  <c r="E606" i="457"/>
  <c r="D606" i="457"/>
  <c r="D605" i="457" s="1"/>
  <c r="E605" i="457"/>
  <c r="AA604" i="457"/>
  <c r="R604" i="457"/>
  <c r="K604" i="457"/>
  <c r="E604" i="457"/>
  <c r="Z603" i="457"/>
  <c r="Y603" i="457"/>
  <c r="X603" i="457"/>
  <c r="W603" i="457"/>
  <c r="V603" i="457"/>
  <c r="U603" i="457"/>
  <c r="T603" i="457"/>
  <c r="S603" i="457"/>
  <c r="Q603" i="457"/>
  <c r="P603" i="457"/>
  <c r="O603" i="457"/>
  <c r="N603" i="457"/>
  <c r="M603" i="457"/>
  <c r="L603" i="457"/>
  <c r="J603" i="457"/>
  <c r="I603" i="457"/>
  <c r="H603" i="457"/>
  <c r="G603" i="457"/>
  <c r="F603" i="457"/>
  <c r="E603" i="457"/>
  <c r="D603" i="457"/>
  <c r="AA602" i="457"/>
  <c r="R602" i="457"/>
  <c r="K602" i="457"/>
  <c r="E602" i="457"/>
  <c r="Z601" i="457"/>
  <c r="Y601" i="457"/>
  <c r="X601" i="457"/>
  <c r="W601" i="457"/>
  <c r="V601" i="457"/>
  <c r="U601" i="457"/>
  <c r="T601" i="457"/>
  <c r="S601" i="457"/>
  <c r="Q601" i="457"/>
  <c r="P601" i="457"/>
  <c r="O601" i="457"/>
  <c r="N601" i="457"/>
  <c r="M601" i="457"/>
  <c r="L601" i="457"/>
  <c r="J601" i="457"/>
  <c r="I601" i="457"/>
  <c r="H601" i="457"/>
  <c r="G601" i="457"/>
  <c r="F601" i="457"/>
  <c r="E601" i="457"/>
  <c r="D601" i="457"/>
  <c r="AA600" i="457"/>
  <c r="R600" i="457"/>
  <c r="K600" i="457"/>
  <c r="E600" i="457"/>
  <c r="Z599" i="457"/>
  <c r="Y599" i="457"/>
  <c r="X599" i="457"/>
  <c r="W599" i="457"/>
  <c r="V599" i="457"/>
  <c r="U599" i="457"/>
  <c r="T599" i="457"/>
  <c r="S599" i="457"/>
  <c r="Q599" i="457"/>
  <c r="P599" i="457"/>
  <c r="O599" i="457"/>
  <c r="N599" i="457"/>
  <c r="M599" i="457"/>
  <c r="L599" i="457"/>
  <c r="J599" i="457"/>
  <c r="I599" i="457"/>
  <c r="H599" i="457"/>
  <c r="G599" i="457"/>
  <c r="F599" i="457"/>
  <c r="E599" i="457"/>
  <c r="D599" i="457"/>
  <c r="AA598" i="457"/>
  <c r="R598" i="457"/>
  <c r="K598" i="457"/>
  <c r="E598" i="457"/>
  <c r="Z597" i="457"/>
  <c r="Y597" i="457"/>
  <c r="X597" i="457"/>
  <c r="W597" i="457"/>
  <c r="V597" i="457"/>
  <c r="U597" i="457"/>
  <c r="T597" i="457"/>
  <c r="S597" i="457"/>
  <c r="Q597" i="457"/>
  <c r="P597" i="457"/>
  <c r="O597" i="457"/>
  <c r="N597" i="457"/>
  <c r="M597" i="457"/>
  <c r="L597" i="457"/>
  <c r="J597" i="457"/>
  <c r="I597" i="457"/>
  <c r="H597" i="457"/>
  <c r="G597" i="457"/>
  <c r="F597" i="457"/>
  <c r="E597" i="457"/>
  <c r="D597" i="457"/>
  <c r="AA596" i="457"/>
  <c r="R596" i="457"/>
  <c r="K596" i="457"/>
  <c r="E596" i="457"/>
  <c r="AA595" i="457"/>
  <c r="R595" i="457"/>
  <c r="E595" i="457"/>
  <c r="K595" i="457" s="1"/>
  <c r="Z594" i="457"/>
  <c r="Y594" i="457"/>
  <c r="X594" i="457"/>
  <c r="W594" i="457"/>
  <c r="V594" i="457"/>
  <c r="U594" i="457"/>
  <c r="T594" i="457"/>
  <c r="S594" i="457"/>
  <c r="Q594" i="457"/>
  <c r="P594" i="457"/>
  <c r="O594" i="457"/>
  <c r="N594" i="457"/>
  <c r="M594" i="457"/>
  <c r="L594" i="457"/>
  <c r="J594" i="457"/>
  <c r="I594" i="457"/>
  <c r="H594" i="457"/>
  <c r="G594" i="457"/>
  <c r="F594" i="457"/>
  <c r="E594" i="457"/>
  <c r="D594" i="457"/>
  <c r="AA593" i="457"/>
  <c r="R593" i="457"/>
  <c r="E593" i="457"/>
  <c r="K593" i="457" s="1"/>
  <c r="Z592" i="457"/>
  <c r="Y592" i="457"/>
  <c r="X592" i="457"/>
  <c r="W592" i="457"/>
  <c r="V592" i="457"/>
  <c r="U592" i="457"/>
  <c r="T592" i="457"/>
  <c r="S592" i="457"/>
  <c r="Q592" i="457"/>
  <c r="P592" i="457"/>
  <c r="O592" i="457"/>
  <c r="N592" i="457"/>
  <c r="M592" i="457"/>
  <c r="L592" i="457"/>
  <c r="J592" i="457"/>
  <c r="I592" i="457"/>
  <c r="H592" i="457"/>
  <c r="G592" i="457"/>
  <c r="F592" i="457"/>
  <c r="E592" i="457"/>
  <c r="D592" i="457"/>
  <c r="AA591" i="457"/>
  <c r="R591" i="457"/>
  <c r="E591" i="457"/>
  <c r="K591" i="457" s="1"/>
  <c r="AA590" i="457"/>
  <c r="R590" i="457"/>
  <c r="AB590" i="457" s="1"/>
  <c r="K590" i="457"/>
  <c r="E590" i="457"/>
  <c r="Z589" i="457"/>
  <c r="Y589" i="457"/>
  <c r="X589" i="457"/>
  <c r="W589" i="457"/>
  <c r="V589" i="457"/>
  <c r="U589" i="457"/>
  <c r="T589" i="457"/>
  <c r="S589" i="457"/>
  <c r="Q589" i="457"/>
  <c r="P589" i="457"/>
  <c r="O589" i="457"/>
  <c r="N589" i="457"/>
  <c r="M589" i="457"/>
  <c r="L589" i="457"/>
  <c r="J589" i="457"/>
  <c r="I589" i="457"/>
  <c r="H589" i="457"/>
  <c r="G589" i="457"/>
  <c r="F589" i="457"/>
  <c r="E589" i="457"/>
  <c r="D589" i="457"/>
  <c r="AA588" i="457"/>
  <c r="R588" i="457"/>
  <c r="K588" i="457"/>
  <c r="E588" i="457"/>
  <c r="Z587" i="457"/>
  <c r="Z586" i="457" s="1"/>
  <c r="Y587" i="457"/>
  <c r="Y586" i="457" s="1"/>
  <c r="X587" i="457"/>
  <c r="X586" i="457" s="1"/>
  <c r="W587" i="457"/>
  <c r="W586" i="457" s="1"/>
  <c r="V587" i="457"/>
  <c r="V586" i="457" s="1"/>
  <c r="U587" i="457"/>
  <c r="U586" i="457" s="1"/>
  <c r="T587" i="457"/>
  <c r="T586" i="457" s="1"/>
  <c r="S587" i="457"/>
  <c r="S586" i="457" s="1"/>
  <c r="Q587" i="457"/>
  <c r="Q586" i="457" s="1"/>
  <c r="P587" i="457"/>
  <c r="P586" i="457" s="1"/>
  <c r="O587" i="457"/>
  <c r="O586" i="457" s="1"/>
  <c r="N587" i="457"/>
  <c r="N586" i="457" s="1"/>
  <c r="M587" i="457"/>
  <c r="M586" i="457" s="1"/>
  <c r="L587" i="457"/>
  <c r="J587" i="457"/>
  <c r="J586" i="457" s="1"/>
  <c r="I587" i="457"/>
  <c r="I586" i="457" s="1"/>
  <c r="H587" i="457"/>
  <c r="H586" i="457" s="1"/>
  <c r="G587" i="457"/>
  <c r="G586" i="457" s="1"/>
  <c r="F587" i="457"/>
  <c r="F586" i="457" s="1"/>
  <c r="E587" i="457"/>
  <c r="D587" i="457"/>
  <c r="E586" i="457"/>
  <c r="AA585" i="457"/>
  <c r="R585" i="457"/>
  <c r="E585" i="457"/>
  <c r="K585" i="457" s="1"/>
  <c r="Z584" i="457"/>
  <c r="Y584" i="457"/>
  <c r="X584" i="457"/>
  <c r="W584" i="457"/>
  <c r="V584" i="457"/>
  <c r="U584" i="457"/>
  <c r="T584" i="457"/>
  <c r="S584" i="457"/>
  <c r="Q584" i="457"/>
  <c r="P584" i="457"/>
  <c r="O584" i="457"/>
  <c r="N584" i="457"/>
  <c r="M584" i="457"/>
  <c r="L584" i="457"/>
  <c r="J584" i="457"/>
  <c r="I584" i="457"/>
  <c r="H584" i="457"/>
  <c r="G584" i="457"/>
  <c r="F584" i="457"/>
  <c r="E584" i="457"/>
  <c r="D584" i="457"/>
  <c r="AA583" i="457"/>
  <c r="R583" i="457"/>
  <c r="E583" i="457"/>
  <c r="K583" i="457" s="1"/>
  <c r="Z582" i="457"/>
  <c r="Y582" i="457"/>
  <c r="X582" i="457"/>
  <c r="W582" i="457"/>
  <c r="V582" i="457"/>
  <c r="U582" i="457"/>
  <c r="T582" i="457"/>
  <c r="S582" i="457"/>
  <c r="Q582" i="457"/>
  <c r="P582" i="457"/>
  <c r="O582" i="457"/>
  <c r="N582" i="457"/>
  <c r="M582" i="457"/>
  <c r="L582" i="457"/>
  <c r="J582" i="457"/>
  <c r="I582" i="457"/>
  <c r="H582" i="457"/>
  <c r="G582" i="457"/>
  <c r="F582" i="457"/>
  <c r="E582" i="457"/>
  <c r="D582" i="457"/>
  <c r="AA581" i="457"/>
  <c r="R581" i="457"/>
  <c r="E581" i="457"/>
  <c r="K581" i="457" s="1"/>
  <c r="Z580" i="457"/>
  <c r="Y580" i="457"/>
  <c r="X580" i="457"/>
  <c r="W580" i="457"/>
  <c r="V580" i="457"/>
  <c r="U580" i="457"/>
  <c r="T580" i="457"/>
  <c r="S580" i="457"/>
  <c r="Q580" i="457"/>
  <c r="P580" i="457"/>
  <c r="O580" i="457"/>
  <c r="N580" i="457"/>
  <c r="M580" i="457"/>
  <c r="L580" i="457"/>
  <c r="J580" i="457"/>
  <c r="I580" i="457"/>
  <c r="H580" i="457"/>
  <c r="G580" i="457"/>
  <c r="F580" i="457"/>
  <c r="E580" i="457"/>
  <c r="D580" i="457"/>
  <c r="AA579" i="457"/>
  <c r="R579" i="457"/>
  <c r="E579" i="457"/>
  <c r="K579" i="457" s="1"/>
  <c r="Z578" i="457"/>
  <c r="Y578" i="457"/>
  <c r="X578" i="457"/>
  <c r="W578" i="457"/>
  <c r="V578" i="457"/>
  <c r="U578" i="457"/>
  <c r="T578" i="457"/>
  <c r="T577" i="457" s="1"/>
  <c r="S578" i="457"/>
  <c r="Q578" i="457"/>
  <c r="P578" i="457"/>
  <c r="O578" i="457"/>
  <c r="N578" i="457"/>
  <c r="M578" i="457"/>
  <c r="M577" i="457" s="1"/>
  <c r="L578" i="457"/>
  <c r="J578" i="457"/>
  <c r="I578" i="457"/>
  <c r="H578" i="457"/>
  <c r="G578" i="457"/>
  <c r="F578" i="457"/>
  <c r="E578" i="457"/>
  <c r="D578" i="457"/>
  <c r="E577" i="457"/>
  <c r="AA576" i="457"/>
  <c r="R576" i="457"/>
  <c r="K576" i="457"/>
  <c r="E576" i="457"/>
  <c r="Z575" i="457"/>
  <c r="Y575" i="457"/>
  <c r="X575" i="457"/>
  <c r="W575" i="457"/>
  <c r="V575" i="457"/>
  <c r="U575" i="457"/>
  <c r="T575" i="457"/>
  <c r="S575" i="457"/>
  <c r="Q575" i="457"/>
  <c r="P575" i="457"/>
  <c r="O575" i="457"/>
  <c r="N575" i="457"/>
  <c r="M575" i="457"/>
  <c r="L575" i="457"/>
  <c r="J575" i="457"/>
  <c r="I575" i="457"/>
  <c r="H575" i="457"/>
  <c r="G575" i="457"/>
  <c r="F575" i="457"/>
  <c r="E575" i="457"/>
  <c r="D575" i="457"/>
  <c r="AA574" i="457"/>
  <c r="R574" i="457"/>
  <c r="K574" i="457"/>
  <c r="E574" i="457"/>
  <c r="Z573" i="457"/>
  <c r="Y573" i="457"/>
  <c r="X573" i="457"/>
  <c r="W573" i="457"/>
  <c r="V573" i="457"/>
  <c r="U573" i="457"/>
  <c r="T573" i="457"/>
  <c r="S573" i="457"/>
  <c r="Q573" i="457"/>
  <c r="P573" i="457"/>
  <c r="O573" i="457"/>
  <c r="N573" i="457"/>
  <c r="M573" i="457"/>
  <c r="L573" i="457"/>
  <c r="J573" i="457"/>
  <c r="I573" i="457"/>
  <c r="H573" i="457"/>
  <c r="G573" i="457"/>
  <c r="F573" i="457"/>
  <c r="E573" i="457"/>
  <c r="D573" i="457"/>
  <c r="AA572" i="457"/>
  <c r="R572" i="457"/>
  <c r="K572" i="457"/>
  <c r="E572" i="457"/>
  <c r="Z571" i="457"/>
  <c r="Y571" i="457"/>
  <c r="X571" i="457"/>
  <c r="W571" i="457"/>
  <c r="V571" i="457"/>
  <c r="U571" i="457"/>
  <c r="T571" i="457"/>
  <c r="S571" i="457"/>
  <c r="Q571" i="457"/>
  <c r="P571" i="457"/>
  <c r="O571" i="457"/>
  <c r="N571" i="457"/>
  <c r="M571" i="457"/>
  <c r="L571" i="457"/>
  <c r="J571" i="457"/>
  <c r="I571" i="457"/>
  <c r="H571" i="457"/>
  <c r="G571" i="457"/>
  <c r="F571" i="457"/>
  <c r="E571" i="457"/>
  <c r="D571" i="457"/>
  <c r="AA570" i="457"/>
  <c r="R570" i="457"/>
  <c r="K570" i="457"/>
  <c r="E570" i="457"/>
  <c r="Z569" i="457"/>
  <c r="Y569" i="457"/>
  <c r="X569" i="457"/>
  <c r="W569" i="457"/>
  <c r="V569" i="457"/>
  <c r="U569" i="457"/>
  <c r="T569" i="457"/>
  <c r="S569" i="457"/>
  <c r="Q569" i="457"/>
  <c r="P569" i="457"/>
  <c r="O569" i="457"/>
  <c r="N569" i="457"/>
  <c r="M569" i="457"/>
  <c r="L569" i="457"/>
  <c r="J569" i="457"/>
  <c r="I569" i="457"/>
  <c r="H569" i="457"/>
  <c r="G569" i="457"/>
  <c r="F569" i="457"/>
  <c r="E569" i="457"/>
  <c r="D569" i="457"/>
  <c r="AA568" i="457"/>
  <c r="R568" i="457"/>
  <c r="K568" i="457"/>
  <c r="E568" i="457"/>
  <c r="Z567" i="457"/>
  <c r="Y567" i="457"/>
  <c r="X567" i="457"/>
  <c r="W567" i="457"/>
  <c r="V567" i="457"/>
  <c r="U567" i="457"/>
  <c r="T567" i="457"/>
  <c r="S567" i="457"/>
  <c r="Q567" i="457"/>
  <c r="P567" i="457"/>
  <c r="O567" i="457"/>
  <c r="N567" i="457"/>
  <c r="M567" i="457"/>
  <c r="L567" i="457"/>
  <c r="J567" i="457"/>
  <c r="I567" i="457"/>
  <c r="H567" i="457"/>
  <c r="G567" i="457"/>
  <c r="F567" i="457"/>
  <c r="E567" i="457"/>
  <c r="D567" i="457"/>
  <c r="AA566" i="457"/>
  <c r="R566" i="457"/>
  <c r="K566" i="457"/>
  <c r="E566" i="457"/>
  <c r="Z565" i="457"/>
  <c r="Y565" i="457"/>
  <c r="X565" i="457"/>
  <c r="W565" i="457"/>
  <c r="V565" i="457"/>
  <c r="U565" i="457"/>
  <c r="T565" i="457"/>
  <c r="S565" i="457"/>
  <c r="Q565" i="457"/>
  <c r="P565" i="457"/>
  <c r="O565" i="457"/>
  <c r="N565" i="457"/>
  <c r="M565" i="457"/>
  <c r="L565" i="457"/>
  <c r="J565" i="457"/>
  <c r="I565" i="457"/>
  <c r="H565" i="457"/>
  <c r="G565" i="457"/>
  <c r="F565" i="457"/>
  <c r="E565" i="457"/>
  <c r="D565" i="457"/>
  <c r="AA564" i="457"/>
  <c r="R564" i="457"/>
  <c r="K564" i="457"/>
  <c r="E564" i="457"/>
  <c r="Z563" i="457"/>
  <c r="Y563" i="457"/>
  <c r="X563" i="457"/>
  <c r="W563" i="457"/>
  <c r="V563" i="457"/>
  <c r="U563" i="457"/>
  <c r="T563" i="457"/>
  <c r="S563" i="457"/>
  <c r="Q563" i="457"/>
  <c r="P563" i="457"/>
  <c r="O563" i="457"/>
  <c r="N563" i="457"/>
  <c r="M563" i="457"/>
  <c r="L563" i="457"/>
  <c r="J563" i="457"/>
  <c r="I563" i="457"/>
  <c r="H563" i="457"/>
  <c r="G563" i="457"/>
  <c r="F563" i="457"/>
  <c r="E563" i="457"/>
  <c r="D563" i="457"/>
  <c r="AA562" i="457"/>
  <c r="R562" i="457"/>
  <c r="K562" i="457"/>
  <c r="E562" i="457"/>
  <c r="Z561" i="457"/>
  <c r="Y561" i="457"/>
  <c r="X561" i="457"/>
  <c r="W561" i="457"/>
  <c r="V561" i="457"/>
  <c r="U561" i="457"/>
  <c r="T561" i="457"/>
  <c r="S561" i="457"/>
  <c r="Q561" i="457"/>
  <c r="P561" i="457"/>
  <c r="O561" i="457"/>
  <c r="N561" i="457"/>
  <c r="M561" i="457"/>
  <c r="L561" i="457"/>
  <c r="J561" i="457"/>
  <c r="I561" i="457"/>
  <c r="H561" i="457"/>
  <c r="G561" i="457"/>
  <c r="F561" i="457"/>
  <c r="E561" i="457"/>
  <c r="D561" i="457"/>
  <c r="AA560" i="457"/>
  <c r="R560" i="457"/>
  <c r="K560" i="457"/>
  <c r="E560" i="457"/>
  <c r="Z559" i="457"/>
  <c r="Y559" i="457"/>
  <c r="X559" i="457"/>
  <c r="W559" i="457"/>
  <c r="V559" i="457"/>
  <c r="U559" i="457"/>
  <c r="T559" i="457"/>
  <c r="S559" i="457"/>
  <c r="Q559" i="457"/>
  <c r="P559" i="457"/>
  <c r="O559" i="457"/>
  <c r="N559" i="457"/>
  <c r="M559" i="457"/>
  <c r="L559" i="457"/>
  <c r="J559" i="457"/>
  <c r="I559" i="457"/>
  <c r="H559" i="457"/>
  <c r="G559" i="457"/>
  <c r="F559" i="457"/>
  <c r="E559" i="457"/>
  <c r="D559" i="457"/>
  <c r="AA558" i="457"/>
  <c r="R558" i="457"/>
  <c r="K558" i="457"/>
  <c r="E558" i="457"/>
  <c r="Z557" i="457"/>
  <c r="Y557" i="457"/>
  <c r="X557" i="457"/>
  <c r="W557" i="457"/>
  <c r="V557" i="457"/>
  <c r="U557" i="457"/>
  <c r="T557" i="457"/>
  <c r="S557" i="457"/>
  <c r="Q557" i="457"/>
  <c r="P557" i="457"/>
  <c r="O557" i="457"/>
  <c r="N557" i="457"/>
  <c r="M557" i="457"/>
  <c r="L557" i="457"/>
  <c r="J557" i="457"/>
  <c r="I557" i="457"/>
  <c r="H557" i="457"/>
  <c r="G557" i="457"/>
  <c r="F557" i="457"/>
  <c r="E557" i="457"/>
  <c r="D557" i="457"/>
  <c r="AA556" i="457"/>
  <c r="R556" i="457"/>
  <c r="K556" i="457"/>
  <c r="E556" i="457"/>
  <c r="Z555" i="457"/>
  <c r="Y555" i="457"/>
  <c r="X555" i="457"/>
  <c r="W555" i="457"/>
  <c r="V555" i="457"/>
  <c r="U555" i="457"/>
  <c r="T555" i="457"/>
  <c r="S555" i="457"/>
  <c r="Q555" i="457"/>
  <c r="P555" i="457"/>
  <c r="O555" i="457"/>
  <c r="N555" i="457"/>
  <c r="M555" i="457"/>
  <c r="L555" i="457"/>
  <c r="J555" i="457"/>
  <c r="I555" i="457"/>
  <c r="H555" i="457"/>
  <c r="G555" i="457"/>
  <c r="F555" i="457"/>
  <c r="E555" i="457"/>
  <c r="D555" i="457"/>
  <c r="AA554" i="457"/>
  <c r="R554" i="457"/>
  <c r="AB554" i="457" s="1"/>
  <c r="K554" i="457"/>
  <c r="E554" i="457"/>
  <c r="Z553" i="457"/>
  <c r="Y553" i="457"/>
  <c r="X553" i="457"/>
  <c r="W553" i="457"/>
  <c r="V553" i="457"/>
  <c r="U553" i="457"/>
  <c r="T553" i="457"/>
  <c r="S553" i="457"/>
  <c r="Q553" i="457"/>
  <c r="P553" i="457"/>
  <c r="O553" i="457"/>
  <c r="N553" i="457"/>
  <c r="M553" i="457"/>
  <c r="L553" i="457"/>
  <c r="J553" i="457"/>
  <c r="I553" i="457"/>
  <c r="H553" i="457"/>
  <c r="G553" i="457"/>
  <c r="F553" i="457"/>
  <c r="E553" i="457"/>
  <c r="D553" i="457"/>
  <c r="AA552" i="457"/>
  <c r="R552" i="457"/>
  <c r="K552" i="457"/>
  <c r="E552" i="457"/>
  <c r="Z551" i="457"/>
  <c r="Y551" i="457"/>
  <c r="X551" i="457"/>
  <c r="W551" i="457"/>
  <c r="V551" i="457"/>
  <c r="U551" i="457"/>
  <c r="T551" i="457"/>
  <c r="S551" i="457"/>
  <c r="Q551" i="457"/>
  <c r="P551" i="457"/>
  <c r="O551" i="457"/>
  <c r="N551" i="457"/>
  <c r="M551" i="457"/>
  <c r="L551" i="457"/>
  <c r="J551" i="457"/>
  <c r="I551" i="457"/>
  <c r="H551" i="457"/>
  <c r="G551" i="457"/>
  <c r="F551" i="457"/>
  <c r="E551" i="457"/>
  <c r="D551" i="457"/>
  <c r="AA550" i="457"/>
  <c r="R550" i="457"/>
  <c r="K550" i="457"/>
  <c r="E550" i="457"/>
  <c r="Z549" i="457"/>
  <c r="Y549" i="457"/>
  <c r="X549" i="457"/>
  <c r="W549" i="457"/>
  <c r="V549" i="457"/>
  <c r="U549" i="457"/>
  <c r="T549" i="457"/>
  <c r="S549" i="457"/>
  <c r="Q549" i="457"/>
  <c r="P549" i="457"/>
  <c r="O549" i="457"/>
  <c r="N549" i="457"/>
  <c r="M549" i="457"/>
  <c r="L549" i="457"/>
  <c r="J549" i="457"/>
  <c r="I549" i="457"/>
  <c r="H549" i="457"/>
  <c r="G549" i="457"/>
  <c r="F549" i="457"/>
  <c r="E549" i="457"/>
  <c r="D549" i="457"/>
  <c r="AA548" i="457"/>
  <c r="R548" i="457"/>
  <c r="K548" i="457"/>
  <c r="E548" i="457"/>
  <c r="AA547" i="457"/>
  <c r="R547" i="457"/>
  <c r="E547" i="457"/>
  <c r="K547" i="457" s="1"/>
  <c r="Z546" i="457"/>
  <c r="Y546" i="457"/>
  <c r="X546" i="457"/>
  <c r="W546" i="457"/>
  <c r="V546" i="457"/>
  <c r="U546" i="457"/>
  <c r="T546" i="457"/>
  <c r="S546" i="457"/>
  <c r="Q546" i="457"/>
  <c r="P546" i="457"/>
  <c r="O546" i="457"/>
  <c r="N546" i="457"/>
  <c r="M546" i="457"/>
  <c r="L546" i="457"/>
  <c r="J546" i="457"/>
  <c r="I546" i="457"/>
  <c r="H546" i="457"/>
  <c r="G546" i="457"/>
  <c r="F546" i="457"/>
  <c r="E546" i="457"/>
  <c r="D546" i="457"/>
  <c r="AA545" i="457"/>
  <c r="R545" i="457"/>
  <c r="E545" i="457"/>
  <c r="K545" i="457" s="1"/>
  <c r="Z544" i="457"/>
  <c r="Y544" i="457"/>
  <c r="X544" i="457"/>
  <c r="W544" i="457"/>
  <c r="V544" i="457"/>
  <c r="U544" i="457"/>
  <c r="T544" i="457"/>
  <c r="S544" i="457"/>
  <c r="Q544" i="457"/>
  <c r="P544" i="457"/>
  <c r="O544" i="457"/>
  <c r="N544" i="457"/>
  <c r="M544" i="457"/>
  <c r="L544" i="457"/>
  <c r="J544" i="457"/>
  <c r="I544" i="457"/>
  <c r="H544" i="457"/>
  <c r="G544" i="457"/>
  <c r="F544" i="457"/>
  <c r="E544" i="457"/>
  <c r="D544" i="457"/>
  <c r="AA543" i="457"/>
  <c r="AB543" i="457" s="1"/>
  <c r="R543" i="457"/>
  <c r="E543" i="457"/>
  <c r="K543" i="457" s="1"/>
  <c r="Z542" i="457"/>
  <c r="Y542" i="457"/>
  <c r="X542" i="457"/>
  <c r="W542" i="457"/>
  <c r="V542" i="457"/>
  <c r="U542" i="457"/>
  <c r="T542" i="457"/>
  <c r="S542" i="457"/>
  <c r="Q542" i="457"/>
  <c r="P542" i="457"/>
  <c r="O542" i="457"/>
  <c r="N542" i="457"/>
  <c r="M542" i="457"/>
  <c r="L542" i="457"/>
  <c r="J542" i="457"/>
  <c r="I542" i="457"/>
  <c r="H542" i="457"/>
  <c r="G542" i="457"/>
  <c r="F542" i="457"/>
  <c r="E542" i="457"/>
  <c r="D542" i="457"/>
  <c r="AA541" i="457"/>
  <c r="R541" i="457"/>
  <c r="E541" i="457"/>
  <c r="K541" i="457" s="1"/>
  <c r="Z540" i="457"/>
  <c r="Y540" i="457"/>
  <c r="X540" i="457"/>
  <c r="W540" i="457"/>
  <c r="V540" i="457"/>
  <c r="U540" i="457"/>
  <c r="T540" i="457"/>
  <c r="S540" i="457"/>
  <c r="Q540" i="457"/>
  <c r="P540" i="457"/>
  <c r="O540" i="457"/>
  <c r="N540" i="457"/>
  <c r="M540" i="457"/>
  <c r="L540" i="457"/>
  <c r="J540" i="457"/>
  <c r="I540" i="457"/>
  <c r="H540" i="457"/>
  <c r="G540" i="457"/>
  <c r="F540" i="457"/>
  <c r="E540" i="457"/>
  <c r="D540" i="457"/>
  <c r="AA539" i="457"/>
  <c r="R539" i="457"/>
  <c r="E539" i="457"/>
  <c r="K539" i="457" s="1"/>
  <c r="Z538" i="457"/>
  <c r="Y538" i="457"/>
  <c r="X538" i="457"/>
  <c r="W538" i="457"/>
  <c r="V538" i="457"/>
  <c r="U538" i="457"/>
  <c r="T538" i="457"/>
  <c r="S538" i="457"/>
  <c r="Q538" i="457"/>
  <c r="P538" i="457"/>
  <c r="O538" i="457"/>
  <c r="N538" i="457"/>
  <c r="M538" i="457"/>
  <c r="L538" i="457"/>
  <c r="J538" i="457"/>
  <c r="I538" i="457"/>
  <c r="H538" i="457"/>
  <c r="G538" i="457"/>
  <c r="F538" i="457"/>
  <c r="E538" i="457"/>
  <c r="D538" i="457"/>
  <c r="AA537" i="457"/>
  <c r="R537" i="457"/>
  <c r="E537" i="457"/>
  <c r="K537" i="457" s="1"/>
  <c r="Z536" i="457"/>
  <c r="Y536" i="457"/>
  <c r="X536" i="457"/>
  <c r="W536" i="457"/>
  <c r="V536" i="457"/>
  <c r="U536" i="457"/>
  <c r="T536" i="457"/>
  <c r="S536" i="457"/>
  <c r="Q536" i="457"/>
  <c r="P536" i="457"/>
  <c r="O536" i="457"/>
  <c r="N536" i="457"/>
  <c r="M536" i="457"/>
  <c r="L536" i="457"/>
  <c r="J536" i="457"/>
  <c r="I536" i="457"/>
  <c r="H536" i="457"/>
  <c r="G536" i="457"/>
  <c r="F536" i="457"/>
  <c r="E536" i="457"/>
  <c r="D536" i="457"/>
  <c r="AA535" i="457"/>
  <c r="R535" i="457"/>
  <c r="E535" i="457"/>
  <c r="K535" i="457" s="1"/>
  <c r="Z534" i="457"/>
  <c r="Y534" i="457"/>
  <c r="X534" i="457"/>
  <c r="W534" i="457"/>
  <c r="V534" i="457"/>
  <c r="U534" i="457"/>
  <c r="T534" i="457"/>
  <c r="S534" i="457"/>
  <c r="Q534" i="457"/>
  <c r="P534" i="457"/>
  <c r="O534" i="457"/>
  <c r="N534" i="457"/>
  <c r="M534" i="457"/>
  <c r="L534" i="457"/>
  <c r="J534" i="457"/>
  <c r="I534" i="457"/>
  <c r="H534" i="457"/>
  <c r="G534" i="457"/>
  <c r="F534" i="457"/>
  <c r="E534" i="457"/>
  <c r="D534" i="457"/>
  <c r="AA533" i="457"/>
  <c r="R533" i="457"/>
  <c r="E533" i="457"/>
  <c r="K533" i="457" s="1"/>
  <c r="Z532" i="457"/>
  <c r="Y532" i="457"/>
  <c r="X532" i="457"/>
  <c r="W532" i="457"/>
  <c r="V532" i="457"/>
  <c r="U532" i="457"/>
  <c r="T532" i="457"/>
  <c r="S532" i="457"/>
  <c r="Q532" i="457"/>
  <c r="P532" i="457"/>
  <c r="O532" i="457"/>
  <c r="N532" i="457"/>
  <c r="M532" i="457"/>
  <c r="L532" i="457"/>
  <c r="J532" i="457"/>
  <c r="I532" i="457"/>
  <c r="H532" i="457"/>
  <c r="G532" i="457"/>
  <c r="F532" i="457"/>
  <c r="E532" i="457"/>
  <c r="D532" i="457"/>
  <c r="AA531" i="457"/>
  <c r="R531" i="457"/>
  <c r="E531" i="457"/>
  <c r="K531" i="457" s="1"/>
  <c r="Z530" i="457"/>
  <c r="Y530" i="457"/>
  <c r="X530" i="457"/>
  <c r="W530" i="457"/>
  <c r="V530" i="457"/>
  <c r="U530" i="457"/>
  <c r="T530" i="457"/>
  <c r="S530" i="457"/>
  <c r="Q530" i="457"/>
  <c r="P530" i="457"/>
  <c r="O530" i="457"/>
  <c r="N530" i="457"/>
  <c r="M530" i="457"/>
  <c r="L530" i="457"/>
  <c r="J530" i="457"/>
  <c r="I530" i="457"/>
  <c r="H530" i="457"/>
  <c r="G530" i="457"/>
  <c r="F530" i="457"/>
  <c r="E530" i="457"/>
  <c r="D530" i="457"/>
  <c r="AA529" i="457"/>
  <c r="R529" i="457"/>
  <c r="E529" i="457"/>
  <c r="K529" i="457" s="1"/>
  <c r="Z528" i="457"/>
  <c r="Y528" i="457"/>
  <c r="X528" i="457"/>
  <c r="W528" i="457"/>
  <c r="V528" i="457"/>
  <c r="U528" i="457"/>
  <c r="T528" i="457"/>
  <c r="S528" i="457"/>
  <c r="Q528" i="457"/>
  <c r="P528" i="457"/>
  <c r="O528" i="457"/>
  <c r="N528" i="457"/>
  <c r="M528" i="457"/>
  <c r="L528" i="457"/>
  <c r="J528" i="457"/>
  <c r="I528" i="457"/>
  <c r="H528" i="457"/>
  <c r="G528" i="457"/>
  <c r="F528" i="457"/>
  <c r="E528" i="457"/>
  <c r="D528" i="457"/>
  <c r="AA527" i="457"/>
  <c r="R527" i="457"/>
  <c r="E527" i="457"/>
  <c r="K527" i="457" s="1"/>
  <c r="Z526" i="457"/>
  <c r="Y526" i="457"/>
  <c r="X526" i="457"/>
  <c r="W526" i="457"/>
  <c r="V526" i="457"/>
  <c r="U526" i="457"/>
  <c r="T526" i="457"/>
  <c r="S526" i="457"/>
  <c r="Q526" i="457"/>
  <c r="P526" i="457"/>
  <c r="O526" i="457"/>
  <c r="N526" i="457"/>
  <c r="M526" i="457"/>
  <c r="L526" i="457"/>
  <c r="J526" i="457"/>
  <c r="I526" i="457"/>
  <c r="H526" i="457"/>
  <c r="G526" i="457"/>
  <c r="F526" i="457"/>
  <c r="E526" i="457"/>
  <c r="D526" i="457"/>
  <c r="AA525" i="457"/>
  <c r="R525" i="457"/>
  <c r="E525" i="457"/>
  <c r="K525" i="457" s="1"/>
  <c r="Z524" i="457"/>
  <c r="Y524" i="457"/>
  <c r="X524" i="457"/>
  <c r="W524" i="457"/>
  <c r="V524" i="457"/>
  <c r="U524" i="457"/>
  <c r="T524" i="457"/>
  <c r="S524" i="457"/>
  <c r="Q524" i="457"/>
  <c r="P524" i="457"/>
  <c r="O524" i="457"/>
  <c r="N524" i="457"/>
  <c r="M524" i="457"/>
  <c r="L524" i="457"/>
  <c r="J524" i="457"/>
  <c r="I524" i="457"/>
  <c r="H524" i="457"/>
  <c r="G524" i="457"/>
  <c r="F524" i="457"/>
  <c r="E524" i="457"/>
  <c r="D524" i="457"/>
  <c r="AA523" i="457"/>
  <c r="R523" i="457"/>
  <c r="E523" i="457"/>
  <c r="K523" i="457" s="1"/>
  <c r="AA522" i="457"/>
  <c r="R522" i="457"/>
  <c r="E522" i="457"/>
  <c r="K522" i="457" s="1"/>
  <c r="Z521" i="457"/>
  <c r="Y521" i="457"/>
  <c r="X521" i="457"/>
  <c r="W521" i="457"/>
  <c r="V521" i="457"/>
  <c r="U521" i="457"/>
  <c r="T521" i="457"/>
  <c r="S521" i="457"/>
  <c r="Q521" i="457"/>
  <c r="P521" i="457"/>
  <c r="O521" i="457"/>
  <c r="N521" i="457"/>
  <c r="M521" i="457"/>
  <c r="L521" i="457"/>
  <c r="J521" i="457"/>
  <c r="I521" i="457"/>
  <c r="H521" i="457"/>
  <c r="G521" i="457"/>
  <c r="F521" i="457"/>
  <c r="E521" i="457"/>
  <c r="D521" i="457"/>
  <c r="AA520" i="457"/>
  <c r="R520" i="457"/>
  <c r="E520" i="457"/>
  <c r="K520" i="457" s="1"/>
  <c r="Z519" i="457"/>
  <c r="Y519" i="457"/>
  <c r="X519" i="457"/>
  <c r="W519" i="457"/>
  <c r="V519" i="457"/>
  <c r="U519" i="457"/>
  <c r="T519" i="457"/>
  <c r="S519" i="457"/>
  <c r="Q519" i="457"/>
  <c r="P519" i="457"/>
  <c r="O519" i="457"/>
  <c r="N519" i="457"/>
  <c r="M519" i="457"/>
  <c r="L519" i="457"/>
  <c r="J519" i="457"/>
  <c r="I519" i="457"/>
  <c r="H519" i="457"/>
  <c r="G519" i="457"/>
  <c r="F519" i="457"/>
  <c r="E519" i="457"/>
  <c r="D519" i="457"/>
  <c r="AA518" i="457"/>
  <c r="R518" i="457"/>
  <c r="E518" i="457"/>
  <c r="K518" i="457" s="1"/>
  <c r="Z517" i="457"/>
  <c r="Y517" i="457"/>
  <c r="X517" i="457"/>
  <c r="W517" i="457"/>
  <c r="V517" i="457"/>
  <c r="U517" i="457"/>
  <c r="T517" i="457"/>
  <c r="S517" i="457"/>
  <c r="Q517" i="457"/>
  <c r="P517" i="457"/>
  <c r="O517" i="457"/>
  <c r="N517" i="457"/>
  <c r="M517" i="457"/>
  <c r="L517" i="457"/>
  <c r="J517" i="457"/>
  <c r="I517" i="457"/>
  <c r="H517" i="457"/>
  <c r="G517" i="457"/>
  <c r="F517" i="457"/>
  <c r="E517" i="457"/>
  <c r="D517" i="457"/>
  <c r="AA516" i="457"/>
  <c r="R516" i="457"/>
  <c r="E516" i="457"/>
  <c r="K516" i="457" s="1"/>
  <c r="Z515" i="457"/>
  <c r="Y515" i="457"/>
  <c r="X515" i="457"/>
  <c r="W515" i="457"/>
  <c r="V515" i="457"/>
  <c r="U515" i="457"/>
  <c r="T515" i="457"/>
  <c r="S515" i="457"/>
  <c r="Q515" i="457"/>
  <c r="P515" i="457"/>
  <c r="O515" i="457"/>
  <c r="N515" i="457"/>
  <c r="M515" i="457"/>
  <c r="L515" i="457"/>
  <c r="J515" i="457"/>
  <c r="I515" i="457"/>
  <c r="H515" i="457"/>
  <c r="G515" i="457"/>
  <c r="F515" i="457"/>
  <c r="E515" i="457"/>
  <c r="D515" i="457"/>
  <c r="AA514" i="457"/>
  <c r="R514" i="457"/>
  <c r="E514" i="457"/>
  <c r="K514" i="457" s="1"/>
  <c r="Z513" i="457"/>
  <c r="Y513" i="457"/>
  <c r="X513" i="457"/>
  <c r="W513" i="457"/>
  <c r="V513" i="457"/>
  <c r="U513" i="457"/>
  <c r="T513" i="457"/>
  <c r="S513" i="457"/>
  <c r="Q513" i="457"/>
  <c r="P513" i="457"/>
  <c r="O513" i="457"/>
  <c r="N513" i="457"/>
  <c r="M513" i="457"/>
  <c r="L513" i="457"/>
  <c r="J513" i="457"/>
  <c r="I513" i="457"/>
  <c r="H513" i="457"/>
  <c r="G513" i="457"/>
  <c r="F513" i="457"/>
  <c r="E513" i="457"/>
  <c r="D513" i="457"/>
  <c r="AA512" i="457"/>
  <c r="R512" i="457"/>
  <c r="E512" i="457"/>
  <c r="K512" i="457" s="1"/>
  <c r="AA511" i="457"/>
  <c r="R511" i="457"/>
  <c r="E511" i="457"/>
  <c r="K511" i="457" s="1"/>
  <c r="Z510" i="457"/>
  <c r="Y510" i="457"/>
  <c r="X510" i="457"/>
  <c r="W510" i="457"/>
  <c r="V510" i="457"/>
  <c r="U510" i="457"/>
  <c r="T510" i="457"/>
  <c r="S510" i="457"/>
  <c r="Q510" i="457"/>
  <c r="P510" i="457"/>
  <c r="O510" i="457"/>
  <c r="N510" i="457"/>
  <c r="M510" i="457"/>
  <c r="L510" i="457"/>
  <c r="J510" i="457"/>
  <c r="I510" i="457"/>
  <c r="H510" i="457"/>
  <c r="G510" i="457"/>
  <c r="F510" i="457"/>
  <c r="E510" i="457"/>
  <c r="D510" i="457"/>
  <c r="AA509" i="457"/>
  <c r="R509" i="457"/>
  <c r="E509" i="457"/>
  <c r="K509" i="457" s="1"/>
  <c r="AA508" i="457"/>
  <c r="R508" i="457"/>
  <c r="E508" i="457"/>
  <c r="K508" i="457" s="1"/>
  <c r="Z507" i="457"/>
  <c r="Y507" i="457"/>
  <c r="X507" i="457"/>
  <c r="W507" i="457"/>
  <c r="V507" i="457"/>
  <c r="U507" i="457"/>
  <c r="T507" i="457"/>
  <c r="S507" i="457"/>
  <c r="Q507" i="457"/>
  <c r="P507" i="457"/>
  <c r="O507" i="457"/>
  <c r="N507" i="457"/>
  <c r="M507" i="457"/>
  <c r="L507" i="457"/>
  <c r="J507" i="457"/>
  <c r="I507" i="457"/>
  <c r="H507" i="457"/>
  <c r="G507" i="457"/>
  <c r="F507" i="457"/>
  <c r="E507" i="457"/>
  <c r="D507" i="457"/>
  <c r="AA506" i="457"/>
  <c r="R506" i="457"/>
  <c r="E506" i="457"/>
  <c r="K506" i="457" s="1"/>
  <c r="AA505" i="457"/>
  <c r="R505" i="457"/>
  <c r="E505" i="457"/>
  <c r="K505" i="457" s="1"/>
  <c r="AA504" i="457"/>
  <c r="R504" i="457"/>
  <c r="E504" i="457"/>
  <c r="K504" i="457" s="1"/>
  <c r="AA503" i="457"/>
  <c r="R503" i="457"/>
  <c r="E503" i="457"/>
  <c r="K503" i="457" s="1"/>
  <c r="AA502" i="457"/>
  <c r="R502" i="457"/>
  <c r="E502" i="457"/>
  <c r="K502" i="457" s="1"/>
  <c r="Z501" i="457"/>
  <c r="Y501" i="457"/>
  <c r="X501" i="457"/>
  <c r="W501" i="457"/>
  <c r="V501" i="457"/>
  <c r="U501" i="457"/>
  <c r="T501" i="457"/>
  <c r="S501" i="457"/>
  <c r="Q501" i="457"/>
  <c r="P501" i="457"/>
  <c r="O501" i="457"/>
  <c r="N501" i="457"/>
  <c r="M501" i="457"/>
  <c r="L501" i="457"/>
  <c r="J501" i="457"/>
  <c r="I501" i="457"/>
  <c r="H501" i="457"/>
  <c r="G501" i="457"/>
  <c r="F501" i="457"/>
  <c r="E501" i="457"/>
  <c r="D501" i="457"/>
  <c r="AA500" i="457"/>
  <c r="R500" i="457"/>
  <c r="E500" i="457"/>
  <c r="K500" i="457" s="1"/>
  <c r="AA499" i="457"/>
  <c r="R499" i="457"/>
  <c r="E499" i="457"/>
  <c r="K499" i="457" s="1"/>
  <c r="AA498" i="457"/>
  <c r="R498" i="457"/>
  <c r="E498" i="457"/>
  <c r="K498" i="457" s="1"/>
  <c r="AA497" i="457"/>
  <c r="R497" i="457"/>
  <c r="E497" i="457"/>
  <c r="K497" i="457" s="1"/>
  <c r="Z496" i="457"/>
  <c r="Y496" i="457"/>
  <c r="X496" i="457"/>
  <c r="W496" i="457"/>
  <c r="V496" i="457"/>
  <c r="U496" i="457"/>
  <c r="T496" i="457"/>
  <c r="S496" i="457"/>
  <c r="Q496" i="457"/>
  <c r="P496" i="457"/>
  <c r="O496" i="457"/>
  <c r="N496" i="457"/>
  <c r="M496" i="457"/>
  <c r="L496" i="457"/>
  <c r="J496" i="457"/>
  <c r="I496" i="457"/>
  <c r="H496" i="457"/>
  <c r="G496" i="457"/>
  <c r="F496" i="457"/>
  <c r="E496" i="457"/>
  <c r="D496" i="457"/>
  <c r="AA495" i="457"/>
  <c r="R495" i="457"/>
  <c r="E495" i="457"/>
  <c r="K495" i="457" s="1"/>
  <c r="AA494" i="457"/>
  <c r="R494" i="457"/>
  <c r="AB494" i="457" s="1"/>
  <c r="E494" i="457"/>
  <c r="K494" i="457" s="1"/>
  <c r="AA493" i="457"/>
  <c r="R493" i="457"/>
  <c r="E493" i="457"/>
  <c r="K493" i="457" s="1"/>
  <c r="AA492" i="457"/>
  <c r="R492" i="457"/>
  <c r="E492" i="457"/>
  <c r="K492" i="457" s="1"/>
  <c r="AA491" i="457"/>
  <c r="R491" i="457"/>
  <c r="E491" i="457"/>
  <c r="K491" i="457" s="1"/>
  <c r="Z490" i="457"/>
  <c r="Y490" i="457"/>
  <c r="X490" i="457"/>
  <c r="W490" i="457"/>
  <c r="V490" i="457"/>
  <c r="U490" i="457"/>
  <c r="T490" i="457"/>
  <c r="S490" i="457"/>
  <c r="Q490" i="457"/>
  <c r="P490" i="457"/>
  <c r="O490" i="457"/>
  <c r="N490" i="457"/>
  <c r="M490" i="457"/>
  <c r="L490" i="457"/>
  <c r="J490" i="457"/>
  <c r="I490" i="457"/>
  <c r="H490" i="457"/>
  <c r="G490" i="457"/>
  <c r="F490" i="457"/>
  <c r="E490" i="457"/>
  <c r="D490" i="457"/>
  <c r="AA489" i="457"/>
  <c r="R489" i="457"/>
  <c r="E489" i="457"/>
  <c r="K489" i="457" s="1"/>
  <c r="AA488" i="457"/>
  <c r="R488" i="457"/>
  <c r="AB488" i="457" s="1"/>
  <c r="E488" i="457"/>
  <c r="K488" i="457" s="1"/>
  <c r="Z487" i="457"/>
  <c r="Y487" i="457"/>
  <c r="X487" i="457"/>
  <c r="W487" i="457"/>
  <c r="V487" i="457"/>
  <c r="U487" i="457"/>
  <c r="T487" i="457"/>
  <c r="S487" i="457"/>
  <c r="Q487" i="457"/>
  <c r="P487" i="457"/>
  <c r="O487" i="457"/>
  <c r="N487" i="457"/>
  <c r="M487" i="457"/>
  <c r="L487" i="457"/>
  <c r="J487" i="457"/>
  <c r="I487" i="457"/>
  <c r="H487" i="457"/>
  <c r="G487" i="457"/>
  <c r="F487" i="457"/>
  <c r="E487" i="457"/>
  <c r="D487" i="457"/>
  <c r="AA486" i="457"/>
  <c r="R486" i="457"/>
  <c r="AB486" i="457" s="1"/>
  <c r="E486" i="457"/>
  <c r="K486" i="457" s="1"/>
  <c r="AA485" i="457"/>
  <c r="R485" i="457"/>
  <c r="E485" i="457"/>
  <c r="K485" i="457" s="1"/>
  <c r="AA484" i="457"/>
  <c r="R484" i="457"/>
  <c r="E484" i="457"/>
  <c r="K484" i="457" s="1"/>
  <c r="Z483" i="457"/>
  <c r="Y483" i="457"/>
  <c r="X483" i="457"/>
  <c r="W483" i="457"/>
  <c r="V483" i="457"/>
  <c r="U483" i="457"/>
  <c r="T483" i="457"/>
  <c r="S483" i="457"/>
  <c r="Q483" i="457"/>
  <c r="P483" i="457"/>
  <c r="O483" i="457"/>
  <c r="N483" i="457"/>
  <c r="M483" i="457"/>
  <c r="L483" i="457"/>
  <c r="J483" i="457"/>
  <c r="I483" i="457"/>
  <c r="H483" i="457"/>
  <c r="G483" i="457"/>
  <c r="F483" i="457"/>
  <c r="E483" i="457"/>
  <c r="D483" i="457"/>
  <c r="AA482" i="457"/>
  <c r="R482" i="457"/>
  <c r="E482" i="457"/>
  <c r="K482" i="457" s="1"/>
  <c r="Z481" i="457"/>
  <c r="Y481" i="457"/>
  <c r="X481" i="457"/>
  <c r="W481" i="457"/>
  <c r="V481" i="457"/>
  <c r="U481" i="457"/>
  <c r="T481" i="457"/>
  <c r="S481" i="457"/>
  <c r="Q481" i="457"/>
  <c r="P481" i="457"/>
  <c r="O481" i="457"/>
  <c r="N481" i="457"/>
  <c r="M481" i="457"/>
  <c r="L481" i="457"/>
  <c r="J481" i="457"/>
  <c r="I481" i="457"/>
  <c r="H481" i="457"/>
  <c r="G481" i="457"/>
  <c r="F481" i="457"/>
  <c r="E481" i="457"/>
  <c r="D481" i="457"/>
  <c r="E480" i="457"/>
  <c r="AA479" i="457"/>
  <c r="R479" i="457"/>
  <c r="E479" i="457"/>
  <c r="K479" i="457" s="1"/>
  <c r="AA478" i="457"/>
  <c r="R478" i="457"/>
  <c r="E478" i="457"/>
  <c r="K478" i="457" s="1"/>
  <c r="AA477" i="457"/>
  <c r="R477" i="457"/>
  <c r="E477" i="457"/>
  <c r="K477" i="457" s="1"/>
  <c r="AA476" i="457"/>
  <c r="R476" i="457"/>
  <c r="AB476" i="457" s="1"/>
  <c r="E476" i="457"/>
  <c r="K476" i="457" s="1"/>
  <c r="AA475" i="457"/>
  <c r="R475" i="457"/>
  <c r="E475" i="457"/>
  <c r="K475" i="457" s="1"/>
  <c r="AA474" i="457"/>
  <c r="R474" i="457"/>
  <c r="E474" i="457"/>
  <c r="K474" i="457" s="1"/>
  <c r="Z473" i="457"/>
  <c r="Y473" i="457"/>
  <c r="X473" i="457"/>
  <c r="W473" i="457"/>
  <c r="V473" i="457"/>
  <c r="U473" i="457"/>
  <c r="T473" i="457"/>
  <c r="S473" i="457"/>
  <c r="Q473" i="457"/>
  <c r="P473" i="457"/>
  <c r="O473" i="457"/>
  <c r="N473" i="457"/>
  <c r="M473" i="457"/>
  <c r="L473" i="457"/>
  <c r="J473" i="457"/>
  <c r="I473" i="457"/>
  <c r="H473" i="457"/>
  <c r="G473" i="457"/>
  <c r="F473" i="457"/>
  <c r="E473" i="457"/>
  <c r="D473" i="457"/>
  <c r="AA472" i="457"/>
  <c r="R472" i="457"/>
  <c r="E472" i="457"/>
  <c r="K472" i="457" s="1"/>
  <c r="AA471" i="457"/>
  <c r="AB471" i="457" s="1"/>
  <c r="AC471" i="457" s="1"/>
  <c r="R471" i="457"/>
  <c r="E471" i="457"/>
  <c r="K471" i="457" s="1"/>
  <c r="AA470" i="457"/>
  <c r="R470" i="457"/>
  <c r="E470" i="457"/>
  <c r="K470" i="457" s="1"/>
  <c r="AA469" i="457"/>
  <c r="R469" i="457"/>
  <c r="E469" i="457"/>
  <c r="K469" i="457" s="1"/>
  <c r="AA468" i="457"/>
  <c r="R468" i="457"/>
  <c r="AB468" i="457" s="1"/>
  <c r="E468" i="457"/>
  <c r="K468" i="457" s="1"/>
  <c r="AA467" i="457"/>
  <c r="R467" i="457"/>
  <c r="E467" i="457"/>
  <c r="K467" i="457" s="1"/>
  <c r="AA466" i="457"/>
  <c r="R466" i="457"/>
  <c r="E466" i="457"/>
  <c r="K466" i="457" s="1"/>
  <c r="AA465" i="457"/>
  <c r="R465" i="457"/>
  <c r="K465" i="457"/>
  <c r="E465" i="457"/>
  <c r="AA464" i="457"/>
  <c r="R464" i="457"/>
  <c r="E464" i="457"/>
  <c r="K464" i="457" s="1"/>
  <c r="AA463" i="457"/>
  <c r="R463" i="457"/>
  <c r="K463" i="457"/>
  <c r="E463" i="457"/>
  <c r="AA462" i="457"/>
  <c r="R462" i="457"/>
  <c r="E462" i="457"/>
  <c r="K462" i="457" s="1"/>
  <c r="AA461" i="457"/>
  <c r="AB461" i="457" s="1"/>
  <c r="R461" i="457"/>
  <c r="E461" i="457"/>
  <c r="K461" i="457" s="1"/>
  <c r="AA460" i="457"/>
  <c r="R460" i="457"/>
  <c r="E460" i="457"/>
  <c r="K460" i="457" s="1"/>
  <c r="AA459" i="457"/>
  <c r="R459" i="457"/>
  <c r="E459" i="457"/>
  <c r="K459" i="457" s="1"/>
  <c r="AA458" i="457"/>
  <c r="R458" i="457"/>
  <c r="E458" i="457"/>
  <c r="K458" i="457" s="1"/>
  <c r="AA457" i="457"/>
  <c r="R457" i="457"/>
  <c r="K457" i="457"/>
  <c r="E457" i="457"/>
  <c r="AA456" i="457"/>
  <c r="R456" i="457"/>
  <c r="E456" i="457"/>
  <c r="K456" i="457" s="1"/>
  <c r="AA455" i="457"/>
  <c r="R455" i="457"/>
  <c r="K455" i="457"/>
  <c r="E455" i="457"/>
  <c r="AA454" i="457"/>
  <c r="R454" i="457"/>
  <c r="E454" i="457"/>
  <c r="K454" i="457" s="1"/>
  <c r="AA453" i="457"/>
  <c r="R453" i="457"/>
  <c r="E453" i="457"/>
  <c r="K453" i="457" s="1"/>
  <c r="AA452" i="457"/>
  <c r="R452" i="457"/>
  <c r="E452" i="457"/>
  <c r="K452" i="457" s="1"/>
  <c r="AA451" i="457"/>
  <c r="R451" i="457"/>
  <c r="E451" i="457"/>
  <c r="K451" i="457" s="1"/>
  <c r="AA450" i="457"/>
  <c r="R450" i="457"/>
  <c r="E450" i="457"/>
  <c r="K450" i="457" s="1"/>
  <c r="AA449" i="457"/>
  <c r="R449" i="457"/>
  <c r="K449" i="457"/>
  <c r="E449" i="457"/>
  <c r="AA448" i="457"/>
  <c r="R448" i="457"/>
  <c r="E448" i="457"/>
  <c r="K448" i="457" s="1"/>
  <c r="AA447" i="457"/>
  <c r="R447" i="457"/>
  <c r="K447" i="457"/>
  <c r="E447" i="457"/>
  <c r="AA446" i="457"/>
  <c r="R446" i="457"/>
  <c r="E446" i="457"/>
  <c r="K446" i="457" s="1"/>
  <c r="AA445" i="457"/>
  <c r="R445" i="457"/>
  <c r="E445" i="457"/>
  <c r="K445" i="457" s="1"/>
  <c r="AA444" i="457"/>
  <c r="R444" i="457"/>
  <c r="E444" i="457"/>
  <c r="K444" i="457" s="1"/>
  <c r="AA443" i="457"/>
  <c r="R443" i="457"/>
  <c r="E443" i="457"/>
  <c r="K443" i="457" s="1"/>
  <c r="AA442" i="457"/>
  <c r="R442" i="457"/>
  <c r="E442" i="457"/>
  <c r="K442" i="457" s="1"/>
  <c r="AA441" i="457"/>
  <c r="AB441" i="457" s="1"/>
  <c r="R441" i="457"/>
  <c r="K441" i="457"/>
  <c r="E441" i="457"/>
  <c r="AA440" i="457"/>
  <c r="R440" i="457"/>
  <c r="E440" i="457"/>
  <c r="K440" i="457" s="1"/>
  <c r="AA439" i="457"/>
  <c r="R439" i="457"/>
  <c r="K439" i="457"/>
  <c r="E439" i="457"/>
  <c r="AA438" i="457"/>
  <c r="R438" i="457"/>
  <c r="E438" i="457"/>
  <c r="K438" i="457" s="1"/>
  <c r="AA437" i="457"/>
  <c r="R437" i="457"/>
  <c r="E437" i="457"/>
  <c r="K437" i="457" s="1"/>
  <c r="AA436" i="457"/>
  <c r="R436" i="457"/>
  <c r="E436" i="457"/>
  <c r="K436" i="457" s="1"/>
  <c r="AA435" i="457"/>
  <c r="R435" i="457"/>
  <c r="E435" i="457"/>
  <c r="K435" i="457" s="1"/>
  <c r="AA434" i="457"/>
  <c r="R434" i="457"/>
  <c r="E434" i="457"/>
  <c r="K434" i="457" s="1"/>
  <c r="AA433" i="457"/>
  <c r="R433" i="457"/>
  <c r="K433" i="457"/>
  <c r="E433" i="457"/>
  <c r="Z432" i="457"/>
  <c r="Y432" i="457"/>
  <c r="X432" i="457"/>
  <c r="W432" i="457"/>
  <c r="V432" i="457"/>
  <c r="U432" i="457"/>
  <c r="T432" i="457"/>
  <c r="S432" i="457"/>
  <c r="Q432" i="457"/>
  <c r="P432" i="457"/>
  <c r="O432" i="457"/>
  <c r="N432" i="457"/>
  <c r="M432" i="457"/>
  <c r="L432" i="457"/>
  <c r="J432" i="457"/>
  <c r="I432" i="457"/>
  <c r="H432" i="457"/>
  <c r="G432" i="457"/>
  <c r="F432" i="457"/>
  <c r="E432" i="457"/>
  <c r="D432" i="457"/>
  <c r="AA431" i="457"/>
  <c r="R431" i="457"/>
  <c r="E431" i="457"/>
  <c r="K431" i="457" s="1"/>
  <c r="AA430" i="457"/>
  <c r="R430" i="457"/>
  <c r="E430" i="457"/>
  <c r="K430" i="457" s="1"/>
  <c r="AA429" i="457"/>
  <c r="R429" i="457"/>
  <c r="AB429" i="457" s="1"/>
  <c r="E429" i="457"/>
  <c r="K429" i="457" s="1"/>
  <c r="AA428" i="457"/>
  <c r="R428" i="457"/>
  <c r="E428" i="457"/>
  <c r="K428" i="457" s="1"/>
  <c r="AA427" i="457"/>
  <c r="R427" i="457"/>
  <c r="K427" i="457"/>
  <c r="E427" i="457"/>
  <c r="AA426" i="457"/>
  <c r="R426" i="457"/>
  <c r="E426" i="457"/>
  <c r="K426" i="457" s="1"/>
  <c r="AA425" i="457"/>
  <c r="R425" i="457"/>
  <c r="K425" i="457"/>
  <c r="E425" i="457"/>
  <c r="AA424" i="457"/>
  <c r="R424" i="457"/>
  <c r="E424" i="457"/>
  <c r="K424" i="457" s="1"/>
  <c r="Z423" i="457"/>
  <c r="Y423" i="457"/>
  <c r="X423" i="457"/>
  <c r="W423" i="457"/>
  <c r="V423" i="457"/>
  <c r="U423" i="457"/>
  <c r="T423" i="457"/>
  <c r="S423" i="457"/>
  <c r="Q423" i="457"/>
  <c r="P423" i="457"/>
  <c r="O423" i="457"/>
  <c r="N423" i="457"/>
  <c r="M423" i="457"/>
  <c r="L423" i="457"/>
  <c r="J423" i="457"/>
  <c r="I423" i="457"/>
  <c r="H423" i="457"/>
  <c r="G423" i="457"/>
  <c r="F423" i="457"/>
  <c r="E423" i="457"/>
  <c r="D423" i="457"/>
  <c r="AA422" i="457"/>
  <c r="R422" i="457"/>
  <c r="E422" i="457"/>
  <c r="K422" i="457" s="1"/>
  <c r="AA421" i="457"/>
  <c r="R421" i="457"/>
  <c r="AB421" i="457" s="1"/>
  <c r="K421" i="457"/>
  <c r="E421" i="457"/>
  <c r="AA420" i="457"/>
  <c r="R420" i="457"/>
  <c r="AB420" i="457" s="1"/>
  <c r="E420" i="457"/>
  <c r="K420" i="457" s="1"/>
  <c r="Z419" i="457"/>
  <c r="Y419" i="457"/>
  <c r="X419" i="457"/>
  <c r="W419" i="457"/>
  <c r="V419" i="457"/>
  <c r="U419" i="457"/>
  <c r="T419" i="457"/>
  <c r="S419" i="457"/>
  <c r="Q419" i="457"/>
  <c r="P419" i="457"/>
  <c r="O419" i="457"/>
  <c r="N419" i="457"/>
  <c r="M419" i="457"/>
  <c r="L419" i="457"/>
  <c r="J419" i="457"/>
  <c r="I419" i="457"/>
  <c r="H419" i="457"/>
  <c r="G419" i="457"/>
  <c r="F419" i="457"/>
  <c r="E419" i="457"/>
  <c r="D419" i="457"/>
  <c r="AA418" i="457"/>
  <c r="R418" i="457"/>
  <c r="E418" i="457"/>
  <c r="K418" i="457" s="1"/>
  <c r="AA417" i="457"/>
  <c r="R417" i="457"/>
  <c r="E417" i="457"/>
  <c r="K417" i="457" s="1"/>
  <c r="AA416" i="457"/>
  <c r="R416" i="457"/>
  <c r="H416" i="457"/>
  <c r="H415" i="457" s="1"/>
  <c r="E416" i="457"/>
  <c r="K416" i="457" s="1"/>
  <c r="Z415" i="457"/>
  <c r="Y415" i="457"/>
  <c r="X415" i="457"/>
  <c r="W415" i="457"/>
  <c r="V415" i="457"/>
  <c r="U415" i="457"/>
  <c r="T415" i="457"/>
  <c r="S415" i="457"/>
  <c r="Q415" i="457"/>
  <c r="P415" i="457"/>
  <c r="O415" i="457"/>
  <c r="N415" i="457"/>
  <c r="M415" i="457"/>
  <c r="L415" i="457"/>
  <c r="J415" i="457"/>
  <c r="I415" i="457"/>
  <c r="G415" i="457"/>
  <c r="F415" i="457"/>
  <c r="E415" i="457"/>
  <c r="D415" i="457"/>
  <c r="AA414" i="457"/>
  <c r="R414" i="457"/>
  <c r="E414" i="457"/>
  <c r="K414" i="457" s="1"/>
  <c r="AA413" i="457"/>
  <c r="R413" i="457"/>
  <c r="K413" i="457"/>
  <c r="E413" i="457"/>
  <c r="AA412" i="457"/>
  <c r="R412" i="457"/>
  <c r="E412" i="457"/>
  <c r="K412" i="457" s="1"/>
  <c r="AA411" i="457"/>
  <c r="R411" i="457"/>
  <c r="AB411" i="457" s="1"/>
  <c r="K411" i="457"/>
  <c r="E411" i="457"/>
  <c r="AA410" i="457"/>
  <c r="R410" i="457"/>
  <c r="AB410" i="457" s="1"/>
  <c r="E410" i="457"/>
  <c r="K410" i="457" s="1"/>
  <c r="AA409" i="457"/>
  <c r="R409" i="457"/>
  <c r="K409" i="457"/>
  <c r="E409" i="457"/>
  <c r="AA408" i="457"/>
  <c r="R408" i="457"/>
  <c r="E408" i="457"/>
  <c r="K408" i="457" s="1"/>
  <c r="AA407" i="457"/>
  <c r="R407" i="457"/>
  <c r="K407" i="457"/>
  <c r="E407" i="457"/>
  <c r="AA406" i="457"/>
  <c r="R406" i="457"/>
  <c r="E406" i="457"/>
  <c r="K406" i="457" s="1"/>
  <c r="AA405" i="457"/>
  <c r="R405" i="457"/>
  <c r="K405" i="457"/>
  <c r="E405" i="457"/>
  <c r="AA404" i="457"/>
  <c r="R404" i="457"/>
  <c r="E404" i="457"/>
  <c r="K404" i="457" s="1"/>
  <c r="AA403" i="457"/>
  <c r="R403" i="457"/>
  <c r="K403" i="457"/>
  <c r="E403" i="457"/>
  <c r="AA402" i="457"/>
  <c r="R402" i="457"/>
  <c r="E402" i="457"/>
  <c r="K402" i="457" s="1"/>
  <c r="AA401" i="457"/>
  <c r="R401" i="457"/>
  <c r="K401" i="457"/>
  <c r="E401" i="457"/>
  <c r="AA400" i="457"/>
  <c r="R400" i="457"/>
  <c r="E400" i="457"/>
  <c r="K400" i="457" s="1"/>
  <c r="AA399" i="457"/>
  <c r="R399" i="457"/>
  <c r="K399" i="457"/>
  <c r="E399" i="457"/>
  <c r="AA398" i="457"/>
  <c r="R398" i="457"/>
  <c r="E398" i="457"/>
  <c r="K398" i="457" s="1"/>
  <c r="AA397" i="457"/>
  <c r="R397" i="457"/>
  <c r="K397" i="457"/>
  <c r="E397" i="457"/>
  <c r="AA396" i="457"/>
  <c r="R396" i="457"/>
  <c r="E396" i="457"/>
  <c r="K396" i="457" s="1"/>
  <c r="AA395" i="457"/>
  <c r="R395" i="457"/>
  <c r="K395" i="457"/>
  <c r="E395" i="457"/>
  <c r="AA394" i="457"/>
  <c r="R394" i="457"/>
  <c r="E394" i="457"/>
  <c r="K394" i="457" s="1"/>
  <c r="AA393" i="457"/>
  <c r="R393" i="457"/>
  <c r="K393" i="457"/>
  <c r="E393" i="457"/>
  <c r="AA392" i="457"/>
  <c r="R392" i="457"/>
  <c r="E392" i="457"/>
  <c r="K392" i="457" s="1"/>
  <c r="AA391" i="457"/>
  <c r="R391" i="457"/>
  <c r="K391" i="457"/>
  <c r="E391" i="457"/>
  <c r="AA390" i="457"/>
  <c r="R390" i="457"/>
  <c r="E390" i="457"/>
  <c r="K390" i="457" s="1"/>
  <c r="AA389" i="457"/>
  <c r="R389" i="457"/>
  <c r="K389" i="457"/>
  <c r="E389" i="457"/>
  <c r="AA388" i="457"/>
  <c r="R388" i="457"/>
  <c r="E388" i="457"/>
  <c r="K388" i="457" s="1"/>
  <c r="AA387" i="457"/>
  <c r="R387" i="457"/>
  <c r="K387" i="457"/>
  <c r="E387" i="457"/>
  <c r="AA386" i="457"/>
  <c r="R386" i="457"/>
  <c r="E386" i="457"/>
  <c r="K386" i="457" s="1"/>
  <c r="AA385" i="457"/>
  <c r="R385" i="457"/>
  <c r="K385" i="457"/>
  <c r="E385" i="457"/>
  <c r="AA384" i="457"/>
  <c r="R384" i="457"/>
  <c r="E384" i="457"/>
  <c r="K384" i="457" s="1"/>
  <c r="AA383" i="457"/>
  <c r="R383" i="457"/>
  <c r="K383" i="457"/>
  <c r="E383" i="457"/>
  <c r="AA382" i="457"/>
  <c r="R382" i="457"/>
  <c r="E382" i="457"/>
  <c r="K382" i="457" s="1"/>
  <c r="AA381" i="457"/>
  <c r="R381" i="457"/>
  <c r="K381" i="457"/>
  <c r="E381" i="457"/>
  <c r="AA380" i="457"/>
  <c r="R380" i="457"/>
  <c r="E380" i="457"/>
  <c r="K380" i="457" s="1"/>
  <c r="AA379" i="457"/>
  <c r="R379" i="457"/>
  <c r="AB379" i="457" s="1"/>
  <c r="K379" i="457"/>
  <c r="E379" i="457"/>
  <c r="AA378" i="457"/>
  <c r="R378" i="457"/>
  <c r="AB378" i="457" s="1"/>
  <c r="E378" i="457"/>
  <c r="K378" i="457" s="1"/>
  <c r="AA377" i="457"/>
  <c r="R377" i="457"/>
  <c r="K377" i="457"/>
  <c r="E377" i="457"/>
  <c r="AA376" i="457"/>
  <c r="R376" i="457"/>
  <c r="E376" i="457"/>
  <c r="K376" i="457" s="1"/>
  <c r="AA375" i="457"/>
  <c r="R375" i="457"/>
  <c r="K375" i="457"/>
  <c r="E375" i="457"/>
  <c r="AA374" i="457"/>
  <c r="R374" i="457"/>
  <c r="E374" i="457"/>
  <c r="K374" i="457" s="1"/>
  <c r="AA373" i="457"/>
  <c r="R373" i="457"/>
  <c r="K373" i="457"/>
  <c r="E373" i="457"/>
  <c r="AA372" i="457"/>
  <c r="R372" i="457"/>
  <c r="E372" i="457"/>
  <c r="K372" i="457" s="1"/>
  <c r="AA371" i="457"/>
  <c r="R371" i="457"/>
  <c r="K371" i="457"/>
  <c r="E371" i="457"/>
  <c r="AA370" i="457"/>
  <c r="R370" i="457"/>
  <c r="E370" i="457"/>
  <c r="K370" i="457" s="1"/>
  <c r="AA369" i="457"/>
  <c r="R369" i="457"/>
  <c r="K369" i="457"/>
  <c r="E369" i="457"/>
  <c r="AA368" i="457"/>
  <c r="R368" i="457"/>
  <c r="E368" i="457"/>
  <c r="K368" i="457" s="1"/>
  <c r="AA367" i="457"/>
  <c r="R367" i="457"/>
  <c r="K367" i="457"/>
  <c r="E367" i="457"/>
  <c r="AA366" i="457"/>
  <c r="R366" i="457"/>
  <c r="E366" i="457"/>
  <c r="K366" i="457" s="1"/>
  <c r="AA365" i="457"/>
  <c r="R365" i="457"/>
  <c r="E365" i="457"/>
  <c r="K365" i="457" s="1"/>
  <c r="AA364" i="457"/>
  <c r="R364" i="457"/>
  <c r="E364" i="457"/>
  <c r="K364" i="457" s="1"/>
  <c r="Z363" i="457"/>
  <c r="Y363" i="457"/>
  <c r="X363" i="457"/>
  <c r="W363" i="457"/>
  <c r="V363" i="457"/>
  <c r="U363" i="457"/>
  <c r="T363" i="457"/>
  <c r="S363" i="457"/>
  <c r="Q363" i="457"/>
  <c r="P363" i="457"/>
  <c r="O363" i="457"/>
  <c r="N363" i="457"/>
  <c r="M363" i="457"/>
  <c r="L363" i="457"/>
  <c r="J363" i="457"/>
  <c r="I363" i="457"/>
  <c r="H363" i="457"/>
  <c r="G363" i="457"/>
  <c r="F363" i="457"/>
  <c r="E363" i="457"/>
  <c r="D363" i="457"/>
  <c r="AA362" i="457"/>
  <c r="R362" i="457"/>
  <c r="E362" i="457"/>
  <c r="K362" i="457" s="1"/>
  <c r="Z361" i="457"/>
  <c r="Y361" i="457"/>
  <c r="X361" i="457"/>
  <c r="W361" i="457"/>
  <c r="V361" i="457"/>
  <c r="U361" i="457"/>
  <c r="T361" i="457"/>
  <c r="S361" i="457"/>
  <c r="Q361" i="457"/>
  <c r="P361" i="457"/>
  <c r="O361" i="457"/>
  <c r="N361" i="457"/>
  <c r="M361" i="457"/>
  <c r="L361" i="457"/>
  <c r="J361" i="457"/>
  <c r="I361" i="457"/>
  <c r="H361" i="457"/>
  <c r="G361" i="457"/>
  <c r="F361" i="457"/>
  <c r="E361" i="457"/>
  <c r="D361" i="457"/>
  <c r="AA360" i="457"/>
  <c r="R360" i="457"/>
  <c r="E360" i="457"/>
  <c r="K360" i="457" s="1"/>
  <c r="AA359" i="457"/>
  <c r="R359" i="457"/>
  <c r="K359" i="457"/>
  <c r="E359" i="457"/>
  <c r="AA358" i="457"/>
  <c r="R358" i="457"/>
  <c r="E358" i="457"/>
  <c r="K358" i="457" s="1"/>
  <c r="Z357" i="457"/>
  <c r="Y357" i="457"/>
  <c r="X357" i="457"/>
  <c r="W357" i="457"/>
  <c r="V357" i="457"/>
  <c r="U357" i="457"/>
  <c r="T357" i="457"/>
  <c r="S357" i="457"/>
  <c r="Q357" i="457"/>
  <c r="P357" i="457"/>
  <c r="O357" i="457"/>
  <c r="N357" i="457"/>
  <c r="M357" i="457"/>
  <c r="L357" i="457"/>
  <c r="J357" i="457"/>
  <c r="I357" i="457"/>
  <c r="H357" i="457"/>
  <c r="G357" i="457"/>
  <c r="F357" i="457"/>
  <c r="E357" i="457"/>
  <c r="D357" i="457"/>
  <c r="AA356" i="457"/>
  <c r="R356" i="457"/>
  <c r="E356" i="457"/>
  <c r="K356" i="457" s="1"/>
  <c r="Z355" i="457"/>
  <c r="Y355" i="457"/>
  <c r="X355" i="457"/>
  <c r="W355" i="457"/>
  <c r="V355" i="457"/>
  <c r="U355" i="457"/>
  <c r="T355" i="457"/>
  <c r="S355" i="457"/>
  <c r="Q355" i="457"/>
  <c r="P355" i="457"/>
  <c r="O355" i="457"/>
  <c r="N355" i="457"/>
  <c r="M355" i="457"/>
  <c r="L355" i="457"/>
  <c r="J355" i="457"/>
  <c r="I355" i="457"/>
  <c r="H355" i="457"/>
  <c r="G355" i="457"/>
  <c r="F355" i="457"/>
  <c r="E355" i="457"/>
  <c r="D355" i="457"/>
  <c r="E354" i="457"/>
  <c r="AA353" i="457"/>
  <c r="R353" i="457"/>
  <c r="K353" i="457"/>
  <c r="E353" i="457"/>
  <c r="AA352" i="457"/>
  <c r="R352" i="457"/>
  <c r="E352" i="457"/>
  <c r="K352" i="457" s="1"/>
  <c r="AA351" i="457"/>
  <c r="R351" i="457"/>
  <c r="K351" i="457"/>
  <c r="E351" i="457"/>
  <c r="Z350" i="457"/>
  <c r="Y350" i="457"/>
  <c r="X350" i="457"/>
  <c r="W350" i="457"/>
  <c r="V350" i="457"/>
  <c r="U350" i="457"/>
  <c r="T350" i="457"/>
  <c r="S350" i="457"/>
  <c r="Q350" i="457"/>
  <c r="P350" i="457"/>
  <c r="O350" i="457"/>
  <c r="N350" i="457"/>
  <c r="M350" i="457"/>
  <c r="L350" i="457"/>
  <c r="J350" i="457"/>
  <c r="I350" i="457"/>
  <c r="H350" i="457"/>
  <c r="G350" i="457"/>
  <c r="F350" i="457"/>
  <c r="E350" i="457"/>
  <c r="D350" i="457"/>
  <c r="E349" i="457"/>
  <c r="E348" i="457"/>
  <c r="AA347" i="457"/>
  <c r="R347" i="457"/>
  <c r="K347" i="457"/>
  <c r="E347" i="457"/>
  <c r="Z346" i="457"/>
  <c r="Z345" i="457" s="1"/>
  <c r="Z344" i="457" s="1"/>
  <c r="Z343" i="457" s="1"/>
  <c r="Y346" i="457"/>
  <c r="Y345" i="457" s="1"/>
  <c r="Y344" i="457" s="1"/>
  <c r="Y343" i="457" s="1"/>
  <c r="X346" i="457"/>
  <c r="X345" i="457" s="1"/>
  <c r="X344" i="457" s="1"/>
  <c r="X343" i="457" s="1"/>
  <c r="W346" i="457"/>
  <c r="W345" i="457" s="1"/>
  <c r="W344" i="457" s="1"/>
  <c r="W343" i="457" s="1"/>
  <c r="V346" i="457"/>
  <c r="V345" i="457" s="1"/>
  <c r="V344" i="457" s="1"/>
  <c r="V343" i="457" s="1"/>
  <c r="U346" i="457"/>
  <c r="U345" i="457" s="1"/>
  <c r="U344" i="457" s="1"/>
  <c r="U343" i="457" s="1"/>
  <c r="T346" i="457"/>
  <c r="T345" i="457" s="1"/>
  <c r="T344" i="457" s="1"/>
  <c r="T343" i="457" s="1"/>
  <c r="S346" i="457"/>
  <c r="S345" i="457" s="1"/>
  <c r="S344" i="457" s="1"/>
  <c r="Q346" i="457"/>
  <c r="Q345" i="457" s="1"/>
  <c r="Q344" i="457" s="1"/>
  <c r="Q343" i="457" s="1"/>
  <c r="P346" i="457"/>
  <c r="P345" i="457" s="1"/>
  <c r="P344" i="457" s="1"/>
  <c r="P343" i="457" s="1"/>
  <c r="O346" i="457"/>
  <c r="O345" i="457" s="1"/>
  <c r="O344" i="457" s="1"/>
  <c r="O343" i="457" s="1"/>
  <c r="N346" i="457"/>
  <c r="N345" i="457" s="1"/>
  <c r="N344" i="457" s="1"/>
  <c r="N343" i="457" s="1"/>
  <c r="M346" i="457"/>
  <c r="M345" i="457" s="1"/>
  <c r="M344" i="457" s="1"/>
  <c r="M343" i="457" s="1"/>
  <c r="L346" i="457"/>
  <c r="J346" i="457"/>
  <c r="J345" i="457" s="1"/>
  <c r="J344" i="457" s="1"/>
  <c r="J343" i="457" s="1"/>
  <c r="I346" i="457"/>
  <c r="I345" i="457" s="1"/>
  <c r="I344" i="457" s="1"/>
  <c r="I343" i="457" s="1"/>
  <c r="H346" i="457"/>
  <c r="H345" i="457" s="1"/>
  <c r="H344" i="457" s="1"/>
  <c r="H343" i="457" s="1"/>
  <c r="G346" i="457"/>
  <c r="G345" i="457" s="1"/>
  <c r="G344" i="457" s="1"/>
  <c r="G343" i="457" s="1"/>
  <c r="F346" i="457"/>
  <c r="F345" i="457" s="1"/>
  <c r="F344" i="457" s="1"/>
  <c r="F343" i="457" s="1"/>
  <c r="E346" i="457"/>
  <c r="D346" i="457"/>
  <c r="E345" i="457"/>
  <c r="E344" i="457"/>
  <c r="E343" i="457"/>
  <c r="AA342" i="457"/>
  <c r="R342" i="457"/>
  <c r="E342" i="457"/>
  <c r="K342" i="457" s="1"/>
  <c r="AA341" i="457"/>
  <c r="R341" i="457"/>
  <c r="K341" i="457"/>
  <c r="E341" i="457"/>
  <c r="AA340" i="457"/>
  <c r="R340" i="457"/>
  <c r="E340" i="457"/>
  <c r="K340" i="457" s="1"/>
  <c r="Z339" i="457"/>
  <c r="Z338" i="457" s="1"/>
  <c r="Z337" i="457" s="1"/>
  <c r="Y339" i="457"/>
  <c r="X339" i="457"/>
  <c r="W339" i="457"/>
  <c r="W338" i="457" s="1"/>
  <c r="W337" i="457" s="1"/>
  <c r="V339" i="457"/>
  <c r="V338" i="457" s="1"/>
  <c r="V337" i="457" s="1"/>
  <c r="U339" i="457"/>
  <c r="U338" i="457" s="1"/>
  <c r="U337" i="457" s="1"/>
  <c r="T339" i="457"/>
  <c r="T338" i="457" s="1"/>
  <c r="T337" i="457" s="1"/>
  <c r="S339" i="457"/>
  <c r="S338" i="457" s="1"/>
  <c r="Q339" i="457"/>
  <c r="Q338" i="457" s="1"/>
  <c r="Q337" i="457" s="1"/>
  <c r="P339" i="457"/>
  <c r="O339" i="457"/>
  <c r="O338" i="457" s="1"/>
  <c r="O337" i="457" s="1"/>
  <c r="N339" i="457"/>
  <c r="N338" i="457" s="1"/>
  <c r="N337" i="457" s="1"/>
  <c r="M339" i="457"/>
  <c r="M338" i="457" s="1"/>
  <c r="M337" i="457" s="1"/>
  <c r="L339" i="457"/>
  <c r="L338" i="457" s="1"/>
  <c r="J339" i="457"/>
  <c r="J338" i="457" s="1"/>
  <c r="I339" i="457"/>
  <c r="I338" i="457" s="1"/>
  <c r="I337" i="457" s="1"/>
  <c r="H339" i="457"/>
  <c r="H338" i="457" s="1"/>
  <c r="H337" i="457" s="1"/>
  <c r="G339" i="457"/>
  <c r="G338" i="457" s="1"/>
  <c r="G337" i="457" s="1"/>
  <c r="F339" i="457"/>
  <c r="E339" i="457"/>
  <c r="D339" i="457"/>
  <c r="Y338" i="457"/>
  <c r="Y337" i="457" s="1"/>
  <c r="X338" i="457"/>
  <c r="X337" i="457" s="1"/>
  <c r="P338" i="457"/>
  <c r="P337" i="457" s="1"/>
  <c r="E338" i="457"/>
  <c r="D338" i="457"/>
  <c r="J337" i="457"/>
  <c r="E337" i="457"/>
  <c r="AA336" i="457"/>
  <c r="R336" i="457"/>
  <c r="AB336" i="457" s="1"/>
  <c r="E336" i="457"/>
  <c r="K336" i="457" s="1"/>
  <c r="AA335" i="457"/>
  <c r="R335" i="457"/>
  <c r="K335" i="457"/>
  <c r="E335" i="457"/>
  <c r="AA334" i="457"/>
  <c r="R334" i="457"/>
  <c r="E334" i="457"/>
  <c r="K334" i="457" s="1"/>
  <c r="AA333" i="457"/>
  <c r="R333" i="457"/>
  <c r="K333" i="457"/>
  <c r="E333" i="457"/>
  <c r="AA332" i="457"/>
  <c r="R332" i="457"/>
  <c r="E332" i="457"/>
  <c r="K332" i="457" s="1"/>
  <c r="AA331" i="457"/>
  <c r="R331" i="457"/>
  <c r="E331" i="457"/>
  <c r="K331" i="457" s="1"/>
  <c r="AA330" i="457"/>
  <c r="R330" i="457"/>
  <c r="K330" i="457"/>
  <c r="E330" i="457"/>
  <c r="AA329" i="457"/>
  <c r="R329" i="457"/>
  <c r="K329" i="457"/>
  <c r="E329" i="457"/>
  <c r="AA328" i="457"/>
  <c r="R328" i="457"/>
  <c r="E328" i="457"/>
  <c r="K328" i="457" s="1"/>
  <c r="AA327" i="457"/>
  <c r="R327" i="457"/>
  <c r="E327" i="457"/>
  <c r="K327" i="457" s="1"/>
  <c r="AA326" i="457"/>
  <c r="R326" i="457"/>
  <c r="K326" i="457"/>
  <c r="E326" i="457"/>
  <c r="AA325" i="457"/>
  <c r="R325" i="457"/>
  <c r="E325" i="457"/>
  <c r="K325" i="457" s="1"/>
  <c r="AA324" i="457"/>
  <c r="R324" i="457"/>
  <c r="E324" i="457"/>
  <c r="K324" i="457" s="1"/>
  <c r="AA323" i="457"/>
  <c r="R323" i="457"/>
  <c r="K323" i="457"/>
  <c r="E323" i="457"/>
  <c r="AA322" i="457"/>
  <c r="R322" i="457"/>
  <c r="K322" i="457"/>
  <c r="E322" i="457"/>
  <c r="AA321" i="457"/>
  <c r="R321" i="457"/>
  <c r="E321" i="457"/>
  <c r="K321" i="457" s="1"/>
  <c r="AA320" i="457"/>
  <c r="R320" i="457"/>
  <c r="E320" i="457"/>
  <c r="K320" i="457" s="1"/>
  <c r="AA319" i="457"/>
  <c r="R319" i="457"/>
  <c r="K319" i="457"/>
  <c r="E319" i="457"/>
  <c r="AA318" i="457"/>
  <c r="R318" i="457"/>
  <c r="K318" i="457"/>
  <c r="E318" i="457"/>
  <c r="AA317" i="457"/>
  <c r="R317" i="457"/>
  <c r="E317" i="457"/>
  <c r="K317" i="457" s="1"/>
  <c r="AA316" i="457"/>
  <c r="R316" i="457"/>
  <c r="E316" i="457"/>
  <c r="K316" i="457" s="1"/>
  <c r="AA315" i="457"/>
  <c r="R315" i="457"/>
  <c r="K315" i="457"/>
  <c r="E315" i="457"/>
  <c r="AA314" i="457"/>
  <c r="R314" i="457"/>
  <c r="E314" i="457"/>
  <c r="K314" i="457" s="1"/>
  <c r="AA313" i="457"/>
  <c r="R313" i="457"/>
  <c r="K313" i="457"/>
  <c r="E313" i="457"/>
  <c r="AA312" i="457"/>
  <c r="R312" i="457"/>
  <c r="K312" i="457"/>
  <c r="E312" i="457"/>
  <c r="AA311" i="457"/>
  <c r="R311" i="457"/>
  <c r="E311" i="457"/>
  <c r="K311" i="457" s="1"/>
  <c r="AA310" i="457"/>
  <c r="R310" i="457"/>
  <c r="E310" i="457"/>
  <c r="K310" i="457" s="1"/>
  <c r="AA309" i="457"/>
  <c r="R309" i="457"/>
  <c r="K309" i="457"/>
  <c r="E309" i="457"/>
  <c r="AA308" i="457"/>
  <c r="R308" i="457"/>
  <c r="E308" i="457"/>
  <c r="K308" i="457" s="1"/>
  <c r="AA307" i="457"/>
  <c r="R307" i="457"/>
  <c r="E307" i="457"/>
  <c r="K307" i="457" s="1"/>
  <c r="AA306" i="457"/>
  <c r="R306" i="457"/>
  <c r="K306" i="457"/>
  <c r="E306" i="457"/>
  <c r="AA305" i="457"/>
  <c r="R305" i="457"/>
  <c r="K305" i="457"/>
  <c r="E305" i="457"/>
  <c r="AA304" i="457"/>
  <c r="R304" i="457"/>
  <c r="E304" i="457"/>
  <c r="K304" i="457" s="1"/>
  <c r="AA303" i="457"/>
  <c r="R303" i="457"/>
  <c r="E303" i="457"/>
  <c r="K303" i="457" s="1"/>
  <c r="AA302" i="457"/>
  <c r="R302" i="457"/>
  <c r="K302" i="457"/>
  <c r="E302" i="457"/>
  <c r="AA301" i="457"/>
  <c r="R301" i="457"/>
  <c r="K301" i="457"/>
  <c r="E301" i="457"/>
  <c r="AA300" i="457"/>
  <c r="R300" i="457"/>
  <c r="E300" i="457"/>
  <c r="K300" i="457" s="1"/>
  <c r="AA299" i="457"/>
  <c r="R299" i="457"/>
  <c r="K299" i="457"/>
  <c r="E299" i="457"/>
  <c r="AA298" i="457"/>
  <c r="R298" i="457"/>
  <c r="K298" i="457"/>
  <c r="E298" i="457"/>
  <c r="AA297" i="457"/>
  <c r="R297" i="457"/>
  <c r="E297" i="457"/>
  <c r="K297" i="457" s="1"/>
  <c r="AA296" i="457"/>
  <c r="R296" i="457"/>
  <c r="E296" i="457"/>
  <c r="K296" i="457" s="1"/>
  <c r="AA295" i="457"/>
  <c r="R295" i="457"/>
  <c r="K295" i="457"/>
  <c r="E295" i="457"/>
  <c r="AA294" i="457"/>
  <c r="R294" i="457"/>
  <c r="K294" i="457"/>
  <c r="E294" i="457"/>
  <c r="AA293" i="457"/>
  <c r="R293" i="457"/>
  <c r="E293" i="457"/>
  <c r="K293" i="457" s="1"/>
  <c r="AA292" i="457"/>
  <c r="R292" i="457"/>
  <c r="K292" i="457"/>
  <c r="E292" i="457"/>
  <c r="AA291" i="457"/>
  <c r="R291" i="457"/>
  <c r="K291" i="457"/>
  <c r="E291" i="457"/>
  <c r="Z290" i="457"/>
  <c r="Y290" i="457"/>
  <c r="X290" i="457"/>
  <c r="W290" i="457"/>
  <c r="V290" i="457"/>
  <c r="U290" i="457"/>
  <c r="T290" i="457"/>
  <c r="S290" i="457"/>
  <c r="Q290" i="457"/>
  <c r="P290" i="457"/>
  <c r="O290" i="457"/>
  <c r="N290" i="457"/>
  <c r="M290" i="457"/>
  <c r="L290" i="457"/>
  <c r="J290" i="457"/>
  <c r="I290" i="457"/>
  <c r="H290" i="457"/>
  <c r="G290" i="457"/>
  <c r="F290" i="457"/>
  <c r="E290" i="457"/>
  <c r="D290" i="457"/>
  <c r="Z289" i="457"/>
  <c r="Y289" i="457"/>
  <c r="X289" i="457"/>
  <c r="W289" i="457"/>
  <c r="V289" i="457"/>
  <c r="U289" i="457"/>
  <c r="T289" i="457"/>
  <c r="S289" i="457"/>
  <c r="Q289" i="457"/>
  <c r="P289" i="457"/>
  <c r="O289" i="457"/>
  <c r="N289" i="457"/>
  <c r="M289" i="457"/>
  <c r="L289" i="457"/>
  <c r="J289" i="457"/>
  <c r="I289" i="457"/>
  <c r="H289" i="457"/>
  <c r="G289" i="457"/>
  <c r="F289" i="457"/>
  <c r="E289" i="457"/>
  <c r="D289" i="457"/>
  <c r="AA288" i="457"/>
  <c r="R288" i="457"/>
  <c r="K288" i="457"/>
  <c r="E288" i="457"/>
  <c r="Z287" i="457"/>
  <c r="Y287" i="457"/>
  <c r="X287" i="457"/>
  <c r="W287" i="457"/>
  <c r="V287" i="457"/>
  <c r="U287" i="457"/>
  <c r="T287" i="457"/>
  <c r="S287" i="457"/>
  <c r="Q287" i="457"/>
  <c r="P287" i="457"/>
  <c r="O287" i="457"/>
  <c r="N287" i="457"/>
  <c r="M287" i="457"/>
  <c r="L287" i="457"/>
  <c r="J287" i="457"/>
  <c r="I287" i="457"/>
  <c r="H287" i="457"/>
  <c r="G287" i="457"/>
  <c r="F287" i="457"/>
  <c r="E287" i="457"/>
  <c r="D287" i="457"/>
  <c r="AA286" i="457"/>
  <c r="R286" i="457"/>
  <c r="K286" i="457"/>
  <c r="E286" i="457"/>
  <c r="Z285" i="457"/>
  <c r="Y285" i="457"/>
  <c r="X285" i="457"/>
  <c r="W285" i="457"/>
  <c r="V285" i="457"/>
  <c r="U285" i="457"/>
  <c r="T285" i="457"/>
  <c r="S285" i="457"/>
  <c r="Q285" i="457"/>
  <c r="P285" i="457"/>
  <c r="O285" i="457"/>
  <c r="N285" i="457"/>
  <c r="M285" i="457"/>
  <c r="L285" i="457"/>
  <c r="J285" i="457"/>
  <c r="I285" i="457"/>
  <c r="H285" i="457"/>
  <c r="G285" i="457"/>
  <c r="F285" i="457"/>
  <c r="E285" i="457"/>
  <c r="D285" i="457"/>
  <c r="Z284" i="457"/>
  <c r="Y284" i="457"/>
  <c r="X284" i="457"/>
  <c r="W284" i="457"/>
  <c r="V284" i="457"/>
  <c r="U284" i="457"/>
  <c r="T284" i="457"/>
  <c r="S284" i="457"/>
  <c r="Q284" i="457"/>
  <c r="P284" i="457"/>
  <c r="O284" i="457"/>
  <c r="N284" i="457"/>
  <c r="M284" i="457"/>
  <c r="L284" i="457"/>
  <c r="J284" i="457"/>
  <c r="I284" i="457"/>
  <c r="H284" i="457"/>
  <c r="G284" i="457"/>
  <c r="F284" i="457"/>
  <c r="E284" i="457"/>
  <c r="D284" i="457"/>
  <c r="Z283" i="457"/>
  <c r="Y283" i="457"/>
  <c r="X283" i="457"/>
  <c r="W283" i="457"/>
  <c r="V283" i="457"/>
  <c r="U283" i="457"/>
  <c r="T283" i="457"/>
  <c r="S283" i="457"/>
  <c r="Q283" i="457"/>
  <c r="P283" i="457"/>
  <c r="O283" i="457"/>
  <c r="N283" i="457"/>
  <c r="M283" i="457"/>
  <c r="L283" i="457"/>
  <c r="J283" i="457"/>
  <c r="I283" i="457"/>
  <c r="H283" i="457"/>
  <c r="G283" i="457"/>
  <c r="F283" i="457"/>
  <c r="E283" i="457"/>
  <c r="D283" i="457"/>
  <c r="Z282" i="457"/>
  <c r="Y282" i="457"/>
  <c r="X282" i="457"/>
  <c r="W282" i="457"/>
  <c r="V282" i="457"/>
  <c r="U282" i="457"/>
  <c r="T282" i="457"/>
  <c r="S282" i="457"/>
  <c r="Q282" i="457"/>
  <c r="P282" i="457"/>
  <c r="O282" i="457"/>
  <c r="N282" i="457"/>
  <c r="M282" i="457"/>
  <c r="L282" i="457"/>
  <c r="J282" i="457"/>
  <c r="I282" i="457"/>
  <c r="H282" i="457"/>
  <c r="G282" i="457"/>
  <c r="F282" i="457"/>
  <c r="E282" i="457"/>
  <c r="D282" i="457"/>
  <c r="Z281" i="457"/>
  <c r="Y281" i="457"/>
  <c r="X281" i="457"/>
  <c r="W281" i="457"/>
  <c r="V281" i="457"/>
  <c r="U281" i="457"/>
  <c r="T281" i="457"/>
  <c r="S281" i="457"/>
  <c r="Q281" i="457"/>
  <c r="P281" i="457"/>
  <c r="O281" i="457"/>
  <c r="N281" i="457"/>
  <c r="M281" i="457"/>
  <c r="L281" i="457"/>
  <c r="J281" i="457"/>
  <c r="I281" i="457"/>
  <c r="H281" i="457"/>
  <c r="G281" i="457"/>
  <c r="F281" i="457"/>
  <c r="E281" i="457"/>
  <c r="D281" i="457"/>
  <c r="AA280" i="457"/>
  <c r="R280" i="457"/>
  <c r="K280" i="457"/>
  <c r="E280" i="457"/>
  <c r="E279" i="457"/>
  <c r="Z278" i="457"/>
  <c r="Z277" i="457" s="1"/>
  <c r="Z279" i="457" s="1"/>
  <c r="Y278" i="457"/>
  <c r="Y277" i="457" s="1"/>
  <c r="Y279" i="457" s="1"/>
  <c r="X278" i="457"/>
  <c r="X277" i="457" s="1"/>
  <c r="X279" i="457" s="1"/>
  <c r="W278" i="457"/>
  <c r="W277" i="457" s="1"/>
  <c r="W279" i="457" s="1"/>
  <c r="V278" i="457"/>
  <c r="V277" i="457" s="1"/>
  <c r="V279" i="457" s="1"/>
  <c r="U278" i="457"/>
  <c r="U277" i="457" s="1"/>
  <c r="U279" i="457" s="1"/>
  <c r="T278" i="457"/>
  <c r="T277" i="457" s="1"/>
  <c r="T279" i="457" s="1"/>
  <c r="S278" i="457"/>
  <c r="S277" i="457" s="1"/>
  <c r="S279" i="457" s="1"/>
  <c r="Q278" i="457"/>
  <c r="Q277" i="457" s="1"/>
  <c r="Q279" i="457" s="1"/>
  <c r="P278" i="457"/>
  <c r="O278" i="457"/>
  <c r="N278" i="457"/>
  <c r="N277" i="457" s="1"/>
  <c r="N279" i="457" s="1"/>
  <c r="M278" i="457"/>
  <c r="L278" i="457"/>
  <c r="L277" i="457" s="1"/>
  <c r="J278" i="457"/>
  <c r="J277" i="457" s="1"/>
  <c r="J279" i="457" s="1"/>
  <c r="I278" i="457"/>
  <c r="I277" i="457" s="1"/>
  <c r="I279" i="457" s="1"/>
  <c r="H278" i="457"/>
  <c r="H277" i="457" s="1"/>
  <c r="H279" i="457" s="1"/>
  <c r="G278" i="457"/>
  <c r="G277" i="457" s="1"/>
  <c r="G279" i="457" s="1"/>
  <c r="F278" i="457"/>
  <c r="F277" i="457" s="1"/>
  <c r="F279" i="457" s="1"/>
  <c r="E278" i="457"/>
  <c r="D278" i="457"/>
  <c r="P277" i="457"/>
  <c r="P279" i="457" s="1"/>
  <c r="O277" i="457"/>
  <c r="O279" i="457" s="1"/>
  <c r="E277" i="457"/>
  <c r="AA276" i="457"/>
  <c r="R276" i="457"/>
  <c r="K276" i="457"/>
  <c r="E276" i="457"/>
  <c r="Z275" i="457"/>
  <c r="Y275" i="457"/>
  <c r="X275" i="457"/>
  <c r="W275" i="457"/>
  <c r="V275" i="457"/>
  <c r="U275" i="457"/>
  <c r="T275" i="457"/>
  <c r="S275" i="457"/>
  <c r="Q275" i="457"/>
  <c r="P275" i="457"/>
  <c r="O275" i="457"/>
  <c r="N275" i="457"/>
  <c r="M275" i="457"/>
  <c r="L275" i="457"/>
  <c r="J275" i="457"/>
  <c r="I275" i="457"/>
  <c r="H275" i="457"/>
  <c r="G275" i="457"/>
  <c r="F275" i="457"/>
  <c r="E275" i="457"/>
  <c r="D275" i="457"/>
  <c r="AA274" i="457"/>
  <c r="R274" i="457"/>
  <c r="E274" i="457"/>
  <c r="K274" i="457" s="1"/>
  <c r="Z273" i="457"/>
  <c r="Y273" i="457"/>
  <c r="X273" i="457"/>
  <c r="W273" i="457"/>
  <c r="V273" i="457"/>
  <c r="U273" i="457"/>
  <c r="T273" i="457"/>
  <c r="S273" i="457"/>
  <c r="Q273" i="457"/>
  <c r="P273" i="457"/>
  <c r="O273" i="457"/>
  <c r="N273" i="457"/>
  <c r="M273" i="457"/>
  <c r="L273" i="457"/>
  <c r="J273" i="457"/>
  <c r="I273" i="457"/>
  <c r="H273" i="457"/>
  <c r="G273" i="457"/>
  <c r="F273" i="457"/>
  <c r="E273" i="457"/>
  <c r="D273" i="457"/>
  <c r="AA272" i="457"/>
  <c r="R272" i="457"/>
  <c r="E272" i="457"/>
  <c r="K272" i="457" s="1"/>
  <c r="Z271" i="457"/>
  <c r="Y271" i="457"/>
  <c r="X271" i="457"/>
  <c r="W271" i="457"/>
  <c r="V271" i="457"/>
  <c r="U271" i="457"/>
  <c r="T271" i="457"/>
  <c r="S271" i="457"/>
  <c r="Q271" i="457"/>
  <c r="P271" i="457"/>
  <c r="O271" i="457"/>
  <c r="N271" i="457"/>
  <c r="M271" i="457"/>
  <c r="L271" i="457"/>
  <c r="J271" i="457"/>
  <c r="I271" i="457"/>
  <c r="H271" i="457"/>
  <c r="G271" i="457"/>
  <c r="F271" i="457"/>
  <c r="E271" i="457"/>
  <c r="D271" i="457"/>
  <c r="Z270" i="457"/>
  <c r="Y270" i="457"/>
  <c r="X270" i="457"/>
  <c r="W270" i="457"/>
  <c r="V270" i="457"/>
  <c r="U270" i="457"/>
  <c r="T270" i="457"/>
  <c r="S270" i="457"/>
  <c r="Q270" i="457"/>
  <c r="P270" i="457"/>
  <c r="O270" i="457"/>
  <c r="N270" i="457"/>
  <c r="M270" i="457"/>
  <c r="L270" i="457"/>
  <c r="J270" i="457"/>
  <c r="I270" i="457"/>
  <c r="H270" i="457"/>
  <c r="G270" i="457"/>
  <c r="F270" i="457"/>
  <c r="E270" i="457"/>
  <c r="D270" i="457"/>
  <c r="Z269" i="457"/>
  <c r="Y269" i="457"/>
  <c r="X269" i="457"/>
  <c r="W269" i="457"/>
  <c r="V269" i="457"/>
  <c r="U269" i="457"/>
  <c r="T269" i="457"/>
  <c r="S269" i="457"/>
  <c r="Q269" i="457"/>
  <c r="P269" i="457"/>
  <c r="O269" i="457"/>
  <c r="N269" i="457"/>
  <c r="M269" i="457"/>
  <c r="L269" i="457"/>
  <c r="J269" i="457"/>
  <c r="I269" i="457"/>
  <c r="H269" i="457"/>
  <c r="G269" i="457"/>
  <c r="F269" i="457"/>
  <c r="E269" i="457"/>
  <c r="D269" i="457"/>
  <c r="Z268" i="457"/>
  <c r="Y268" i="457"/>
  <c r="X268" i="457"/>
  <c r="W268" i="457"/>
  <c r="V268" i="457"/>
  <c r="U268" i="457"/>
  <c r="T268" i="457"/>
  <c r="S268" i="457"/>
  <c r="Q268" i="457"/>
  <c r="P268" i="457"/>
  <c r="O268" i="457"/>
  <c r="N268" i="457"/>
  <c r="M268" i="457"/>
  <c r="L268" i="457"/>
  <c r="J268" i="457"/>
  <c r="I268" i="457"/>
  <c r="H268" i="457"/>
  <c r="G268" i="457"/>
  <c r="F268" i="457"/>
  <c r="E268" i="457"/>
  <c r="D268" i="457"/>
  <c r="AA267" i="457"/>
  <c r="R267" i="457"/>
  <c r="K267" i="457"/>
  <c r="E267" i="457"/>
  <c r="AA266" i="457"/>
  <c r="R266" i="457"/>
  <c r="J266" i="457"/>
  <c r="I266" i="457"/>
  <c r="H266" i="457"/>
  <c r="G266" i="457"/>
  <c r="F266" i="457"/>
  <c r="E266" i="457"/>
  <c r="D266" i="457"/>
  <c r="AA265" i="457"/>
  <c r="R265" i="457"/>
  <c r="J265" i="457"/>
  <c r="I265" i="457"/>
  <c r="H265" i="457"/>
  <c r="G265" i="457"/>
  <c r="F265" i="457"/>
  <c r="E265" i="457"/>
  <c r="D265" i="457"/>
  <c r="AA264" i="457"/>
  <c r="R264" i="457"/>
  <c r="J264" i="457"/>
  <c r="I264" i="457"/>
  <c r="H264" i="457"/>
  <c r="G264" i="457"/>
  <c r="F264" i="457"/>
  <c r="E264" i="457"/>
  <c r="D264" i="457"/>
  <c r="AA263" i="457"/>
  <c r="R263" i="457"/>
  <c r="J263" i="457"/>
  <c r="I263" i="457"/>
  <c r="H263" i="457"/>
  <c r="G263" i="457"/>
  <c r="F263" i="457"/>
  <c r="E263" i="457"/>
  <c r="D263" i="457"/>
  <c r="Z262" i="457"/>
  <c r="Y262" i="457"/>
  <c r="X262" i="457"/>
  <c r="W262" i="457"/>
  <c r="V262" i="457"/>
  <c r="U262" i="457"/>
  <c r="T262" i="457"/>
  <c r="S262" i="457"/>
  <c r="Q262" i="457"/>
  <c r="P262" i="457"/>
  <c r="O262" i="457"/>
  <c r="O261" i="457" s="1"/>
  <c r="O255" i="457" s="1"/>
  <c r="O254" i="457" s="1"/>
  <c r="N262" i="457"/>
  <c r="N261" i="457" s="1"/>
  <c r="N255" i="457" s="1"/>
  <c r="N254" i="457" s="1"/>
  <c r="M262" i="457"/>
  <c r="M261" i="457" s="1"/>
  <c r="M255" i="457" s="1"/>
  <c r="M254" i="457" s="1"/>
  <c r="L262" i="457"/>
  <c r="L261" i="457" s="1"/>
  <c r="L255" i="457" s="1"/>
  <c r="K262" i="457"/>
  <c r="E262" i="457"/>
  <c r="Z261" i="457"/>
  <c r="Z255" i="457" s="1"/>
  <c r="Z254" i="457" s="1"/>
  <c r="Y261" i="457"/>
  <c r="X261" i="457"/>
  <c r="W261" i="457"/>
  <c r="V261" i="457"/>
  <c r="V255" i="457" s="1"/>
  <c r="V254" i="457" s="1"/>
  <c r="U261" i="457"/>
  <c r="U255" i="457" s="1"/>
  <c r="U254" i="457" s="1"/>
  <c r="T261" i="457"/>
  <c r="T255" i="457" s="1"/>
  <c r="T254" i="457" s="1"/>
  <c r="S261" i="457"/>
  <c r="S255" i="457" s="1"/>
  <c r="S254" i="457" s="1"/>
  <c r="Q261" i="457"/>
  <c r="Q255" i="457" s="1"/>
  <c r="Q254" i="457" s="1"/>
  <c r="P261" i="457"/>
  <c r="P255" i="457" s="1"/>
  <c r="P254" i="457" s="1"/>
  <c r="J261" i="457"/>
  <c r="J255" i="457" s="1"/>
  <c r="J254" i="457" s="1"/>
  <c r="I261" i="457"/>
  <c r="I255" i="457" s="1"/>
  <c r="I254" i="457" s="1"/>
  <c r="H261" i="457"/>
  <c r="H255" i="457" s="1"/>
  <c r="H254" i="457" s="1"/>
  <c r="G261" i="457"/>
  <c r="F261" i="457"/>
  <c r="F255" i="457" s="1"/>
  <c r="F254" i="457" s="1"/>
  <c r="E261" i="457"/>
  <c r="D261" i="457"/>
  <c r="D255" i="457" s="1"/>
  <c r="D254" i="457" s="1"/>
  <c r="AA260" i="457"/>
  <c r="R260" i="457"/>
  <c r="K260" i="457"/>
  <c r="E260" i="457"/>
  <c r="AA259" i="457"/>
  <c r="R259" i="457"/>
  <c r="K259" i="457"/>
  <c r="E259" i="457"/>
  <c r="AA258" i="457"/>
  <c r="R258" i="457"/>
  <c r="K258" i="457"/>
  <c r="E258" i="457"/>
  <c r="AA257" i="457"/>
  <c r="R257" i="457"/>
  <c r="K257" i="457"/>
  <c r="E257" i="457"/>
  <c r="AA256" i="457"/>
  <c r="R256" i="457"/>
  <c r="K256" i="457"/>
  <c r="E256" i="457"/>
  <c r="Y255" i="457"/>
  <c r="Y254" i="457" s="1"/>
  <c r="X255" i="457"/>
  <c r="X254" i="457" s="1"/>
  <c r="W255" i="457"/>
  <c r="W254" i="457" s="1"/>
  <c r="E255" i="457"/>
  <c r="E254" i="457"/>
  <c r="AA253" i="457"/>
  <c r="R253" i="457"/>
  <c r="K253" i="457"/>
  <c r="E253" i="457"/>
  <c r="Z252" i="457"/>
  <c r="Z251" i="457" s="1"/>
  <c r="Y252" i="457"/>
  <c r="Y251" i="457" s="1"/>
  <c r="X252" i="457"/>
  <c r="X251" i="457" s="1"/>
  <c r="W252" i="457"/>
  <c r="W251" i="457" s="1"/>
  <c r="V252" i="457"/>
  <c r="V251" i="457" s="1"/>
  <c r="U252" i="457"/>
  <c r="U251" i="457" s="1"/>
  <c r="T252" i="457"/>
  <c r="T251" i="457" s="1"/>
  <c r="S252" i="457"/>
  <c r="S251" i="457" s="1"/>
  <c r="Q252" i="457"/>
  <c r="Q251" i="457" s="1"/>
  <c r="P252" i="457"/>
  <c r="O252" i="457"/>
  <c r="O251" i="457" s="1"/>
  <c r="N252" i="457"/>
  <c r="N251" i="457" s="1"/>
  <c r="M252" i="457"/>
  <c r="L252" i="457"/>
  <c r="L251" i="457" s="1"/>
  <c r="J252" i="457"/>
  <c r="J251" i="457" s="1"/>
  <c r="I252" i="457"/>
  <c r="I251" i="457" s="1"/>
  <c r="H252" i="457"/>
  <c r="H251" i="457" s="1"/>
  <c r="G252" i="457"/>
  <c r="G251" i="457" s="1"/>
  <c r="F252" i="457"/>
  <c r="F251" i="457" s="1"/>
  <c r="E252" i="457"/>
  <c r="D252" i="457"/>
  <c r="D251" i="457" s="1"/>
  <c r="P251" i="457"/>
  <c r="E251" i="457"/>
  <c r="AA250" i="457"/>
  <c r="R250" i="457"/>
  <c r="K250" i="457"/>
  <c r="E250" i="457"/>
  <c r="Z249" i="457"/>
  <c r="Z248" i="457" s="1"/>
  <c r="Y249" i="457"/>
  <c r="X249" i="457"/>
  <c r="X248" i="457" s="1"/>
  <c r="W249" i="457"/>
  <c r="W248" i="457" s="1"/>
  <c r="V249" i="457"/>
  <c r="V248" i="457" s="1"/>
  <c r="U249" i="457"/>
  <c r="U248" i="457" s="1"/>
  <c r="T249" i="457"/>
  <c r="T248" i="457" s="1"/>
  <c r="S249" i="457"/>
  <c r="S248" i="457" s="1"/>
  <c r="Q249" i="457"/>
  <c r="Q248" i="457" s="1"/>
  <c r="P249" i="457"/>
  <c r="P248" i="457" s="1"/>
  <c r="O249" i="457"/>
  <c r="O248" i="457" s="1"/>
  <c r="N249" i="457"/>
  <c r="N248" i="457" s="1"/>
  <c r="M249" i="457"/>
  <c r="M248" i="457" s="1"/>
  <c r="L249" i="457"/>
  <c r="J249" i="457"/>
  <c r="J248" i="457" s="1"/>
  <c r="I249" i="457"/>
  <c r="I248" i="457" s="1"/>
  <c r="H249" i="457"/>
  <c r="H248" i="457" s="1"/>
  <c r="G249" i="457"/>
  <c r="G248" i="457" s="1"/>
  <c r="F249" i="457"/>
  <c r="F248" i="457" s="1"/>
  <c r="E249" i="457"/>
  <c r="D249" i="457"/>
  <c r="D248" i="457" s="1"/>
  <c r="Y248" i="457"/>
  <c r="E248" i="457"/>
  <c r="E247" i="457"/>
  <c r="Z246" i="457"/>
  <c r="Y246" i="457"/>
  <c r="X246" i="457"/>
  <c r="W246" i="457"/>
  <c r="V246" i="457"/>
  <c r="U246" i="457"/>
  <c r="T246" i="457"/>
  <c r="S246" i="457"/>
  <c r="Q246" i="457"/>
  <c r="P246" i="457"/>
  <c r="O246" i="457"/>
  <c r="N246" i="457"/>
  <c r="M246" i="457"/>
  <c r="L246" i="457"/>
  <c r="J246" i="457"/>
  <c r="I246" i="457"/>
  <c r="H246" i="457"/>
  <c r="G246" i="457"/>
  <c r="F246" i="457"/>
  <c r="E246" i="457"/>
  <c r="Z245" i="457"/>
  <c r="Y245" i="457"/>
  <c r="X245" i="457"/>
  <c r="W245" i="457"/>
  <c r="V245" i="457"/>
  <c r="U245" i="457"/>
  <c r="T245" i="457"/>
  <c r="S245" i="457"/>
  <c r="Q245" i="457"/>
  <c r="P245" i="457"/>
  <c r="O245" i="457"/>
  <c r="N245" i="457"/>
  <c r="M245" i="457"/>
  <c r="L245" i="457"/>
  <c r="J245" i="457"/>
  <c r="I245" i="457"/>
  <c r="H245" i="457"/>
  <c r="G245" i="457"/>
  <c r="F245" i="457"/>
  <c r="E245" i="457"/>
  <c r="Z244" i="457"/>
  <c r="Y244" i="457"/>
  <c r="X244" i="457"/>
  <c r="W244" i="457"/>
  <c r="V244" i="457"/>
  <c r="U244" i="457"/>
  <c r="T244" i="457"/>
  <c r="S244" i="457"/>
  <c r="Q244" i="457"/>
  <c r="P244" i="457"/>
  <c r="O244" i="457"/>
  <c r="N244" i="457"/>
  <c r="M244" i="457"/>
  <c r="L244" i="457"/>
  <c r="J244" i="457"/>
  <c r="I244" i="457"/>
  <c r="H244" i="457"/>
  <c r="G244" i="457"/>
  <c r="F244" i="457"/>
  <c r="E244" i="457"/>
  <c r="Z243" i="457"/>
  <c r="Y243" i="457"/>
  <c r="X243" i="457"/>
  <c r="W243" i="457"/>
  <c r="V243" i="457"/>
  <c r="U243" i="457"/>
  <c r="T243" i="457"/>
  <c r="S243" i="457"/>
  <c r="Q243" i="457"/>
  <c r="P243" i="457"/>
  <c r="O243" i="457"/>
  <c r="N243" i="457"/>
  <c r="M243" i="457"/>
  <c r="L243" i="457"/>
  <c r="J243" i="457"/>
  <c r="I243" i="457"/>
  <c r="H243" i="457"/>
  <c r="G243" i="457"/>
  <c r="F243" i="457"/>
  <c r="E243" i="457"/>
  <c r="Z242" i="457"/>
  <c r="Y242" i="457"/>
  <c r="X242" i="457"/>
  <c r="W242" i="457"/>
  <c r="V242" i="457"/>
  <c r="U242" i="457"/>
  <c r="T242" i="457"/>
  <c r="S242" i="457"/>
  <c r="Q242" i="457"/>
  <c r="P242" i="457"/>
  <c r="O242" i="457"/>
  <c r="N242" i="457"/>
  <c r="M242" i="457"/>
  <c r="L242" i="457"/>
  <c r="J242" i="457"/>
  <c r="I242" i="457"/>
  <c r="H242" i="457"/>
  <c r="G242" i="457"/>
  <c r="F242" i="457"/>
  <c r="E242" i="457"/>
  <c r="Z241" i="457"/>
  <c r="Y241" i="457"/>
  <c r="X241" i="457"/>
  <c r="W241" i="457"/>
  <c r="V241" i="457"/>
  <c r="U241" i="457"/>
  <c r="T241" i="457"/>
  <c r="S241" i="457"/>
  <c r="Q241" i="457"/>
  <c r="P241" i="457"/>
  <c r="O241" i="457"/>
  <c r="N241" i="457"/>
  <c r="M241" i="457"/>
  <c r="L241" i="457"/>
  <c r="J241" i="457"/>
  <c r="I241" i="457"/>
  <c r="H241" i="457"/>
  <c r="G241" i="457"/>
  <c r="F241" i="457"/>
  <c r="E241" i="457"/>
  <c r="Z240" i="457"/>
  <c r="Y240" i="457"/>
  <c r="X240" i="457"/>
  <c r="W240" i="457"/>
  <c r="V240" i="457"/>
  <c r="U240" i="457"/>
  <c r="T240" i="457"/>
  <c r="S240" i="457"/>
  <c r="Q240" i="457"/>
  <c r="P240" i="457"/>
  <c r="O240" i="457"/>
  <c r="N240" i="457"/>
  <c r="M240" i="457"/>
  <c r="L240" i="457"/>
  <c r="J240" i="457"/>
  <c r="I240" i="457"/>
  <c r="H240" i="457"/>
  <c r="G240" i="457"/>
  <c r="F240" i="457"/>
  <c r="E240" i="457"/>
  <c r="Z239" i="457"/>
  <c r="Y239" i="457"/>
  <c r="X239" i="457"/>
  <c r="W239" i="457"/>
  <c r="V239" i="457"/>
  <c r="U239" i="457"/>
  <c r="T239" i="457"/>
  <c r="S239" i="457"/>
  <c r="Q239" i="457"/>
  <c r="P239" i="457"/>
  <c r="O239" i="457"/>
  <c r="N239" i="457"/>
  <c r="M239" i="457"/>
  <c r="L239" i="457"/>
  <c r="J239" i="457"/>
  <c r="I239" i="457"/>
  <c r="H239" i="457"/>
  <c r="G239" i="457"/>
  <c r="F239" i="457"/>
  <c r="E239" i="457"/>
  <c r="Z238" i="457"/>
  <c r="Y238" i="457"/>
  <c r="X238" i="457"/>
  <c r="W238" i="457"/>
  <c r="V238" i="457"/>
  <c r="U238" i="457"/>
  <c r="T238" i="457"/>
  <c r="S238" i="457"/>
  <c r="Q238" i="457"/>
  <c r="P238" i="457"/>
  <c r="O238" i="457"/>
  <c r="N238" i="457"/>
  <c r="M238" i="457"/>
  <c r="L238" i="457"/>
  <c r="J238" i="457"/>
  <c r="I238" i="457"/>
  <c r="H238" i="457"/>
  <c r="G238" i="457"/>
  <c r="F238" i="457"/>
  <c r="E238" i="457"/>
  <c r="Z237" i="457"/>
  <c r="Y237" i="457"/>
  <c r="X237" i="457"/>
  <c r="W237" i="457"/>
  <c r="V237" i="457"/>
  <c r="U237" i="457"/>
  <c r="T237" i="457"/>
  <c r="S237" i="457"/>
  <c r="Q237" i="457"/>
  <c r="P237" i="457"/>
  <c r="O237" i="457"/>
  <c r="N237" i="457"/>
  <c r="M237" i="457"/>
  <c r="L237" i="457"/>
  <c r="J237" i="457"/>
  <c r="I237" i="457"/>
  <c r="H237" i="457"/>
  <c r="G237" i="457"/>
  <c r="F237" i="457"/>
  <c r="E237" i="457"/>
  <c r="AA236" i="457"/>
  <c r="R236" i="457"/>
  <c r="E236" i="457"/>
  <c r="D236" i="457"/>
  <c r="Z235" i="457"/>
  <c r="X235" i="457"/>
  <c r="W235" i="457"/>
  <c r="V235" i="457"/>
  <c r="U235" i="457"/>
  <c r="T235" i="457"/>
  <c r="S235" i="457"/>
  <c r="Q235" i="457"/>
  <c r="P235" i="457"/>
  <c r="O235" i="457"/>
  <c r="N235" i="457"/>
  <c r="M235" i="457"/>
  <c r="R235" i="457" s="1"/>
  <c r="L235" i="457"/>
  <c r="J235" i="457"/>
  <c r="I235" i="457"/>
  <c r="H235" i="457"/>
  <c r="G235" i="457"/>
  <c r="F235" i="457"/>
  <c r="E235" i="457"/>
  <c r="Z234" i="457"/>
  <c r="X234" i="457"/>
  <c r="W234" i="457"/>
  <c r="V234" i="457"/>
  <c r="U234" i="457"/>
  <c r="T234" i="457"/>
  <c r="S234" i="457"/>
  <c r="Q234" i="457"/>
  <c r="P234" i="457"/>
  <c r="O234" i="457"/>
  <c r="N234" i="457"/>
  <c r="M234" i="457"/>
  <c r="R234" i="457" s="1"/>
  <c r="L234" i="457"/>
  <c r="J234" i="457"/>
  <c r="I234" i="457"/>
  <c r="H234" i="457"/>
  <c r="G234" i="457"/>
  <c r="F234" i="457"/>
  <c r="E234" i="457"/>
  <c r="Z233" i="457"/>
  <c r="X233" i="457"/>
  <c r="W233" i="457"/>
  <c r="V233" i="457"/>
  <c r="U233" i="457"/>
  <c r="T233" i="457"/>
  <c r="S233" i="457"/>
  <c r="Q233" i="457"/>
  <c r="P233" i="457"/>
  <c r="O233" i="457"/>
  <c r="N233" i="457"/>
  <c r="M233" i="457"/>
  <c r="R233" i="457" s="1"/>
  <c r="L233" i="457"/>
  <c r="J233" i="457"/>
  <c r="I233" i="457"/>
  <c r="H233" i="457"/>
  <c r="G233" i="457"/>
  <c r="F233" i="457"/>
  <c r="E233" i="457"/>
  <c r="Z232" i="457"/>
  <c r="X232" i="457"/>
  <c r="W232" i="457"/>
  <c r="V232" i="457"/>
  <c r="U232" i="457"/>
  <c r="T232" i="457"/>
  <c r="S232" i="457"/>
  <c r="Q232" i="457"/>
  <c r="P232" i="457"/>
  <c r="O232" i="457"/>
  <c r="N232" i="457"/>
  <c r="M232" i="457"/>
  <c r="R232" i="457" s="1"/>
  <c r="L232" i="457"/>
  <c r="J232" i="457"/>
  <c r="I232" i="457"/>
  <c r="H232" i="457"/>
  <c r="G232" i="457"/>
  <c r="F232" i="457"/>
  <c r="E232" i="457"/>
  <c r="Z231" i="457"/>
  <c r="X231" i="457"/>
  <c r="W231" i="457"/>
  <c r="W225" i="457" s="1"/>
  <c r="W224" i="457" s="1"/>
  <c r="W223" i="457" s="1"/>
  <c r="W222" i="457" s="1"/>
  <c r="W221" i="457" s="1"/>
  <c r="V231" i="457"/>
  <c r="U231" i="457"/>
  <c r="T231" i="457"/>
  <c r="S231" i="457"/>
  <c r="Q231" i="457"/>
  <c r="P231" i="457"/>
  <c r="O231" i="457"/>
  <c r="O225" i="457" s="1"/>
  <c r="O224" i="457" s="1"/>
  <c r="O223" i="457" s="1"/>
  <c r="O222" i="457" s="1"/>
  <c r="O221" i="457" s="1"/>
  <c r="N231" i="457"/>
  <c r="M231" i="457"/>
  <c r="R231" i="457" s="1"/>
  <c r="L231" i="457"/>
  <c r="J231" i="457"/>
  <c r="I231" i="457"/>
  <c r="H231" i="457"/>
  <c r="G231" i="457"/>
  <c r="F231" i="457"/>
  <c r="E231" i="457"/>
  <c r="Z230" i="457"/>
  <c r="X230" i="457"/>
  <c r="X225" i="457" s="1"/>
  <c r="X224" i="457" s="1"/>
  <c r="X223" i="457" s="1"/>
  <c r="X222" i="457" s="1"/>
  <c r="X221" i="457" s="1"/>
  <c r="W230" i="457"/>
  <c r="V230" i="457"/>
  <c r="U230" i="457"/>
  <c r="T230" i="457"/>
  <c r="S230" i="457"/>
  <c r="Q230" i="457"/>
  <c r="P230" i="457"/>
  <c r="P225" i="457" s="1"/>
  <c r="P224" i="457" s="1"/>
  <c r="P223" i="457" s="1"/>
  <c r="P222" i="457" s="1"/>
  <c r="P221" i="457" s="1"/>
  <c r="O230" i="457"/>
  <c r="N230" i="457"/>
  <c r="M230" i="457"/>
  <c r="L230" i="457"/>
  <c r="J230" i="457"/>
  <c r="I230" i="457"/>
  <c r="H230" i="457"/>
  <c r="G230" i="457"/>
  <c r="F230" i="457"/>
  <c r="E230" i="457"/>
  <c r="AA229" i="457"/>
  <c r="R229" i="457"/>
  <c r="J229" i="457"/>
  <c r="I229" i="457"/>
  <c r="H229" i="457"/>
  <c r="G229" i="457"/>
  <c r="F229" i="457"/>
  <c r="E229" i="457"/>
  <c r="Z228" i="457"/>
  <c r="X228" i="457"/>
  <c r="W228" i="457"/>
  <c r="V228" i="457"/>
  <c r="U228" i="457"/>
  <c r="T228" i="457"/>
  <c r="S228" i="457"/>
  <c r="Q228" i="457"/>
  <c r="P228" i="457"/>
  <c r="O228" i="457"/>
  <c r="N228" i="457"/>
  <c r="R228" i="457" s="1"/>
  <c r="M228" i="457"/>
  <c r="L228" i="457"/>
  <c r="J228" i="457"/>
  <c r="I228" i="457"/>
  <c r="H228" i="457"/>
  <c r="G228" i="457"/>
  <c r="F228" i="457"/>
  <c r="E228" i="457"/>
  <c r="Z227" i="457"/>
  <c r="X227" i="457"/>
  <c r="W227" i="457"/>
  <c r="V227" i="457"/>
  <c r="U227" i="457"/>
  <c r="T227" i="457"/>
  <c r="S227" i="457"/>
  <c r="Q227" i="457"/>
  <c r="P227" i="457"/>
  <c r="O227" i="457"/>
  <c r="N227" i="457"/>
  <c r="N225" i="457" s="1"/>
  <c r="N224" i="457" s="1"/>
  <c r="N223" i="457" s="1"/>
  <c r="N222" i="457" s="1"/>
  <c r="N221" i="457" s="1"/>
  <c r="M227" i="457"/>
  <c r="L227" i="457"/>
  <c r="J227" i="457"/>
  <c r="I227" i="457"/>
  <c r="H227" i="457"/>
  <c r="G227" i="457"/>
  <c r="F227" i="457"/>
  <c r="E227" i="457"/>
  <c r="Z226" i="457"/>
  <c r="X226" i="457"/>
  <c r="W226" i="457"/>
  <c r="V226" i="457"/>
  <c r="U226" i="457"/>
  <c r="T226" i="457"/>
  <c r="S226" i="457"/>
  <c r="Q226" i="457"/>
  <c r="P226" i="457"/>
  <c r="O226" i="457"/>
  <c r="N226" i="457"/>
  <c r="R226" i="457" s="1"/>
  <c r="M226" i="457"/>
  <c r="L226" i="457"/>
  <c r="J226" i="457"/>
  <c r="I226" i="457"/>
  <c r="H226" i="457"/>
  <c r="G226" i="457"/>
  <c r="F226" i="457"/>
  <c r="E226" i="457"/>
  <c r="Y225" i="457"/>
  <c r="Y224" i="457" s="1"/>
  <c r="Y223" i="457" s="1"/>
  <c r="Y222" i="457" s="1"/>
  <c r="Y221" i="457" s="1"/>
  <c r="V225" i="457"/>
  <c r="V224" i="457" s="1"/>
  <c r="V223" i="457" s="1"/>
  <c r="V222" i="457" s="1"/>
  <c r="V221" i="457" s="1"/>
  <c r="E225" i="457"/>
  <c r="D225" i="457"/>
  <c r="Z224" i="457"/>
  <c r="Z223" i="457" s="1"/>
  <c r="Z222" i="457" s="1"/>
  <c r="Z221" i="457" s="1"/>
  <c r="J224" i="457"/>
  <c r="J223" i="457" s="1"/>
  <c r="J222" i="457" s="1"/>
  <c r="J221" i="457" s="1"/>
  <c r="I224" i="457"/>
  <c r="I223" i="457" s="1"/>
  <c r="I222" i="457" s="1"/>
  <c r="I221" i="457" s="1"/>
  <c r="H224" i="457"/>
  <c r="H223" i="457" s="1"/>
  <c r="H222" i="457" s="1"/>
  <c r="H221" i="457" s="1"/>
  <c r="G224" i="457"/>
  <c r="G223" i="457" s="1"/>
  <c r="G222" i="457" s="1"/>
  <c r="G221" i="457" s="1"/>
  <c r="F224" i="457"/>
  <c r="F223" i="457" s="1"/>
  <c r="F222" i="457" s="1"/>
  <c r="F221" i="457" s="1"/>
  <c r="E224" i="457"/>
  <c r="E223" i="457"/>
  <c r="E222" i="457"/>
  <c r="E221" i="457"/>
  <c r="AA220" i="457"/>
  <c r="R220" i="457"/>
  <c r="K220" i="457"/>
  <c r="E220" i="457"/>
  <c r="AA219" i="457"/>
  <c r="R219" i="457"/>
  <c r="E219" i="457"/>
  <c r="K219" i="457" s="1"/>
  <c r="AA218" i="457"/>
  <c r="R218" i="457"/>
  <c r="K218" i="457"/>
  <c r="E218" i="457"/>
  <c r="Z217" i="457"/>
  <c r="Z216" i="457" s="1"/>
  <c r="Y217" i="457"/>
  <c r="Y216" i="457" s="1"/>
  <c r="X217" i="457"/>
  <c r="X216" i="457" s="1"/>
  <c r="W217" i="457"/>
  <c r="W216" i="457" s="1"/>
  <c r="V217" i="457"/>
  <c r="V216" i="457" s="1"/>
  <c r="U217" i="457"/>
  <c r="U216" i="457" s="1"/>
  <c r="T217" i="457"/>
  <c r="T216" i="457" s="1"/>
  <c r="S217" i="457"/>
  <c r="S216" i="457" s="1"/>
  <c r="Q217" i="457"/>
  <c r="Q216" i="457" s="1"/>
  <c r="P217" i="457"/>
  <c r="P216" i="457" s="1"/>
  <c r="O217" i="457"/>
  <c r="O216" i="457" s="1"/>
  <c r="N217" i="457"/>
  <c r="N216" i="457" s="1"/>
  <c r="M217" i="457"/>
  <c r="M216" i="457" s="1"/>
  <c r="L217" i="457"/>
  <c r="J217" i="457"/>
  <c r="J216" i="457" s="1"/>
  <c r="I217" i="457"/>
  <c r="I216" i="457" s="1"/>
  <c r="H217" i="457"/>
  <c r="H216" i="457" s="1"/>
  <c r="G217" i="457"/>
  <c r="G216" i="457" s="1"/>
  <c r="F217" i="457"/>
  <c r="F216" i="457" s="1"/>
  <c r="E217" i="457"/>
  <c r="D217" i="457"/>
  <c r="D216" i="457" s="1"/>
  <c r="E216" i="457"/>
  <c r="AA215" i="457"/>
  <c r="R215" i="457"/>
  <c r="K215" i="457"/>
  <c r="E215" i="457"/>
  <c r="AA214" i="457"/>
  <c r="R214" i="457"/>
  <c r="K214" i="457"/>
  <c r="E214" i="457"/>
  <c r="AA213" i="457"/>
  <c r="R213" i="457"/>
  <c r="K213" i="457"/>
  <c r="E213" i="457"/>
  <c r="Z212" i="457"/>
  <c r="Z208" i="457" s="1"/>
  <c r="Z206" i="457" s="1"/>
  <c r="Y212" i="457"/>
  <c r="Y208" i="457" s="1"/>
  <c r="Y206" i="457" s="1"/>
  <c r="X212" i="457"/>
  <c r="X208" i="457" s="1"/>
  <c r="X206" i="457" s="1"/>
  <c r="W212" i="457"/>
  <c r="W208" i="457" s="1"/>
  <c r="W206" i="457" s="1"/>
  <c r="V212" i="457"/>
  <c r="V208" i="457" s="1"/>
  <c r="V206" i="457" s="1"/>
  <c r="U212" i="457"/>
  <c r="U208" i="457" s="1"/>
  <c r="U206" i="457" s="1"/>
  <c r="T212" i="457"/>
  <c r="T208" i="457" s="1"/>
  <c r="T206" i="457" s="1"/>
  <c r="S212" i="457"/>
  <c r="S208" i="457" s="1"/>
  <c r="S206" i="457" s="1"/>
  <c r="Q212" i="457"/>
  <c r="Q208" i="457" s="1"/>
  <c r="Q206" i="457" s="1"/>
  <c r="P212" i="457"/>
  <c r="P208" i="457" s="1"/>
  <c r="P206" i="457" s="1"/>
  <c r="O212" i="457"/>
  <c r="O208" i="457" s="1"/>
  <c r="O206" i="457" s="1"/>
  <c r="N212" i="457"/>
  <c r="N208" i="457" s="1"/>
  <c r="N206" i="457" s="1"/>
  <c r="M212" i="457"/>
  <c r="L212" i="457"/>
  <c r="L208" i="457" s="1"/>
  <c r="L206" i="457" s="1"/>
  <c r="J212" i="457"/>
  <c r="J208" i="457" s="1"/>
  <c r="J206" i="457" s="1"/>
  <c r="I212" i="457"/>
  <c r="I208" i="457" s="1"/>
  <c r="I206" i="457" s="1"/>
  <c r="H212" i="457"/>
  <c r="H208" i="457" s="1"/>
  <c r="H206" i="457" s="1"/>
  <c r="G212" i="457"/>
  <c r="G208" i="457" s="1"/>
  <c r="G206" i="457" s="1"/>
  <c r="F212" i="457"/>
  <c r="F208" i="457" s="1"/>
  <c r="F206" i="457" s="1"/>
  <c r="E212" i="457"/>
  <c r="D212" i="457"/>
  <c r="D208" i="457" s="1"/>
  <c r="D206" i="457" s="1"/>
  <c r="AA211" i="457"/>
  <c r="R211" i="457"/>
  <c r="K211" i="457"/>
  <c r="E211" i="457"/>
  <c r="AA210" i="457"/>
  <c r="R210" i="457"/>
  <c r="K210" i="457"/>
  <c r="E210" i="457"/>
  <c r="AA209" i="457"/>
  <c r="AB209" i="457" s="1"/>
  <c r="R209" i="457"/>
  <c r="K209" i="457"/>
  <c r="E209" i="457"/>
  <c r="E208" i="457"/>
  <c r="AA207" i="457"/>
  <c r="R207" i="457"/>
  <c r="K207" i="457"/>
  <c r="E207" i="457"/>
  <c r="E206" i="457"/>
  <c r="AA205" i="457"/>
  <c r="R205" i="457"/>
  <c r="K205" i="457"/>
  <c r="E205" i="457"/>
  <c r="AA204" i="457"/>
  <c r="R204" i="457"/>
  <c r="E204" i="457"/>
  <c r="K204" i="457" s="1"/>
  <c r="AA203" i="457"/>
  <c r="R203" i="457"/>
  <c r="K203" i="457"/>
  <c r="E203" i="457"/>
  <c r="Z202" i="457"/>
  <c r="Z201" i="457" s="1"/>
  <c r="Z200" i="457" s="1"/>
  <c r="Y202" i="457"/>
  <c r="X202" i="457"/>
  <c r="X201" i="457" s="1"/>
  <c r="X200" i="457" s="1"/>
  <c r="W202" i="457"/>
  <c r="W201" i="457" s="1"/>
  <c r="W200" i="457" s="1"/>
  <c r="V202" i="457"/>
  <c r="V201" i="457" s="1"/>
  <c r="V200" i="457" s="1"/>
  <c r="U202" i="457"/>
  <c r="U201" i="457" s="1"/>
  <c r="U200" i="457" s="1"/>
  <c r="T202" i="457"/>
  <c r="T201" i="457" s="1"/>
  <c r="T200" i="457" s="1"/>
  <c r="S202" i="457"/>
  <c r="Q202" i="457"/>
  <c r="Q201" i="457" s="1"/>
  <c r="Q200" i="457" s="1"/>
  <c r="P202" i="457"/>
  <c r="P201" i="457" s="1"/>
  <c r="P200" i="457" s="1"/>
  <c r="O202" i="457"/>
  <c r="O201" i="457" s="1"/>
  <c r="O200" i="457" s="1"/>
  <c r="N202" i="457"/>
  <c r="N201" i="457" s="1"/>
  <c r="N200" i="457" s="1"/>
  <c r="M202" i="457"/>
  <c r="M201" i="457" s="1"/>
  <c r="M200" i="457" s="1"/>
  <c r="L202" i="457"/>
  <c r="J202" i="457"/>
  <c r="J201" i="457" s="1"/>
  <c r="J200" i="457" s="1"/>
  <c r="I202" i="457"/>
  <c r="H202" i="457"/>
  <c r="H201" i="457" s="1"/>
  <c r="H200" i="457" s="1"/>
  <c r="G202" i="457"/>
  <c r="F202" i="457"/>
  <c r="F201" i="457" s="1"/>
  <c r="F200" i="457" s="1"/>
  <c r="E202" i="457"/>
  <c r="D202" i="457"/>
  <c r="D201" i="457" s="1"/>
  <c r="D200" i="457" s="1"/>
  <c r="Y201" i="457"/>
  <c r="Y200" i="457" s="1"/>
  <c r="I201" i="457"/>
  <c r="I200" i="457" s="1"/>
  <c r="E201" i="457"/>
  <c r="E200" i="457"/>
  <c r="AA199" i="457"/>
  <c r="R199" i="457"/>
  <c r="K199" i="457"/>
  <c r="E199" i="457"/>
  <c r="AA198" i="457"/>
  <c r="R198" i="457"/>
  <c r="K198" i="457"/>
  <c r="E198" i="457"/>
  <c r="AA197" i="457"/>
  <c r="R197" i="457"/>
  <c r="K197" i="457"/>
  <c r="E197" i="457"/>
  <c r="AA196" i="457"/>
  <c r="R196" i="457"/>
  <c r="K196" i="457"/>
  <c r="E196" i="457"/>
  <c r="AA195" i="457"/>
  <c r="R195" i="457"/>
  <c r="K195" i="457"/>
  <c r="E195" i="457"/>
  <c r="AA194" i="457"/>
  <c r="R194" i="457"/>
  <c r="K194" i="457"/>
  <c r="E194" i="457"/>
  <c r="Z193" i="457"/>
  <c r="Z192" i="457" s="1"/>
  <c r="Y193" i="457"/>
  <c r="Y192" i="457" s="1"/>
  <c r="X193" i="457"/>
  <c r="X192" i="457" s="1"/>
  <c r="W193" i="457"/>
  <c r="W192" i="457" s="1"/>
  <c r="V193" i="457"/>
  <c r="V192" i="457" s="1"/>
  <c r="U193" i="457"/>
  <c r="U192" i="457" s="1"/>
  <c r="T193" i="457"/>
  <c r="T192" i="457" s="1"/>
  <c r="S193" i="457"/>
  <c r="S192" i="457" s="1"/>
  <c r="Q193" i="457"/>
  <c r="Q192" i="457" s="1"/>
  <c r="P193" i="457"/>
  <c r="P192" i="457" s="1"/>
  <c r="O193" i="457"/>
  <c r="O192" i="457" s="1"/>
  <c r="N193" i="457"/>
  <c r="N192" i="457" s="1"/>
  <c r="M193" i="457"/>
  <c r="M192" i="457" s="1"/>
  <c r="L193" i="457"/>
  <c r="L192" i="457" s="1"/>
  <c r="J193" i="457"/>
  <c r="J192" i="457" s="1"/>
  <c r="I193" i="457"/>
  <c r="I192" i="457" s="1"/>
  <c r="H193" i="457"/>
  <c r="H192" i="457" s="1"/>
  <c r="G193" i="457"/>
  <c r="G192" i="457" s="1"/>
  <c r="F193" i="457"/>
  <c r="F192" i="457" s="1"/>
  <c r="E193" i="457"/>
  <c r="D193" i="457"/>
  <c r="D192" i="457" s="1"/>
  <c r="E192" i="457"/>
  <c r="E191" i="457"/>
  <c r="Z190" i="457"/>
  <c r="Y190" i="457"/>
  <c r="X190" i="457"/>
  <c r="W190" i="457"/>
  <c r="V190" i="457"/>
  <c r="U190" i="457"/>
  <c r="T190" i="457"/>
  <c r="S190" i="457"/>
  <c r="Q190" i="457"/>
  <c r="P190" i="457"/>
  <c r="O190" i="457"/>
  <c r="N190" i="457"/>
  <c r="M190" i="457"/>
  <c r="L190" i="457"/>
  <c r="J190" i="457"/>
  <c r="I190" i="457"/>
  <c r="H190" i="457"/>
  <c r="G190" i="457"/>
  <c r="F190" i="457"/>
  <c r="E190" i="457"/>
  <c r="D190" i="457"/>
  <c r="Z189" i="457"/>
  <c r="Y189" i="457"/>
  <c r="X189" i="457"/>
  <c r="W189" i="457"/>
  <c r="V189" i="457"/>
  <c r="U189" i="457"/>
  <c r="T189" i="457"/>
  <c r="S189" i="457"/>
  <c r="Q189" i="457"/>
  <c r="P189" i="457"/>
  <c r="O189" i="457"/>
  <c r="N189" i="457"/>
  <c r="M189" i="457"/>
  <c r="L189" i="457"/>
  <c r="J189" i="457"/>
  <c r="I189" i="457"/>
  <c r="H189" i="457"/>
  <c r="G189" i="457"/>
  <c r="F189" i="457"/>
  <c r="E189" i="457"/>
  <c r="D189" i="457"/>
  <c r="Z188" i="457"/>
  <c r="Y188" i="457"/>
  <c r="X188" i="457"/>
  <c r="W188" i="457"/>
  <c r="V188" i="457"/>
  <c r="U188" i="457"/>
  <c r="T188" i="457"/>
  <c r="S188" i="457"/>
  <c r="Q188" i="457"/>
  <c r="P188" i="457"/>
  <c r="O188" i="457"/>
  <c r="N188" i="457"/>
  <c r="M188" i="457"/>
  <c r="L188" i="457"/>
  <c r="J188" i="457"/>
  <c r="I188" i="457"/>
  <c r="H188" i="457"/>
  <c r="G188" i="457"/>
  <c r="F188" i="457"/>
  <c r="E188" i="457"/>
  <c r="D188" i="457"/>
  <c r="Z187" i="457"/>
  <c r="Y187" i="457"/>
  <c r="X187" i="457"/>
  <c r="W187" i="457"/>
  <c r="V187" i="457"/>
  <c r="U187" i="457"/>
  <c r="T187" i="457"/>
  <c r="S187" i="457"/>
  <c r="Q187" i="457"/>
  <c r="P187" i="457"/>
  <c r="O187" i="457"/>
  <c r="N187" i="457"/>
  <c r="M187" i="457"/>
  <c r="L187" i="457"/>
  <c r="J187" i="457"/>
  <c r="I187" i="457"/>
  <c r="H187" i="457"/>
  <c r="G187" i="457"/>
  <c r="F187" i="457"/>
  <c r="E187" i="457"/>
  <c r="D187" i="457"/>
  <c r="Z186" i="457"/>
  <c r="Y186" i="457"/>
  <c r="X186" i="457"/>
  <c r="W186" i="457"/>
  <c r="V186" i="457"/>
  <c r="U186" i="457"/>
  <c r="T186" i="457"/>
  <c r="S186" i="457"/>
  <c r="Q186" i="457"/>
  <c r="P186" i="457"/>
  <c r="O186" i="457"/>
  <c r="N186" i="457"/>
  <c r="M186" i="457"/>
  <c r="L186" i="457"/>
  <c r="J186" i="457"/>
  <c r="I186" i="457"/>
  <c r="H186" i="457"/>
  <c r="G186" i="457"/>
  <c r="F186" i="457"/>
  <c r="E186" i="457"/>
  <c r="D186" i="457"/>
  <c r="AA185" i="457"/>
  <c r="R185" i="457"/>
  <c r="K185" i="457"/>
  <c r="E185" i="457"/>
  <c r="Z184" i="457"/>
  <c r="Z183" i="457" s="1"/>
  <c r="Z182" i="457" s="1"/>
  <c r="Z181" i="457" s="1"/>
  <c r="Y184" i="457"/>
  <c r="Y183" i="457" s="1"/>
  <c r="Y182" i="457" s="1"/>
  <c r="Y181" i="457" s="1"/>
  <c r="X184" i="457"/>
  <c r="X183" i="457" s="1"/>
  <c r="X182" i="457" s="1"/>
  <c r="X181" i="457" s="1"/>
  <c r="W184" i="457"/>
  <c r="W183" i="457" s="1"/>
  <c r="W182" i="457" s="1"/>
  <c r="W181" i="457" s="1"/>
  <c r="V184" i="457"/>
  <c r="V183" i="457" s="1"/>
  <c r="V182" i="457" s="1"/>
  <c r="V181" i="457" s="1"/>
  <c r="U184" i="457"/>
  <c r="U183" i="457" s="1"/>
  <c r="U182" i="457" s="1"/>
  <c r="U181" i="457" s="1"/>
  <c r="T184" i="457"/>
  <c r="T183" i="457" s="1"/>
  <c r="T182" i="457" s="1"/>
  <c r="T181" i="457" s="1"/>
  <c r="S184" i="457"/>
  <c r="S183" i="457" s="1"/>
  <c r="Q184" i="457"/>
  <c r="Q183" i="457" s="1"/>
  <c r="Q182" i="457" s="1"/>
  <c r="Q181" i="457" s="1"/>
  <c r="P184" i="457"/>
  <c r="P183" i="457" s="1"/>
  <c r="P182" i="457" s="1"/>
  <c r="P181" i="457" s="1"/>
  <c r="O184" i="457"/>
  <c r="O183" i="457" s="1"/>
  <c r="O182" i="457" s="1"/>
  <c r="O181" i="457" s="1"/>
  <c r="N184" i="457"/>
  <c r="N183" i="457" s="1"/>
  <c r="N182" i="457" s="1"/>
  <c r="N181" i="457" s="1"/>
  <c r="M184" i="457"/>
  <c r="M183" i="457" s="1"/>
  <c r="M182" i="457" s="1"/>
  <c r="M181" i="457" s="1"/>
  <c r="L184" i="457"/>
  <c r="J184" i="457"/>
  <c r="J183" i="457" s="1"/>
  <c r="J182" i="457" s="1"/>
  <c r="J181" i="457" s="1"/>
  <c r="I184" i="457"/>
  <c r="I183" i="457" s="1"/>
  <c r="I182" i="457" s="1"/>
  <c r="I181" i="457" s="1"/>
  <c r="H184" i="457"/>
  <c r="H183" i="457" s="1"/>
  <c r="H182" i="457" s="1"/>
  <c r="H181" i="457" s="1"/>
  <c r="G184" i="457"/>
  <c r="G183" i="457" s="1"/>
  <c r="G182" i="457" s="1"/>
  <c r="G181" i="457" s="1"/>
  <c r="F184" i="457"/>
  <c r="F183" i="457" s="1"/>
  <c r="F182" i="457" s="1"/>
  <c r="F181" i="457" s="1"/>
  <c r="E184" i="457"/>
  <c r="D184" i="457"/>
  <c r="D183" i="457" s="1"/>
  <c r="D182" i="457" s="1"/>
  <c r="D181" i="457" s="1"/>
  <c r="E183" i="457"/>
  <c r="E182" i="457"/>
  <c r="E181" i="457"/>
  <c r="Z180" i="457"/>
  <c r="Y180" i="457"/>
  <c r="X180" i="457"/>
  <c r="W180" i="457"/>
  <c r="V180" i="457"/>
  <c r="U180" i="457"/>
  <c r="T180" i="457"/>
  <c r="S180" i="457"/>
  <c r="Q180" i="457"/>
  <c r="P180" i="457"/>
  <c r="O180" i="457"/>
  <c r="N180" i="457"/>
  <c r="M180" i="457"/>
  <c r="L180" i="457"/>
  <c r="J180" i="457"/>
  <c r="I180" i="457"/>
  <c r="H180" i="457"/>
  <c r="G180" i="457"/>
  <c r="F180" i="457"/>
  <c r="E180" i="457"/>
  <c r="D180" i="457"/>
  <c r="Z179" i="457"/>
  <c r="Y179" i="457"/>
  <c r="X179" i="457"/>
  <c r="W179" i="457"/>
  <c r="V179" i="457"/>
  <c r="U179" i="457"/>
  <c r="T179" i="457"/>
  <c r="S179" i="457"/>
  <c r="Q179" i="457"/>
  <c r="P179" i="457"/>
  <c r="O179" i="457"/>
  <c r="N179" i="457"/>
  <c r="M179" i="457"/>
  <c r="L179" i="457"/>
  <c r="J179" i="457"/>
  <c r="I179" i="457"/>
  <c r="H179" i="457"/>
  <c r="G179" i="457"/>
  <c r="F179" i="457"/>
  <c r="E179" i="457"/>
  <c r="D179" i="457"/>
  <c r="Z178" i="457"/>
  <c r="Y178" i="457"/>
  <c r="X178" i="457"/>
  <c r="W178" i="457"/>
  <c r="V178" i="457"/>
  <c r="U178" i="457"/>
  <c r="T178" i="457"/>
  <c r="S178" i="457"/>
  <c r="Q178" i="457"/>
  <c r="P178" i="457"/>
  <c r="O178" i="457"/>
  <c r="N178" i="457"/>
  <c r="M178" i="457"/>
  <c r="L178" i="457"/>
  <c r="J178" i="457"/>
  <c r="I178" i="457"/>
  <c r="H178" i="457"/>
  <c r="G178" i="457"/>
  <c r="F178" i="457"/>
  <c r="E178" i="457"/>
  <c r="D178" i="457"/>
  <c r="Z177" i="457"/>
  <c r="Y177" i="457"/>
  <c r="X177" i="457"/>
  <c r="W177" i="457"/>
  <c r="V177" i="457"/>
  <c r="U177" i="457"/>
  <c r="T177" i="457"/>
  <c r="S177" i="457"/>
  <c r="Q177" i="457"/>
  <c r="P177" i="457"/>
  <c r="O177" i="457"/>
  <c r="N177" i="457"/>
  <c r="M177" i="457"/>
  <c r="L177" i="457"/>
  <c r="J177" i="457"/>
  <c r="I177" i="457"/>
  <c r="H177" i="457"/>
  <c r="G177" i="457"/>
  <c r="F177" i="457"/>
  <c r="E177" i="457"/>
  <c r="D177" i="457"/>
  <c r="Z176" i="457"/>
  <c r="Y176" i="457"/>
  <c r="X176" i="457"/>
  <c r="W176" i="457"/>
  <c r="V176" i="457"/>
  <c r="U176" i="457"/>
  <c r="T176" i="457"/>
  <c r="S176" i="457"/>
  <c r="Q176" i="457"/>
  <c r="P176" i="457"/>
  <c r="O176" i="457"/>
  <c r="N176" i="457"/>
  <c r="M176" i="457"/>
  <c r="L176" i="457"/>
  <c r="J176" i="457"/>
  <c r="I176" i="457"/>
  <c r="H176" i="457"/>
  <c r="G176" i="457"/>
  <c r="F176" i="457"/>
  <c r="E176" i="457"/>
  <c r="D176" i="457"/>
  <c r="AA175" i="457"/>
  <c r="R175" i="457"/>
  <c r="K175" i="457"/>
  <c r="E175" i="457"/>
  <c r="Z174" i="457"/>
  <c r="Y174" i="457"/>
  <c r="X174" i="457"/>
  <c r="W174" i="457"/>
  <c r="V174" i="457"/>
  <c r="U174" i="457"/>
  <c r="T174" i="457"/>
  <c r="S174" i="457"/>
  <c r="Q174" i="457"/>
  <c r="P174" i="457"/>
  <c r="O174" i="457"/>
  <c r="N174" i="457"/>
  <c r="M174" i="457"/>
  <c r="L174" i="457"/>
  <c r="J174" i="457"/>
  <c r="I174" i="457"/>
  <c r="H174" i="457"/>
  <c r="G174" i="457"/>
  <c r="F174" i="457"/>
  <c r="E174" i="457"/>
  <c r="D174" i="457"/>
  <c r="Z173" i="457"/>
  <c r="Y173" i="457"/>
  <c r="X173" i="457"/>
  <c r="W173" i="457"/>
  <c r="V173" i="457"/>
  <c r="U173" i="457"/>
  <c r="T173" i="457"/>
  <c r="S173" i="457"/>
  <c r="Q173" i="457"/>
  <c r="P173" i="457"/>
  <c r="O173" i="457"/>
  <c r="N173" i="457"/>
  <c r="M173" i="457"/>
  <c r="L173" i="457"/>
  <c r="J173" i="457"/>
  <c r="I173" i="457"/>
  <c r="H173" i="457"/>
  <c r="G173" i="457"/>
  <c r="F173" i="457"/>
  <c r="E173" i="457"/>
  <c r="D173" i="457"/>
  <c r="Z172" i="457"/>
  <c r="Y172" i="457"/>
  <c r="X172" i="457"/>
  <c r="W172" i="457"/>
  <c r="V172" i="457"/>
  <c r="U172" i="457"/>
  <c r="T172" i="457"/>
  <c r="S172" i="457"/>
  <c r="Q172" i="457"/>
  <c r="P172" i="457"/>
  <c r="O172" i="457"/>
  <c r="N172" i="457"/>
  <c r="M172" i="457"/>
  <c r="L172" i="457"/>
  <c r="J172" i="457"/>
  <c r="I172" i="457"/>
  <c r="H172" i="457"/>
  <c r="G172" i="457"/>
  <c r="F172" i="457"/>
  <c r="E172" i="457"/>
  <c r="D172" i="457"/>
  <c r="Z171" i="457"/>
  <c r="Y171" i="457"/>
  <c r="X171" i="457"/>
  <c r="W171" i="457"/>
  <c r="V171" i="457"/>
  <c r="U171" i="457"/>
  <c r="T171" i="457"/>
  <c r="S171" i="457"/>
  <c r="Q171" i="457"/>
  <c r="P171" i="457"/>
  <c r="O171" i="457"/>
  <c r="N171" i="457"/>
  <c r="M171" i="457"/>
  <c r="L171" i="457"/>
  <c r="J171" i="457"/>
  <c r="I171" i="457"/>
  <c r="H171" i="457"/>
  <c r="G171" i="457"/>
  <c r="F171" i="457"/>
  <c r="E171" i="457"/>
  <c r="D171" i="457"/>
  <c r="Z170" i="457"/>
  <c r="Y170" i="457"/>
  <c r="X170" i="457"/>
  <c r="W170" i="457"/>
  <c r="V170" i="457"/>
  <c r="U170" i="457"/>
  <c r="T170" i="457"/>
  <c r="S170" i="457"/>
  <c r="Q170" i="457"/>
  <c r="P170" i="457"/>
  <c r="O170" i="457"/>
  <c r="N170" i="457"/>
  <c r="M170" i="457"/>
  <c r="L170" i="457"/>
  <c r="J170" i="457"/>
  <c r="I170" i="457"/>
  <c r="H170" i="457"/>
  <c r="G170" i="457"/>
  <c r="F170" i="457"/>
  <c r="E170" i="457"/>
  <c r="D170" i="457"/>
  <c r="Z169" i="457"/>
  <c r="Y169" i="457"/>
  <c r="X169" i="457"/>
  <c r="W169" i="457"/>
  <c r="V169" i="457"/>
  <c r="U169" i="457"/>
  <c r="T169" i="457"/>
  <c r="S169" i="457"/>
  <c r="Q169" i="457"/>
  <c r="P169" i="457"/>
  <c r="O169" i="457"/>
  <c r="N169" i="457"/>
  <c r="M169" i="457"/>
  <c r="L169" i="457"/>
  <c r="J169" i="457"/>
  <c r="I169" i="457"/>
  <c r="H169" i="457"/>
  <c r="G169" i="457"/>
  <c r="F169" i="457"/>
  <c r="E169" i="457"/>
  <c r="D169" i="457"/>
  <c r="AA168" i="457"/>
  <c r="R168" i="457"/>
  <c r="K168" i="457"/>
  <c r="E168" i="457"/>
  <c r="Z167" i="457"/>
  <c r="Y167" i="457"/>
  <c r="X167" i="457"/>
  <c r="W167" i="457"/>
  <c r="V167" i="457"/>
  <c r="U167" i="457"/>
  <c r="T167" i="457"/>
  <c r="S167" i="457"/>
  <c r="Q167" i="457"/>
  <c r="P167" i="457"/>
  <c r="O167" i="457"/>
  <c r="N167" i="457"/>
  <c r="M167" i="457"/>
  <c r="L167" i="457"/>
  <c r="J167" i="457"/>
  <c r="I167" i="457"/>
  <c r="H167" i="457"/>
  <c r="G167" i="457"/>
  <c r="F167" i="457"/>
  <c r="E167" i="457"/>
  <c r="D167" i="457"/>
  <c r="Z166" i="457"/>
  <c r="Y166" i="457"/>
  <c r="X166" i="457"/>
  <c r="W166" i="457"/>
  <c r="V166" i="457"/>
  <c r="U166" i="457"/>
  <c r="T166" i="457"/>
  <c r="S166" i="457"/>
  <c r="Q166" i="457"/>
  <c r="P166" i="457"/>
  <c r="O166" i="457"/>
  <c r="N166" i="457"/>
  <c r="M166" i="457"/>
  <c r="L166" i="457"/>
  <c r="J166" i="457"/>
  <c r="I166" i="457"/>
  <c r="H166" i="457"/>
  <c r="G166" i="457"/>
  <c r="F166" i="457"/>
  <c r="E166" i="457"/>
  <c r="D166" i="457"/>
  <c r="Z165" i="457"/>
  <c r="Y165" i="457"/>
  <c r="X165" i="457"/>
  <c r="W165" i="457"/>
  <c r="V165" i="457"/>
  <c r="U165" i="457"/>
  <c r="T165" i="457"/>
  <c r="S165" i="457"/>
  <c r="Q165" i="457"/>
  <c r="P165" i="457"/>
  <c r="O165" i="457"/>
  <c r="N165" i="457"/>
  <c r="M165" i="457"/>
  <c r="L165" i="457"/>
  <c r="J165" i="457"/>
  <c r="I165" i="457"/>
  <c r="H165" i="457"/>
  <c r="G165" i="457"/>
  <c r="F165" i="457"/>
  <c r="E165" i="457"/>
  <c r="D165" i="457"/>
  <c r="Z164" i="457"/>
  <c r="Y164" i="457"/>
  <c r="X164" i="457"/>
  <c r="W164" i="457"/>
  <c r="V164" i="457"/>
  <c r="U164" i="457"/>
  <c r="T164" i="457"/>
  <c r="S164" i="457"/>
  <c r="Q164" i="457"/>
  <c r="P164" i="457"/>
  <c r="O164" i="457"/>
  <c r="N164" i="457"/>
  <c r="M164" i="457"/>
  <c r="L164" i="457"/>
  <c r="J164" i="457"/>
  <c r="I164" i="457"/>
  <c r="H164" i="457"/>
  <c r="G164" i="457"/>
  <c r="F164" i="457"/>
  <c r="E164" i="457"/>
  <c r="D164" i="457"/>
  <c r="Z163" i="457"/>
  <c r="Y163" i="457"/>
  <c r="X163" i="457"/>
  <c r="W163" i="457"/>
  <c r="V163" i="457"/>
  <c r="U163" i="457"/>
  <c r="T163" i="457"/>
  <c r="S163" i="457"/>
  <c r="Q163" i="457"/>
  <c r="P163" i="457"/>
  <c r="O163" i="457"/>
  <c r="N163" i="457"/>
  <c r="M163" i="457"/>
  <c r="L163" i="457"/>
  <c r="J163" i="457"/>
  <c r="I163" i="457"/>
  <c r="H163" i="457"/>
  <c r="G163" i="457"/>
  <c r="F163" i="457"/>
  <c r="E163" i="457"/>
  <c r="D163" i="457"/>
  <c r="Z162" i="457"/>
  <c r="Y162" i="457"/>
  <c r="X162" i="457"/>
  <c r="W162" i="457"/>
  <c r="V162" i="457"/>
  <c r="U162" i="457"/>
  <c r="T162" i="457"/>
  <c r="S162" i="457"/>
  <c r="Q162" i="457"/>
  <c r="P162" i="457"/>
  <c r="O162" i="457"/>
  <c r="N162" i="457"/>
  <c r="M162" i="457"/>
  <c r="L162" i="457"/>
  <c r="J162" i="457"/>
  <c r="I162" i="457"/>
  <c r="H162" i="457"/>
  <c r="G162" i="457"/>
  <c r="F162" i="457"/>
  <c r="E162" i="457"/>
  <c r="D162" i="457"/>
  <c r="AA161" i="457"/>
  <c r="R161" i="457"/>
  <c r="K161" i="457"/>
  <c r="E161" i="457"/>
  <c r="Z160" i="457"/>
  <c r="Y160" i="457"/>
  <c r="X160" i="457"/>
  <c r="W160" i="457"/>
  <c r="V160" i="457"/>
  <c r="U160" i="457"/>
  <c r="T160" i="457"/>
  <c r="S160" i="457"/>
  <c r="Q160" i="457"/>
  <c r="P160" i="457"/>
  <c r="O160" i="457"/>
  <c r="N160" i="457"/>
  <c r="M160" i="457"/>
  <c r="L160" i="457"/>
  <c r="J160" i="457"/>
  <c r="I160" i="457"/>
  <c r="H160" i="457"/>
  <c r="G160" i="457"/>
  <c r="F160" i="457"/>
  <c r="E160" i="457"/>
  <c r="D160" i="457"/>
  <c r="Z159" i="457"/>
  <c r="Y159" i="457"/>
  <c r="X159" i="457"/>
  <c r="W159" i="457"/>
  <c r="V159" i="457"/>
  <c r="U159" i="457"/>
  <c r="T159" i="457"/>
  <c r="S159" i="457"/>
  <c r="Q159" i="457"/>
  <c r="P159" i="457"/>
  <c r="O159" i="457"/>
  <c r="N159" i="457"/>
  <c r="M159" i="457"/>
  <c r="L159" i="457"/>
  <c r="J159" i="457"/>
  <c r="I159" i="457"/>
  <c r="H159" i="457"/>
  <c r="G159" i="457"/>
  <c r="F159" i="457"/>
  <c r="E159" i="457"/>
  <c r="D159" i="457"/>
  <c r="Z158" i="457"/>
  <c r="Y158" i="457"/>
  <c r="X158" i="457"/>
  <c r="W158" i="457"/>
  <c r="V158" i="457"/>
  <c r="U158" i="457"/>
  <c r="T158" i="457"/>
  <c r="S158" i="457"/>
  <c r="Q158" i="457"/>
  <c r="P158" i="457"/>
  <c r="O158" i="457"/>
  <c r="N158" i="457"/>
  <c r="M158" i="457"/>
  <c r="L158" i="457"/>
  <c r="J158" i="457"/>
  <c r="I158" i="457"/>
  <c r="H158" i="457"/>
  <c r="G158" i="457"/>
  <c r="F158" i="457"/>
  <c r="E158" i="457"/>
  <c r="D158" i="457"/>
  <c r="Z157" i="457"/>
  <c r="Y157" i="457"/>
  <c r="X157" i="457"/>
  <c r="W157" i="457"/>
  <c r="V157" i="457"/>
  <c r="U157" i="457"/>
  <c r="T157" i="457"/>
  <c r="S157" i="457"/>
  <c r="Q157" i="457"/>
  <c r="P157" i="457"/>
  <c r="O157" i="457"/>
  <c r="N157" i="457"/>
  <c r="M157" i="457"/>
  <c r="L157" i="457"/>
  <c r="J157" i="457"/>
  <c r="I157" i="457"/>
  <c r="H157" i="457"/>
  <c r="G157" i="457"/>
  <c r="F157" i="457"/>
  <c r="E157" i="457"/>
  <c r="D157" i="457"/>
  <c r="Z156" i="457"/>
  <c r="Y156" i="457"/>
  <c r="X156" i="457"/>
  <c r="W156" i="457"/>
  <c r="V156" i="457"/>
  <c r="U156" i="457"/>
  <c r="T156" i="457"/>
  <c r="S156" i="457"/>
  <c r="Q156" i="457"/>
  <c r="P156" i="457"/>
  <c r="O156" i="457"/>
  <c r="N156" i="457"/>
  <c r="M156" i="457"/>
  <c r="L156" i="457"/>
  <c r="J156" i="457"/>
  <c r="I156" i="457"/>
  <c r="H156" i="457"/>
  <c r="G156" i="457"/>
  <c r="F156" i="457"/>
  <c r="E156" i="457"/>
  <c r="D156" i="457"/>
  <c r="Z155" i="457"/>
  <c r="Y155" i="457"/>
  <c r="X155" i="457"/>
  <c r="W155" i="457"/>
  <c r="V155" i="457"/>
  <c r="U155" i="457"/>
  <c r="T155" i="457"/>
  <c r="S155" i="457"/>
  <c r="Q155" i="457"/>
  <c r="P155" i="457"/>
  <c r="O155" i="457"/>
  <c r="N155" i="457"/>
  <c r="M155" i="457"/>
  <c r="L155" i="457"/>
  <c r="J155" i="457"/>
  <c r="I155" i="457"/>
  <c r="H155" i="457"/>
  <c r="G155" i="457"/>
  <c r="F155" i="457"/>
  <c r="E155" i="457"/>
  <c r="D155" i="457"/>
  <c r="AA154" i="457"/>
  <c r="R154" i="457"/>
  <c r="K154" i="457"/>
  <c r="E154" i="457"/>
  <c r="Z153" i="457"/>
  <c r="Z152" i="457" s="1"/>
  <c r="Y153" i="457"/>
  <c r="X153" i="457"/>
  <c r="W153" i="457"/>
  <c r="W152" i="457" s="1"/>
  <c r="V153" i="457"/>
  <c r="V152" i="457" s="1"/>
  <c r="U153" i="457"/>
  <c r="U152" i="457" s="1"/>
  <c r="U151" i="457" s="1"/>
  <c r="T153" i="457"/>
  <c r="T152" i="457" s="1"/>
  <c r="S153" i="457"/>
  <c r="S152" i="457" s="1"/>
  <c r="Q153" i="457"/>
  <c r="Q152" i="457" s="1"/>
  <c r="P153" i="457"/>
  <c r="P152" i="457" s="1"/>
  <c r="P151" i="457" s="1"/>
  <c r="O153" i="457"/>
  <c r="O152" i="457" s="1"/>
  <c r="O151" i="457" s="1"/>
  <c r="N153" i="457"/>
  <c r="N152" i="457" s="1"/>
  <c r="M153" i="457"/>
  <c r="L153" i="457"/>
  <c r="L152" i="457" s="1"/>
  <c r="J153" i="457"/>
  <c r="J152" i="457" s="1"/>
  <c r="I153" i="457"/>
  <c r="I152" i="457" s="1"/>
  <c r="H153" i="457"/>
  <c r="H152" i="457" s="1"/>
  <c r="H151" i="457" s="1"/>
  <c r="G153" i="457"/>
  <c r="G152" i="457" s="1"/>
  <c r="G151" i="457" s="1"/>
  <c r="F153" i="457"/>
  <c r="F152" i="457" s="1"/>
  <c r="E153" i="457"/>
  <c r="D153" i="457"/>
  <c r="Y152" i="457"/>
  <c r="Y151" i="457" s="1"/>
  <c r="X152" i="457"/>
  <c r="E152" i="457"/>
  <c r="D152" i="457"/>
  <c r="E151" i="457"/>
  <c r="AA150" i="457"/>
  <c r="R150" i="457"/>
  <c r="E150" i="457"/>
  <c r="K150" i="457" s="1"/>
  <c r="AA149" i="457"/>
  <c r="R149" i="457"/>
  <c r="E149" i="457"/>
  <c r="K149" i="457" s="1"/>
  <c r="AA148" i="457"/>
  <c r="R148" i="457"/>
  <c r="E148" i="457"/>
  <c r="K148" i="457" s="1"/>
  <c r="Z147" i="457"/>
  <c r="Z146" i="457" s="1"/>
  <c r="Z143" i="457" s="1"/>
  <c r="Y147" i="457"/>
  <c r="Y146" i="457" s="1"/>
  <c r="X147" i="457"/>
  <c r="X146" i="457" s="1"/>
  <c r="X143" i="457" s="1"/>
  <c r="W147" i="457"/>
  <c r="W146" i="457" s="1"/>
  <c r="W143" i="457" s="1"/>
  <c r="V147" i="457"/>
  <c r="V146" i="457" s="1"/>
  <c r="V143" i="457" s="1"/>
  <c r="U147" i="457"/>
  <c r="U146" i="457" s="1"/>
  <c r="U143" i="457" s="1"/>
  <c r="T147" i="457"/>
  <c r="T146" i="457" s="1"/>
  <c r="T143" i="457" s="1"/>
  <c r="S147" i="457"/>
  <c r="S146" i="457" s="1"/>
  <c r="S143" i="457" s="1"/>
  <c r="Q147" i="457"/>
  <c r="Q146" i="457" s="1"/>
  <c r="Q143" i="457" s="1"/>
  <c r="P147" i="457"/>
  <c r="P146" i="457" s="1"/>
  <c r="P143" i="457" s="1"/>
  <c r="O147" i="457"/>
  <c r="N147" i="457"/>
  <c r="N146" i="457" s="1"/>
  <c r="N143" i="457" s="1"/>
  <c r="M147" i="457"/>
  <c r="M146" i="457" s="1"/>
  <c r="M143" i="457" s="1"/>
  <c r="L147" i="457"/>
  <c r="L146" i="457" s="1"/>
  <c r="L143" i="457" s="1"/>
  <c r="J147" i="457"/>
  <c r="J146" i="457" s="1"/>
  <c r="J143" i="457" s="1"/>
  <c r="I147" i="457"/>
  <c r="I146" i="457" s="1"/>
  <c r="I143" i="457" s="1"/>
  <c r="H147" i="457"/>
  <c r="H146" i="457" s="1"/>
  <c r="H143" i="457" s="1"/>
  <c r="G147" i="457"/>
  <c r="G146" i="457" s="1"/>
  <c r="G143" i="457" s="1"/>
  <c r="F147" i="457"/>
  <c r="F146" i="457" s="1"/>
  <c r="F143" i="457" s="1"/>
  <c r="E147" i="457"/>
  <c r="D147" i="457"/>
  <c r="D146" i="457" s="1"/>
  <c r="O146" i="457"/>
  <c r="O143" i="457" s="1"/>
  <c r="E146" i="457"/>
  <c r="Z145" i="457"/>
  <c r="Y145" i="457"/>
  <c r="X145" i="457"/>
  <c r="W145" i="457"/>
  <c r="V145" i="457"/>
  <c r="U145" i="457"/>
  <c r="T145" i="457"/>
  <c r="S145" i="457"/>
  <c r="Q145" i="457"/>
  <c r="P145" i="457"/>
  <c r="O145" i="457"/>
  <c r="N145" i="457"/>
  <c r="M145" i="457"/>
  <c r="L145" i="457"/>
  <c r="J145" i="457"/>
  <c r="I145" i="457"/>
  <c r="H145" i="457"/>
  <c r="G145" i="457"/>
  <c r="F145" i="457"/>
  <c r="E145" i="457"/>
  <c r="D145" i="457"/>
  <c r="AA144" i="457"/>
  <c r="R144" i="457"/>
  <c r="E144" i="457"/>
  <c r="K144" i="457" s="1"/>
  <c r="Y143" i="457"/>
  <c r="E143" i="457"/>
  <c r="E142" i="457"/>
  <c r="Z141" i="457"/>
  <c r="Y141" i="457"/>
  <c r="X141" i="457"/>
  <c r="W141" i="457"/>
  <c r="V141" i="457"/>
  <c r="U141" i="457"/>
  <c r="T141" i="457"/>
  <c r="S141" i="457"/>
  <c r="Q141" i="457"/>
  <c r="P141" i="457"/>
  <c r="O141" i="457"/>
  <c r="N141" i="457"/>
  <c r="M141" i="457"/>
  <c r="L141" i="457"/>
  <c r="J141" i="457"/>
  <c r="I141" i="457"/>
  <c r="H141" i="457"/>
  <c r="G141" i="457"/>
  <c r="F141" i="457"/>
  <c r="E141" i="457"/>
  <c r="D141" i="457"/>
  <c r="Z140" i="457"/>
  <c r="Y140" i="457"/>
  <c r="X140" i="457"/>
  <c r="W140" i="457"/>
  <c r="V140" i="457"/>
  <c r="U140" i="457"/>
  <c r="T140" i="457"/>
  <c r="S140" i="457"/>
  <c r="Q140" i="457"/>
  <c r="P140" i="457"/>
  <c r="O140" i="457"/>
  <c r="N140" i="457"/>
  <c r="M140" i="457"/>
  <c r="L140" i="457"/>
  <c r="J140" i="457"/>
  <c r="I140" i="457"/>
  <c r="H140" i="457"/>
  <c r="G140" i="457"/>
  <c r="F140" i="457"/>
  <c r="E140" i="457"/>
  <c r="D140" i="457"/>
  <c r="Z139" i="457"/>
  <c r="Y139" i="457"/>
  <c r="X139" i="457"/>
  <c r="W139" i="457"/>
  <c r="V139" i="457"/>
  <c r="U139" i="457"/>
  <c r="T139" i="457"/>
  <c r="S139" i="457"/>
  <c r="Q139" i="457"/>
  <c r="P139" i="457"/>
  <c r="O139" i="457"/>
  <c r="N139" i="457"/>
  <c r="M139" i="457"/>
  <c r="L139" i="457"/>
  <c r="J139" i="457"/>
  <c r="I139" i="457"/>
  <c r="H139" i="457"/>
  <c r="G139" i="457"/>
  <c r="F139" i="457"/>
  <c r="E139" i="457"/>
  <c r="D139" i="457"/>
  <c r="Z138" i="457"/>
  <c r="Y138" i="457"/>
  <c r="X138" i="457"/>
  <c r="W138" i="457"/>
  <c r="V138" i="457"/>
  <c r="U138" i="457"/>
  <c r="T138" i="457"/>
  <c r="S138" i="457"/>
  <c r="Q138" i="457"/>
  <c r="P138" i="457"/>
  <c r="O138" i="457"/>
  <c r="N138" i="457"/>
  <c r="M138" i="457"/>
  <c r="L138" i="457"/>
  <c r="J138" i="457"/>
  <c r="I138" i="457"/>
  <c r="H138" i="457"/>
  <c r="G138" i="457"/>
  <c r="F138" i="457"/>
  <c r="E138" i="457"/>
  <c r="D138" i="457"/>
  <c r="AA137" i="457"/>
  <c r="R137" i="457"/>
  <c r="E137" i="457"/>
  <c r="K137" i="457" s="1"/>
  <c r="Z136" i="457"/>
  <c r="Y136" i="457"/>
  <c r="X136" i="457"/>
  <c r="W136" i="457"/>
  <c r="V136" i="457"/>
  <c r="U136" i="457"/>
  <c r="T136" i="457"/>
  <c r="S136" i="457"/>
  <c r="Q136" i="457"/>
  <c r="P136" i="457"/>
  <c r="O136" i="457"/>
  <c r="N136" i="457"/>
  <c r="M136" i="457"/>
  <c r="L136" i="457"/>
  <c r="J136" i="457"/>
  <c r="I136" i="457"/>
  <c r="H136" i="457"/>
  <c r="G136" i="457"/>
  <c r="F136" i="457"/>
  <c r="E136" i="457"/>
  <c r="D136" i="457"/>
  <c r="Z135" i="457"/>
  <c r="Y135" i="457"/>
  <c r="X135" i="457"/>
  <c r="W135" i="457"/>
  <c r="V135" i="457"/>
  <c r="U135" i="457"/>
  <c r="T135" i="457"/>
  <c r="S135" i="457"/>
  <c r="Q135" i="457"/>
  <c r="P135" i="457"/>
  <c r="O135" i="457"/>
  <c r="N135" i="457"/>
  <c r="M135" i="457"/>
  <c r="L135" i="457"/>
  <c r="J135" i="457"/>
  <c r="I135" i="457"/>
  <c r="H135" i="457"/>
  <c r="G135" i="457"/>
  <c r="F135" i="457"/>
  <c r="E135" i="457"/>
  <c r="D135" i="457"/>
  <c r="Z134" i="457"/>
  <c r="Y134" i="457"/>
  <c r="X134" i="457"/>
  <c r="W134" i="457"/>
  <c r="V134" i="457"/>
  <c r="U134" i="457"/>
  <c r="T134" i="457"/>
  <c r="S134" i="457"/>
  <c r="Q134" i="457"/>
  <c r="P134" i="457"/>
  <c r="O134" i="457"/>
  <c r="N134" i="457"/>
  <c r="M134" i="457"/>
  <c r="L134" i="457"/>
  <c r="J134" i="457"/>
  <c r="I134" i="457"/>
  <c r="H134" i="457"/>
  <c r="G134" i="457"/>
  <c r="F134" i="457"/>
  <c r="E134" i="457"/>
  <c r="D134" i="457"/>
  <c r="Z133" i="457"/>
  <c r="Y133" i="457"/>
  <c r="X133" i="457"/>
  <c r="W133" i="457"/>
  <c r="V133" i="457"/>
  <c r="U133" i="457"/>
  <c r="T133" i="457"/>
  <c r="S133" i="457"/>
  <c r="Q133" i="457"/>
  <c r="P133" i="457"/>
  <c r="O133" i="457"/>
  <c r="N133" i="457"/>
  <c r="M133" i="457"/>
  <c r="L133" i="457"/>
  <c r="J133" i="457"/>
  <c r="I133" i="457"/>
  <c r="H133" i="457"/>
  <c r="G133" i="457"/>
  <c r="F133" i="457"/>
  <c r="E133" i="457"/>
  <c r="D133" i="457"/>
  <c r="AA132" i="457"/>
  <c r="R132" i="457"/>
  <c r="E132" i="457"/>
  <c r="K132" i="457" s="1"/>
  <c r="Z131" i="457"/>
  <c r="Y131" i="457"/>
  <c r="X131" i="457"/>
  <c r="W131" i="457"/>
  <c r="V131" i="457"/>
  <c r="U131" i="457"/>
  <c r="T131" i="457"/>
  <c r="S131" i="457"/>
  <c r="Q131" i="457"/>
  <c r="P131" i="457"/>
  <c r="O131" i="457"/>
  <c r="N131" i="457"/>
  <c r="M131" i="457"/>
  <c r="L131" i="457"/>
  <c r="J131" i="457"/>
  <c r="I131" i="457"/>
  <c r="H131" i="457"/>
  <c r="G131" i="457"/>
  <c r="F131" i="457"/>
  <c r="E131" i="457"/>
  <c r="D131" i="457"/>
  <c r="Z130" i="457"/>
  <c r="Y130" i="457"/>
  <c r="X130" i="457"/>
  <c r="W130" i="457"/>
  <c r="V130" i="457"/>
  <c r="U130" i="457"/>
  <c r="T130" i="457"/>
  <c r="S130" i="457"/>
  <c r="Q130" i="457"/>
  <c r="P130" i="457"/>
  <c r="O130" i="457"/>
  <c r="N130" i="457"/>
  <c r="M130" i="457"/>
  <c r="L130" i="457"/>
  <c r="J130" i="457"/>
  <c r="I130" i="457"/>
  <c r="H130" i="457"/>
  <c r="G130" i="457"/>
  <c r="F130" i="457"/>
  <c r="E130" i="457"/>
  <c r="D130" i="457"/>
  <c r="Z129" i="457"/>
  <c r="Y129" i="457"/>
  <c r="X129" i="457"/>
  <c r="W129" i="457"/>
  <c r="V129" i="457"/>
  <c r="U129" i="457"/>
  <c r="T129" i="457"/>
  <c r="S129" i="457"/>
  <c r="Q129" i="457"/>
  <c r="P129" i="457"/>
  <c r="O129" i="457"/>
  <c r="N129" i="457"/>
  <c r="M129" i="457"/>
  <c r="L129" i="457"/>
  <c r="J129" i="457"/>
  <c r="I129" i="457"/>
  <c r="H129" i="457"/>
  <c r="G129" i="457"/>
  <c r="F129" i="457"/>
  <c r="E129" i="457"/>
  <c r="D129" i="457"/>
  <c r="Z128" i="457"/>
  <c r="Y128" i="457"/>
  <c r="X128" i="457"/>
  <c r="W128" i="457"/>
  <c r="V128" i="457"/>
  <c r="U128" i="457"/>
  <c r="T128" i="457"/>
  <c r="S128" i="457"/>
  <c r="Q128" i="457"/>
  <c r="P128" i="457"/>
  <c r="O128" i="457"/>
  <c r="N128" i="457"/>
  <c r="M128" i="457"/>
  <c r="L128" i="457"/>
  <c r="J128" i="457"/>
  <c r="I128" i="457"/>
  <c r="H128" i="457"/>
  <c r="G128" i="457"/>
  <c r="F128" i="457"/>
  <c r="E128" i="457"/>
  <c r="D128" i="457"/>
  <c r="Z127" i="457"/>
  <c r="Y127" i="457"/>
  <c r="X127" i="457"/>
  <c r="W127" i="457"/>
  <c r="V127" i="457"/>
  <c r="U127" i="457"/>
  <c r="T127" i="457"/>
  <c r="S127" i="457"/>
  <c r="Q127" i="457"/>
  <c r="P127" i="457"/>
  <c r="O127" i="457"/>
  <c r="N127" i="457"/>
  <c r="M127" i="457"/>
  <c r="L127" i="457"/>
  <c r="J127" i="457"/>
  <c r="I127" i="457"/>
  <c r="H127" i="457"/>
  <c r="G127" i="457"/>
  <c r="F127" i="457"/>
  <c r="E127" i="457"/>
  <c r="D127" i="457"/>
  <c r="AA126" i="457"/>
  <c r="R126" i="457"/>
  <c r="E126" i="457"/>
  <c r="K126" i="457" s="1"/>
  <c r="Z125" i="457"/>
  <c r="Y125" i="457"/>
  <c r="X125" i="457"/>
  <c r="W125" i="457"/>
  <c r="V125" i="457"/>
  <c r="U125" i="457"/>
  <c r="T125" i="457"/>
  <c r="S125" i="457"/>
  <c r="Q125" i="457"/>
  <c r="P125" i="457"/>
  <c r="O125" i="457"/>
  <c r="N125" i="457"/>
  <c r="M125" i="457"/>
  <c r="L125" i="457"/>
  <c r="J125" i="457"/>
  <c r="I125" i="457"/>
  <c r="H125" i="457"/>
  <c r="G125" i="457"/>
  <c r="F125" i="457"/>
  <c r="E125" i="457"/>
  <c r="D125" i="457"/>
  <c r="Z124" i="457"/>
  <c r="Y124" i="457"/>
  <c r="X124" i="457"/>
  <c r="W124" i="457"/>
  <c r="V124" i="457"/>
  <c r="U124" i="457"/>
  <c r="T124" i="457"/>
  <c r="S124" i="457"/>
  <c r="Q124" i="457"/>
  <c r="P124" i="457"/>
  <c r="O124" i="457"/>
  <c r="N124" i="457"/>
  <c r="M124" i="457"/>
  <c r="L124" i="457"/>
  <c r="J124" i="457"/>
  <c r="I124" i="457"/>
  <c r="H124" i="457"/>
  <c r="G124" i="457"/>
  <c r="F124" i="457"/>
  <c r="E124" i="457"/>
  <c r="D124" i="457"/>
  <c r="AA123" i="457"/>
  <c r="R123" i="457"/>
  <c r="K123" i="457"/>
  <c r="E123" i="457"/>
  <c r="Z122" i="457"/>
  <c r="Y122" i="457"/>
  <c r="X122" i="457"/>
  <c r="W122" i="457"/>
  <c r="V122" i="457"/>
  <c r="U122" i="457"/>
  <c r="T122" i="457"/>
  <c r="S122" i="457"/>
  <c r="Q122" i="457"/>
  <c r="P122" i="457"/>
  <c r="O122" i="457"/>
  <c r="N122" i="457"/>
  <c r="M122" i="457"/>
  <c r="L122" i="457"/>
  <c r="J122" i="457"/>
  <c r="I122" i="457"/>
  <c r="H122" i="457"/>
  <c r="G122" i="457"/>
  <c r="F122" i="457"/>
  <c r="E122" i="457"/>
  <c r="D122" i="457"/>
  <c r="Z121" i="457"/>
  <c r="Y121" i="457"/>
  <c r="X121" i="457"/>
  <c r="W121" i="457"/>
  <c r="V121" i="457"/>
  <c r="U121" i="457"/>
  <c r="T121" i="457"/>
  <c r="S121" i="457"/>
  <c r="Q121" i="457"/>
  <c r="P121" i="457"/>
  <c r="O121" i="457"/>
  <c r="N121" i="457"/>
  <c r="M121" i="457"/>
  <c r="L121" i="457"/>
  <c r="J121" i="457"/>
  <c r="I121" i="457"/>
  <c r="H121" i="457"/>
  <c r="G121" i="457"/>
  <c r="F121" i="457"/>
  <c r="E121" i="457"/>
  <c r="D121" i="457"/>
  <c r="Z120" i="457"/>
  <c r="Y120" i="457"/>
  <c r="X120" i="457"/>
  <c r="W120" i="457"/>
  <c r="V120" i="457"/>
  <c r="U120" i="457"/>
  <c r="T120" i="457"/>
  <c r="S120" i="457"/>
  <c r="Q120" i="457"/>
  <c r="P120" i="457"/>
  <c r="O120" i="457"/>
  <c r="N120" i="457"/>
  <c r="M120" i="457"/>
  <c r="L120" i="457"/>
  <c r="J120" i="457"/>
  <c r="I120" i="457"/>
  <c r="H120" i="457"/>
  <c r="G120" i="457"/>
  <c r="F120" i="457"/>
  <c r="E120" i="457"/>
  <c r="D120" i="457"/>
  <c r="Z119" i="457"/>
  <c r="Y119" i="457"/>
  <c r="X119" i="457"/>
  <c r="W119" i="457"/>
  <c r="V119" i="457"/>
  <c r="U119" i="457"/>
  <c r="T119" i="457"/>
  <c r="S119" i="457"/>
  <c r="Q119" i="457"/>
  <c r="P119" i="457"/>
  <c r="O119" i="457"/>
  <c r="N119" i="457"/>
  <c r="M119" i="457"/>
  <c r="L119" i="457"/>
  <c r="J119" i="457"/>
  <c r="I119" i="457"/>
  <c r="H119" i="457"/>
  <c r="G119" i="457"/>
  <c r="F119" i="457"/>
  <c r="E119" i="457"/>
  <c r="D119" i="457"/>
  <c r="AA118" i="457"/>
  <c r="R118" i="457"/>
  <c r="E118" i="457"/>
  <c r="K118" i="457" s="1"/>
  <c r="Z117" i="457"/>
  <c r="X117" i="457"/>
  <c r="W117" i="457"/>
  <c r="V117" i="457"/>
  <c r="U117" i="457"/>
  <c r="T117" i="457"/>
  <c r="S117" i="457"/>
  <c r="Q117" i="457"/>
  <c r="P117" i="457"/>
  <c r="O117" i="457"/>
  <c r="N117" i="457"/>
  <c r="M117" i="457"/>
  <c r="L117" i="457"/>
  <c r="J117" i="457"/>
  <c r="I117" i="457"/>
  <c r="H117" i="457"/>
  <c r="G117" i="457"/>
  <c r="F117" i="457"/>
  <c r="E117" i="457"/>
  <c r="D117" i="457"/>
  <c r="AA116" i="457"/>
  <c r="Y116" i="457"/>
  <c r="Y117" i="457" s="1"/>
  <c r="R116" i="457"/>
  <c r="K116" i="457"/>
  <c r="E116" i="457"/>
  <c r="Z115" i="457"/>
  <c r="Y115" i="457"/>
  <c r="X115" i="457"/>
  <c r="W115" i="457"/>
  <c r="V115" i="457"/>
  <c r="U115" i="457"/>
  <c r="T115" i="457"/>
  <c r="S115" i="457"/>
  <c r="Q115" i="457"/>
  <c r="P115" i="457"/>
  <c r="O115" i="457"/>
  <c r="N115" i="457"/>
  <c r="M115" i="457"/>
  <c r="L115" i="457"/>
  <c r="J115" i="457"/>
  <c r="I115" i="457"/>
  <c r="H115" i="457"/>
  <c r="G115" i="457"/>
  <c r="F115" i="457"/>
  <c r="E115" i="457"/>
  <c r="D115" i="457"/>
  <c r="Z114" i="457"/>
  <c r="Y114" i="457"/>
  <c r="X114" i="457"/>
  <c r="W114" i="457"/>
  <c r="V114" i="457"/>
  <c r="U114" i="457"/>
  <c r="T114" i="457"/>
  <c r="S114" i="457"/>
  <c r="Q114" i="457"/>
  <c r="P114" i="457"/>
  <c r="O114" i="457"/>
  <c r="N114" i="457"/>
  <c r="M114" i="457"/>
  <c r="L114" i="457"/>
  <c r="J114" i="457"/>
  <c r="I114" i="457"/>
  <c r="H114" i="457"/>
  <c r="G114" i="457"/>
  <c r="F114" i="457"/>
  <c r="E114" i="457"/>
  <c r="D114" i="457"/>
  <c r="Z113" i="457"/>
  <c r="Y113" i="457"/>
  <c r="X113" i="457"/>
  <c r="W113" i="457"/>
  <c r="V113" i="457"/>
  <c r="U113" i="457"/>
  <c r="T113" i="457"/>
  <c r="S113" i="457"/>
  <c r="Q113" i="457"/>
  <c r="P113" i="457"/>
  <c r="O113" i="457"/>
  <c r="N113" i="457"/>
  <c r="M113" i="457"/>
  <c r="L113" i="457"/>
  <c r="J113" i="457"/>
  <c r="I113" i="457"/>
  <c r="H113" i="457"/>
  <c r="G113" i="457"/>
  <c r="F113" i="457"/>
  <c r="E113" i="457"/>
  <c r="D113" i="457"/>
  <c r="Z112" i="457"/>
  <c r="Y112" i="457"/>
  <c r="X112" i="457"/>
  <c r="W112" i="457"/>
  <c r="V112" i="457"/>
  <c r="U112" i="457"/>
  <c r="T112" i="457"/>
  <c r="S112" i="457"/>
  <c r="Q112" i="457"/>
  <c r="P112" i="457"/>
  <c r="O112" i="457"/>
  <c r="N112" i="457"/>
  <c r="M112" i="457"/>
  <c r="L112" i="457"/>
  <c r="J112" i="457"/>
  <c r="I112" i="457"/>
  <c r="H112" i="457"/>
  <c r="G112" i="457"/>
  <c r="F112" i="457"/>
  <c r="E112" i="457"/>
  <c r="D112" i="457"/>
  <c r="Z111" i="457"/>
  <c r="Y111" i="457"/>
  <c r="X111" i="457"/>
  <c r="W111" i="457"/>
  <c r="V111" i="457"/>
  <c r="U111" i="457"/>
  <c r="T111" i="457"/>
  <c r="S111" i="457"/>
  <c r="Q111" i="457"/>
  <c r="P111" i="457"/>
  <c r="O111" i="457"/>
  <c r="N111" i="457"/>
  <c r="M111" i="457"/>
  <c r="L111" i="457"/>
  <c r="J111" i="457"/>
  <c r="I111" i="457"/>
  <c r="H111" i="457"/>
  <c r="G111" i="457"/>
  <c r="F111" i="457"/>
  <c r="E111" i="457"/>
  <c r="D111" i="457"/>
  <c r="Z110" i="457"/>
  <c r="Y110" i="457"/>
  <c r="X110" i="457"/>
  <c r="W110" i="457"/>
  <c r="V110" i="457"/>
  <c r="U110" i="457"/>
  <c r="T110" i="457"/>
  <c r="S110" i="457"/>
  <c r="Q110" i="457"/>
  <c r="P110" i="457"/>
  <c r="O110" i="457"/>
  <c r="N110" i="457"/>
  <c r="M110" i="457"/>
  <c r="L110" i="457"/>
  <c r="J110" i="457"/>
  <c r="I110" i="457"/>
  <c r="H110" i="457"/>
  <c r="G110" i="457"/>
  <c r="F110" i="457"/>
  <c r="E110" i="457"/>
  <c r="D110" i="457"/>
  <c r="AA109" i="457"/>
  <c r="R109" i="457"/>
  <c r="E109" i="457"/>
  <c r="K109" i="457" s="1"/>
  <c r="Z108" i="457"/>
  <c r="Y108" i="457"/>
  <c r="X108" i="457"/>
  <c r="W108" i="457"/>
  <c r="V108" i="457"/>
  <c r="U108" i="457"/>
  <c r="T108" i="457"/>
  <c r="S108" i="457"/>
  <c r="Q108" i="457"/>
  <c r="P108" i="457"/>
  <c r="O108" i="457"/>
  <c r="N108" i="457"/>
  <c r="M108" i="457"/>
  <c r="L108" i="457"/>
  <c r="J108" i="457"/>
  <c r="I108" i="457"/>
  <c r="H108" i="457"/>
  <c r="G108" i="457"/>
  <c r="F108" i="457"/>
  <c r="E108" i="457"/>
  <c r="D108" i="457"/>
  <c r="Z107" i="457"/>
  <c r="Y107" i="457"/>
  <c r="X107" i="457"/>
  <c r="W107" i="457"/>
  <c r="V107" i="457"/>
  <c r="U107" i="457"/>
  <c r="T107" i="457"/>
  <c r="S107" i="457"/>
  <c r="Q107" i="457"/>
  <c r="P107" i="457"/>
  <c r="O107" i="457"/>
  <c r="N107" i="457"/>
  <c r="M107" i="457"/>
  <c r="L107" i="457"/>
  <c r="J107" i="457"/>
  <c r="I107" i="457"/>
  <c r="H107" i="457"/>
  <c r="G107" i="457"/>
  <c r="F107" i="457"/>
  <c r="E107" i="457"/>
  <c r="D107" i="457"/>
  <c r="Z106" i="457"/>
  <c r="Y106" i="457"/>
  <c r="X106" i="457"/>
  <c r="W106" i="457"/>
  <c r="V106" i="457"/>
  <c r="U106" i="457"/>
  <c r="T106" i="457"/>
  <c r="S106" i="457"/>
  <c r="Q106" i="457"/>
  <c r="P106" i="457"/>
  <c r="O106" i="457"/>
  <c r="N106" i="457"/>
  <c r="M106" i="457"/>
  <c r="L106" i="457"/>
  <c r="J106" i="457"/>
  <c r="I106" i="457"/>
  <c r="H106" i="457"/>
  <c r="G106" i="457"/>
  <c r="F106" i="457"/>
  <c r="E106" i="457"/>
  <c r="D106" i="457"/>
  <c r="Z105" i="457"/>
  <c r="Y105" i="457"/>
  <c r="X105" i="457"/>
  <c r="W105" i="457"/>
  <c r="V105" i="457"/>
  <c r="U105" i="457"/>
  <c r="T105" i="457"/>
  <c r="S105" i="457"/>
  <c r="Q105" i="457"/>
  <c r="P105" i="457"/>
  <c r="O105" i="457"/>
  <c r="N105" i="457"/>
  <c r="M105" i="457"/>
  <c r="L105" i="457"/>
  <c r="J105" i="457"/>
  <c r="I105" i="457"/>
  <c r="H105" i="457"/>
  <c r="G105" i="457"/>
  <c r="F105" i="457"/>
  <c r="E105" i="457"/>
  <c r="D105" i="457"/>
  <c r="Z104" i="457"/>
  <c r="Y104" i="457"/>
  <c r="X104" i="457"/>
  <c r="W104" i="457"/>
  <c r="V104" i="457"/>
  <c r="U104" i="457"/>
  <c r="T104" i="457"/>
  <c r="S104" i="457"/>
  <c r="Q104" i="457"/>
  <c r="P104" i="457"/>
  <c r="O104" i="457"/>
  <c r="N104" i="457"/>
  <c r="M104" i="457"/>
  <c r="L104" i="457"/>
  <c r="J104" i="457"/>
  <c r="I104" i="457"/>
  <c r="H104" i="457"/>
  <c r="G104" i="457"/>
  <c r="F104" i="457"/>
  <c r="E104" i="457"/>
  <c r="D104" i="457"/>
  <c r="Z103" i="457"/>
  <c r="Y103" i="457"/>
  <c r="X103" i="457"/>
  <c r="W103" i="457"/>
  <c r="V103" i="457"/>
  <c r="U103" i="457"/>
  <c r="T103" i="457"/>
  <c r="S103" i="457"/>
  <c r="Q103" i="457"/>
  <c r="P103" i="457"/>
  <c r="O103" i="457"/>
  <c r="N103" i="457"/>
  <c r="M103" i="457"/>
  <c r="L103" i="457"/>
  <c r="J103" i="457"/>
  <c r="I103" i="457"/>
  <c r="H103" i="457"/>
  <c r="G103" i="457"/>
  <c r="F103" i="457"/>
  <c r="E103" i="457"/>
  <c r="D103" i="457"/>
  <c r="AA102" i="457"/>
  <c r="R102" i="457"/>
  <c r="K102" i="457"/>
  <c r="E102" i="457"/>
  <c r="Z101" i="457"/>
  <c r="Y101" i="457"/>
  <c r="X101" i="457"/>
  <c r="W101" i="457"/>
  <c r="V101" i="457"/>
  <c r="U101" i="457"/>
  <c r="T101" i="457"/>
  <c r="S101" i="457"/>
  <c r="Q101" i="457"/>
  <c r="P101" i="457"/>
  <c r="O101" i="457"/>
  <c r="N101" i="457"/>
  <c r="M101" i="457"/>
  <c r="L101" i="457"/>
  <c r="J101" i="457"/>
  <c r="I101" i="457"/>
  <c r="H101" i="457"/>
  <c r="G101" i="457"/>
  <c r="F101" i="457"/>
  <c r="E101" i="457"/>
  <c r="D101" i="457"/>
  <c r="Z100" i="457"/>
  <c r="Y100" i="457"/>
  <c r="X100" i="457"/>
  <c r="W100" i="457"/>
  <c r="V100" i="457"/>
  <c r="U100" i="457"/>
  <c r="T100" i="457"/>
  <c r="S100" i="457"/>
  <c r="Q100" i="457"/>
  <c r="P100" i="457"/>
  <c r="O100" i="457"/>
  <c r="N100" i="457"/>
  <c r="M100" i="457"/>
  <c r="L100" i="457"/>
  <c r="J100" i="457"/>
  <c r="I100" i="457"/>
  <c r="H100" i="457"/>
  <c r="G100" i="457"/>
  <c r="F100" i="457"/>
  <c r="E100" i="457"/>
  <c r="D100" i="457"/>
  <c r="Z99" i="457"/>
  <c r="Y99" i="457"/>
  <c r="X99" i="457"/>
  <c r="W99" i="457"/>
  <c r="V99" i="457"/>
  <c r="U99" i="457"/>
  <c r="T99" i="457"/>
  <c r="S99" i="457"/>
  <c r="Q99" i="457"/>
  <c r="P99" i="457"/>
  <c r="O99" i="457"/>
  <c r="N99" i="457"/>
  <c r="M99" i="457"/>
  <c r="L99" i="457"/>
  <c r="J99" i="457"/>
  <c r="I99" i="457"/>
  <c r="H99" i="457"/>
  <c r="G99" i="457"/>
  <c r="F99" i="457"/>
  <c r="E99" i="457"/>
  <c r="D99" i="457"/>
  <c r="Z98" i="457"/>
  <c r="Y98" i="457"/>
  <c r="X98" i="457"/>
  <c r="W98" i="457"/>
  <c r="V98" i="457"/>
  <c r="U98" i="457"/>
  <c r="T98" i="457"/>
  <c r="S98" i="457"/>
  <c r="Q98" i="457"/>
  <c r="P98" i="457"/>
  <c r="O98" i="457"/>
  <c r="N98" i="457"/>
  <c r="M98" i="457"/>
  <c r="L98" i="457"/>
  <c r="J98" i="457"/>
  <c r="I98" i="457"/>
  <c r="H98" i="457"/>
  <c r="G98" i="457"/>
  <c r="F98" i="457"/>
  <c r="E98" i="457"/>
  <c r="D98" i="457"/>
  <c r="Z97" i="457"/>
  <c r="Y97" i="457"/>
  <c r="X97" i="457"/>
  <c r="W97" i="457"/>
  <c r="V97" i="457"/>
  <c r="U97" i="457"/>
  <c r="T97" i="457"/>
  <c r="S97" i="457"/>
  <c r="Q97" i="457"/>
  <c r="P97" i="457"/>
  <c r="O97" i="457"/>
  <c r="N97" i="457"/>
  <c r="M97" i="457"/>
  <c r="L97" i="457"/>
  <c r="J97" i="457"/>
  <c r="I97" i="457"/>
  <c r="H97" i="457"/>
  <c r="G97" i="457"/>
  <c r="F97" i="457"/>
  <c r="E97" i="457"/>
  <c r="D97" i="457"/>
  <c r="Z96" i="457"/>
  <c r="Y96" i="457"/>
  <c r="X96" i="457"/>
  <c r="W96" i="457"/>
  <c r="V96" i="457"/>
  <c r="U96" i="457"/>
  <c r="T96" i="457"/>
  <c r="S96" i="457"/>
  <c r="Q96" i="457"/>
  <c r="P96" i="457"/>
  <c r="O96" i="457"/>
  <c r="N96" i="457"/>
  <c r="M96" i="457"/>
  <c r="L96" i="457"/>
  <c r="J96" i="457"/>
  <c r="I96" i="457"/>
  <c r="H96" i="457"/>
  <c r="G96" i="457"/>
  <c r="F96" i="457"/>
  <c r="E96" i="457"/>
  <c r="D96" i="457"/>
  <c r="AA95" i="457"/>
  <c r="R95" i="457"/>
  <c r="E95" i="457"/>
  <c r="K95" i="457" s="1"/>
  <c r="Z94" i="457"/>
  <c r="Z93" i="457" s="1"/>
  <c r="Y94" i="457"/>
  <c r="X94" i="457"/>
  <c r="W94" i="457"/>
  <c r="W93" i="457" s="1"/>
  <c r="V94" i="457"/>
  <c r="V93" i="457" s="1"/>
  <c r="U94" i="457"/>
  <c r="U93" i="457" s="1"/>
  <c r="T94" i="457"/>
  <c r="S94" i="457"/>
  <c r="S93" i="457" s="1"/>
  <c r="Q94" i="457"/>
  <c r="P94" i="457"/>
  <c r="P93" i="457" s="1"/>
  <c r="O94" i="457"/>
  <c r="O93" i="457" s="1"/>
  <c r="N94" i="457"/>
  <c r="N93" i="457" s="1"/>
  <c r="M94" i="457"/>
  <c r="M93" i="457" s="1"/>
  <c r="L94" i="457"/>
  <c r="L93" i="457" s="1"/>
  <c r="J94" i="457"/>
  <c r="J93" i="457" s="1"/>
  <c r="I94" i="457"/>
  <c r="I93" i="457" s="1"/>
  <c r="H94" i="457"/>
  <c r="H93" i="457" s="1"/>
  <c r="G94" i="457"/>
  <c r="G93" i="457" s="1"/>
  <c r="F94" i="457"/>
  <c r="F93" i="457" s="1"/>
  <c r="E94" i="457"/>
  <c r="D94" i="457"/>
  <c r="D93" i="457" s="1"/>
  <c r="Y93" i="457"/>
  <c r="X93" i="457"/>
  <c r="T93" i="457"/>
  <c r="Q93" i="457"/>
  <c r="E93" i="457"/>
  <c r="Z92" i="457"/>
  <c r="Y92" i="457"/>
  <c r="X92" i="457"/>
  <c r="W92" i="457"/>
  <c r="V92" i="457"/>
  <c r="U92" i="457"/>
  <c r="T92" i="457"/>
  <c r="S92" i="457"/>
  <c r="Q92" i="457"/>
  <c r="P92" i="457"/>
  <c r="O92" i="457"/>
  <c r="N92" i="457"/>
  <c r="M92" i="457"/>
  <c r="L92" i="457"/>
  <c r="J92" i="457"/>
  <c r="I92" i="457"/>
  <c r="H92" i="457"/>
  <c r="G92" i="457"/>
  <c r="F92" i="457"/>
  <c r="E92" i="457"/>
  <c r="D92" i="457"/>
  <c r="Z91" i="457"/>
  <c r="Y91" i="457"/>
  <c r="X91" i="457"/>
  <c r="W91" i="457"/>
  <c r="V91" i="457"/>
  <c r="U91" i="457"/>
  <c r="T91" i="457"/>
  <c r="S91" i="457"/>
  <c r="Q91" i="457"/>
  <c r="P91" i="457"/>
  <c r="O91" i="457"/>
  <c r="N91" i="457"/>
  <c r="M91" i="457"/>
  <c r="L91" i="457"/>
  <c r="J91" i="457"/>
  <c r="I91" i="457"/>
  <c r="H91" i="457"/>
  <c r="G91" i="457"/>
  <c r="F91" i="457"/>
  <c r="E91" i="457"/>
  <c r="D91" i="457"/>
  <c r="Z90" i="457"/>
  <c r="Y90" i="457"/>
  <c r="X90" i="457"/>
  <c r="W90" i="457"/>
  <c r="V90" i="457"/>
  <c r="U90" i="457"/>
  <c r="T90" i="457"/>
  <c r="S90" i="457"/>
  <c r="Q90" i="457"/>
  <c r="P90" i="457"/>
  <c r="O90" i="457"/>
  <c r="N90" i="457"/>
  <c r="M90" i="457"/>
  <c r="L90" i="457"/>
  <c r="J90" i="457"/>
  <c r="I90" i="457"/>
  <c r="H90" i="457"/>
  <c r="G90" i="457"/>
  <c r="F90" i="457"/>
  <c r="E90" i="457"/>
  <c r="D90" i="457"/>
  <c r="Z89" i="457"/>
  <c r="Y89" i="457"/>
  <c r="X89" i="457"/>
  <c r="W89" i="457"/>
  <c r="V89" i="457"/>
  <c r="U89" i="457"/>
  <c r="T89" i="457"/>
  <c r="S89" i="457"/>
  <c r="Q89" i="457"/>
  <c r="P89" i="457"/>
  <c r="O89" i="457"/>
  <c r="N89" i="457"/>
  <c r="M89" i="457"/>
  <c r="L89" i="457"/>
  <c r="J89" i="457"/>
  <c r="I89" i="457"/>
  <c r="H89" i="457"/>
  <c r="G89" i="457"/>
  <c r="F89" i="457"/>
  <c r="E89" i="457"/>
  <c r="D89" i="457"/>
  <c r="Z88" i="457"/>
  <c r="Y88" i="457"/>
  <c r="X88" i="457"/>
  <c r="W88" i="457"/>
  <c r="V88" i="457"/>
  <c r="U88" i="457"/>
  <c r="T88" i="457"/>
  <c r="S88" i="457"/>
  <c r="Q88" i="457"/>
  <c r="P88" i="457"/>
  <c r="O88" i="457"/>
  <c r="N88" i="457"/>
  <c r="M88" i="457"/>
  <c r="L88" i="457"/>
  <c r="J88" i="457"/>
  <c r="I88" i="457"/>
  <c r="H88" i="457"/>
  <c r="G88" i="457"/>
  <c r="F88" i="457"/>
  <c r="E88" i="457"/>
  <c r="D88" i="457"/>
  <c r="AA87" i="457"/>
  <c r="R87" i="457"/>
  <c r="E87" i="457"/>
  <c r="K87" i="457" s="1"/>
  <c r="Z86" i="457"/>
  <c r="X86" i="457"/>
  <c r="W86" i="457"/>
  <c r="V86" i="457"/>
  <c r="U86" i="457"/>
  <c r="T86" i="457"/>
  <c r="S86" i="457"/>
  <c r="Q86" i="457"/>
  <c r="P86" i="457"/>
  <c r="O86" i="457"/>
  <c r="N86" i="457"/>
  <c r="M86" i="457"/>
  <c r="L86" i="457"/>
  <c r="R86" i="457" s="1"/>
  <c r="J86" i="457"/>
  <c r="I86" i="457"/>
  <c r="F86" i="457"/>
  <c r="E86" i="457"/>
  <c r="Z85" i="457"/>
  <c r="X85" i="457"/>
  <c r="W85" i="457"/>
  <c r="V85" i="457"/>
  <c r="U85" i="457"/>
  <c r="T85" i="457"/>
  <c r="S85" i="457"/>
  <c r="Q85" i="457"/>
  <c r="P85" i="457"/>
  <c r="O85" i="457"/>
  <c r="N85" i="457"/>
  <c r="R85" i="457" s="1"/>
  <c r="M85" i="457"/>
  <c r="L85" i="457"/>
  <c r="J85" i="457"/>
  <c r="I85" i="457"/>
  <c r="F85" i="457"/>
  <c r="E85" i="457"/>
  <c r="Z84" i="457"/>
  <c r="X84" i="457"/>
  <c r="W84" i="457"/>
  <c r="V84" i="457"/>
  <c r="U84" i="457"/>
  <c r="T84" i="457"/>
  <c r="S84" i="457"/>
  <c r="Q84" i="457"/>
  <c r="P84" i="457"/>
  <c r="O84" i="457"/>
  <c r="N84" i="457"/>
  <c r="M84" i="457"/>
  <c r="L84" i="457"/>
  <c r="R84" i="457" s="1"/>
  <c r="J84" i="457"/>
  <c r="I84" i="457"/>
  <c r="F84" i="457"/>
  <c r="E84" i="457"/>
  <c r="Z83" i="457"/>
  <c r="X83" i="457"/>
  <c r="W83" i="457"/>
  <c r="V83" i="457"/>
  <c r="U83" i="457"/>
  <c r="T83" i="457"/>
  <c r="S83" i="457"/>
  <c r="Q83" i="457"/>
  <c r="P83" i="457"/>
  <c r="O83" i="457"/>
  <c r="N83" i="457"/>
  <c r="R83" i="457" s="1"/>
  <c r="M83" i="457"/>
  <c r="L83" i="457"/>
  <c r="J83" i="457"/>
  <c r="I83" i="457"/>
  <c r="F83" i="457"/>
  <c r="E83" i="457"/>
  <c r="AA82" i="457"/>
  <c r="R82" i="457"/>
  <c r="K82" i="457"/>
  <c r="E82" i="457"/>
  <c r="Z81" i="457"/>
  <c r="X81" i="457"/>
  <c r="W81" i="457"/>
  <c r="W80" i="457" s="1"/>
  <c r="W79" i="457" s="1"/>
  <c r="V81" i="457"/>
  <c r="V80" i="457" s="1"/>
  <c r="V79" i="457" s="1"/>
  <c r="U81" i="457"/>
  <c r="T81" i="457"/>
  <c r="S81" i="457"/>
  <c r="Q81" i="457"/>
  <c r="P81" i="457"/>
  <c r="O81" i="457"/>
  <c r="O80" i="457" s="1"/>
  <c r="O79" i="457" s="1"/>
  <c r="N81" i="457"/>
  <c r="R81" i="457" s="1"/>
  <c r="M81" i="457"/>
  <c r="L81" i="457"/>
  <c r="J81" i="457"/>
  <c r="I81" i="457"/>
  <c r="F81" i="457"/>
  <c r="E81" i="457"/>
  <c r="Y80" i="457"/>
  <c r="Y79" i="457" s="1"/>
  <c r="X80" i="457"/>
  <c r="U80" i="457"/>
  <c r="U79" i="457" s="1"/>
  <c r="T80" i="457"/>
  <c r="T79" i="457" s="1"/>
  <c r="Q80" i="457"/>
  <c r="Q79" i="457" s="1"/>
  <c r="P80" i="457"/>
  <c r="P79" i="457" s="1"/>
  <c r="M80" i="457"/>
  <c r="M79" i="457" s="1"/>
  <c r="L80" i="457"/>
  <c r="L79" i="457" s="1"/>
  <c r="H80" i="457"/>
  <c r="H79" i="457" s="1"/>
  <c r="G80" i="457"/>
  <c r="G79" i="457" s="1"/>
  <c r="E80" i="457"/>
  <c r="D80" i="457"/>
  <c r="Z79" i="457"/>
  <c r="X79" i="457"/>
  <c r="J79" i="457"/>
  <c r="I79" i="457"/>
  <c r="F79" i="457"/>
  <c r="E79" i="457"/>
  <c r="Z78" i="457"/>
  <c r="Y78" i="457"/>
  <c r="X78" i="457"/>
  <c r="W78" i="457"/>
  <c r="V78" i="457"/>
  <c r="U78" i="457"/>
  <c r="T78" i="457"/>
  <c r="S78" i="457"/>
  <c r="Q78" i="457"/>
  <c r="P78" i="457"/>
  <c r="O78" i="457"/>
  <c r="N78" i="457"/>
  <c r="M78" i="457"/>
  <c r="L78" i="457"/>
  <c r="J78" i="457"/>
  <c r="I78" i="457"/>
  <c r="H78" i="457"/>
  <c r="G78" i="457"/>
  <c r="F78" i="457"/>
  <c r="E78" i="457"/>
  <c r="D78" i="457"/>
  <c r="Z77" i="457"/>
  <c r="Y77" i="457"/>
  <c r="X77" i="457"/>
  <c r="W77" i="457"/>
  <c r="V77" i="457"/>
  <c r="U77" i="457"/>
  <c r="T77" i="457"/>
  <c r="S77" i="457"/>
  <c r="Q77" i="457"/>
  <c r="P77" i="457"/>
  <c r="O77" i="457"/>
  <c r="N77" i="457"/>
  <c r="M77" i="457"/>
  <c r="L77" i="457"/>
  <c r="J77" i="457"/>
  <c r="I77" i="457"/>
  <c r="H77" i="457"/>
  <c r="G77" i="457"/>
  <c r="F77" i="457"/>
  <c r="E77" i="457"/>
  <c r="D77" i="457"/>
  <c r="Z76" i="457"/>
  <c r="Y76" i="457"/>
  <c r="X76" i="457"/>
  <c r="W76" i="457"/>
  <c r="V76" i="457"/>
  <c r="U76" i="457"/>
  <c r="T76" i="457"/>
  <c r="S76" i="457"/>
  <c r="Q76" i="457"/>
  <c r="P76" i="457"/>
  <c r="O76" i="457"/>
  <c r="N76" i="457"/>
  <c r="M76" i="457"/>
  <c r="L76" i="457"/>
  <c r="J76" i="457"/>
  <c r="I76" i="457"/>
  <c r="H76" i="457"/>
  <c r="G76" i="457"/>
  <c r="F76" i="457"/>
  <c r="E76" i="457"/>
  <c r="D76" i="457"/>
  <c r="Z75" i="457"/>
  <c r="Y75" i="457"/>
  <c r="X75" i="457"/>
  <c r="W75" i="457"/>
  <c r="V75" i="457"/>
  <c r="U75" i="457"/>
  <c r="T75" i="457"/>
  <c r="S75" i="457"/>
  <c r="Q75" i="457"/>
  <c r="P75" i="457"/>
  <c r="O75" i="457"/>
  <c r="N75" i="457"/>
  <c r="M75" i="457"/>
  <c r="L75" i="457"/>
  <c r="J75" i="457"/>
  <c r="I75" i="457"/>
  <c r="H75" i="457"/>
  <c r="G75" i="457"/>
  <c r="F75" i="457"/>
  <c r="E75" i="457"/>
  <c r="D75" i="457"/>
  <c r="Z74" i="457"/>
  <c r="Y74" i="457"/>
  <c r="X74" i="457"/>
  <c r="W74" i="457"/>
  <c r="V74" i="457"/>
  <c r="U74" i="457"/>
  <c r="T74" i="457"/>
  <c r="S74" i="457"/>
  <c r="Q74" i="457"/>
  <c r="P74" i="457"/>
  <c r="O74" i="457"/>
  <c r="N74" i="457"/>
  <c r="M74" i="457"/>
  <c r="L74" i="457"/>
  <c r="J74" i="457"/>
  <c r="I74" i="457"/>
  <c r="H74" i="457"/>
  <c r="G74" i="457"/>
  <c r="F74" i="457"/>
  <c r="E74" i="457"/>
  <c r="D74" i="457"/>
  <c r="AA73" i="457"/>
  <c r="R73" i="457"/>
  <c r="E73" i="457"/>
  <c r="K73" i="457" s="1"/>
  <c r="Z72" i="457"/>
  <c r="Y72" i="457"/>
  <c r="X72" i="457"/>
  <c r="W72" i="457"/>
  <c r="V72" i="457"/>
  <c r="U72" i="457"/>
  <c r="T72" i="457"/>
  <c r="S72" i="457"/>
  <c r="Q72" i="457"/>
  <c r="P72" i="457"/>
  <c r="O72" i="457"/>
  <c r="N72" i="457"/>
  <c r="M72" i="457"/>
  <c r="L72" i="457"/>
  <c r="J72" i="457"/>
  <c r="I72" i="457"/>
  <c r="H72" i="457"/>
  <c r="G72" i="457"/>
  <c r="F72" i="457"/>
  <c r="E72" i="457"/>
  <c r="D72" i="457"/>
  <c r="Z71" i="457"/>
  <c r="Y71" i="457"/>
  <c r="X71" i="457"/>
  <c r="W71" i="457"/>
  <c r="V71" i="457"/>
  <c r="U71" i="457"/>
  <c r="T71" i="457"/>
  <c r="S71" i="457"/>
  <c r="Q71" i="457"/>
  <c r="P71" i="457"/>
  <c r="O71" i="457"/>
  <c r="N71" i="457"/>
  <c r="M71" i="457"/>
  <c r="L71" i="457"/>
  <c r="J71" i="457"/>
  <c r="I71" i="457"/>
  <c r="H71" i="457"/>
  <c r="G71" i="457"/>
  <c r="F71" i="457"/>
  <c r="E71" i="457"/>
  <c r="D71" i="457"/>
  <c r="Z70" i="457"/>
  <c r="Y70" i="457"/>
  <c r="X70" i="457"/>
  <c r="W70" i="457"/>
  <c r="V70" i="457"/>
  <c r="U70" i="457"/>
  <c r="T70" i="457"/>
  <c r="S70" i="457"/>
  <c r="Q70" i="457"/>
  <c r="P70" i="457"/>
  <c r="O70" i="457"/>
  <c r="N70" i="457"/>
  <c r="M70" i="457"/>
  <c r="L70" i="457"/>
  <c r="J70" i="457"/>
  <c r="I70" i="457"/>
  <c r="H70" i="457"/>
  <c r="G70" i="457"/>
  <c r="F70" i="457"/>
  <c r="E70" i="457"/>
  <c r="D70" i="457"/>
  <c r="Z69" i="457"/>
  <c r="Y69" i="457"/>
  <c r="X69" i="457"/>
  <c r="W69" i="457"/>
  <c r="V69" i="457"/>
  <c r="U69" i="457"/>
  <c r="T69" i="457"/>
  <c r="S69" i="457"/>
  <c r="Q69" i="457"/>
  <c r="P69" i="457"/>
  <c r="O69" i="457"/>
  <c r="N69" i="457"/>
  <c r="M69" i="457"/>
  <c r="L69" i="457"/>
  <c r="J69" i="457"/>
  <c r="I69" i="457"/>
  <c r="H69" i="457"/>
  <c r="G69" i="457"/>
  <c r="F69" i="457"/>
  <c r="E69" i="457"/>
  <c r="D69" i="457"/>
  <c r="Z68" i="457"/>
  <c r="Y68" i="457"/>
  <c r="X68" i="457"/>
  <c r="W68" i="457"/>
  <c r="V68" i="457"/>
  <c r="U68" i="457"/>
  <c r="T68" i="457"/>
  <c r="S68" i="457"/>
  <c r="Q68" i="457"/>
  <c r="P68" i="457"/>
  <c r="O68" i="457"/>
  <c r="N68" i="457"/>
  <c r="M68" i="457"/>
  <c r="L68" i="457"/>
  <c r="J68" i="457"/>
  <c r="I68" i="457"/>
  <c r="H68" i="457"/>
  <c r="G68" i="457"/>
  <c r="F68" i="457"/>
  <c r="E68" i="457"/>
  <c r="D68" i="457"/>
  <c r="AA67" i="457"/>
  <c r="R67" i="457"/>
  <c r="E67" i="457"/>
  <c r="K67" i="457" s="1"/>
  <c r="Z66" i="457"/>
  <c r="Y66" i="457"/>
  <c r="Y52" i="457" s="1"/>
  <c r="X66" i="457"/>
  <c r="W66" i="457"/>
  <c r="V66" i="457"/>
  <c r="U66" i="457"/>
  <c r="T66" i="457"/>
  <c r="S66" i="457"/>
  <c r="Q66" i="457"/>
  <c r="P66" i="457"/>
  <c r="O66" i="457"/>
  <c r="N66" i="457"/>
  <c r="M66" i="457"/>
  <c r="L66" i="457"/>
  <c r="J66" i="457"/>
  <c r="I66" i="457"/>
  <c r="H66" i="457"/>
  <c r="G66" i="457"/>
  <c r="F66" i="457"/>
  <c r="E66" i="457"/>
  <c r="D66" i="457"/>
  <c r="Z65" i="457"/>
  <c r="Y65" i="457"/>
  <c r="X65" i="457"/>
  <c r="W65" i="457"/>
  <c r="V65" i="457"/>
  <c r="U65" i="457"/>
  <c r="T65" i="457"/>
  <c r="S65" i="457"/>
  <c r="Q65" i="457"/>
  <c r="P65" i="457"/>
  <c r="O65" i="457"/>
  <c r="N65" i="457"/>
  <c r="M65" i="457"/>
  <c r="L65" i="457"/>
  <c r="J65" i="457"/>
  <c r="I65" i="457"/>
  <c r="H65" i="457"/>
  <c r="G65" i="457"/>
  <c r="F65" i="457"/>
  <c r="E65" i="457"/>
  <c r="D65" i="457"/>
  <c r="Z64" i="457"/>
  <c r="Y64" i="457"/>
  <c r="X64" i="457"/>
  <c r="W64" i="457"/>
  <c r="V64" i="457"/>
  <c r="U64" i="457"/>
  <c r="T64" i="457"/>
  <c r="S64" i="457"/>
  <c r="Q64" i="457"/>
  <c r="P64" i="457"/>
  <c r="O64" i="457"/>
  <c r="N64" i="457"/>
  <c r="M64" i="457"/>
  <c r="L64" i="457"/>
  <c r="J64" i="457"/>
  <c r="I64" i="457"/>
  <c r="H64" i="457"/>
  <c r="G64" i="457"/>
  <c r="F64" i="457"/>
  <c r="E64" i="457"/>
  <c r="D64" i="457"/>
  <c r="Z63" i="457"/>
  <c r="Y63" i="457"/>
  <c r="X63" i="457"/>
  <c r="W63" i="457"/>
  <c r="V63" i="457"/>
  <c r="U63" i="457"/>
  <c r="T63" i="457"/>
  <c r="S63" i="457"/>
  <c r="Q63" i="457"/>
  <c r="P63" i="457"/>
  <c r="O63" i="457"/>
  <c r="N63" i="457"/>
  <c r="M63" i="457"/>
  <c r="L63" i="457"/>
  <c r="J63" i="457"/>
  <c r="I63" i="457"/>
  <c r="H63" i="457"/>
  <c r="G63" i="457"/>
  <c r="F63" i="457"/>
  <c r="E63" i="457"/>
  <c r="D63" i="457"/>
  <c r="Z62" i="457"/>
  <c r="Y62" i="457"/>
  <c r="X62" i="457"/>
  <c r="W62" i="457"/>
  <c r="V62" i="457"/>
  <c r="U62" i="457"/>
  <c r="T62" i="457"/>
  <c r="S62" i="457"/>
  <c r="Q62" i="457"/>
  <c r="P62" i="457"/>
  <c r="O62" i="457"/>
  <c r="N62" i="457"/>
  <c r="M62" i="457"/>
  <c r="L62" i="457"/>
  <c r="J62" i="457"/>
  <c r="I62" i="457"/>
  <c r="H62" i="457"/>
  <c r="G62" i="457"/>
  <c r="F62" i="457"/>
  <c r="E62" i="457"/>
  <c r="D62" i="457"/>
  <c r="Z61" i="457"/>
  <c r="Y61" i="457"/>
  <c r="X61" i="457"/>
  <c r="W61" i="457"/>
  <c r="V61" i="457"/>
  <c r="U61" i="457"/>
  <c r="T61" i="457"/>
  <c r="S61" i="457"/>
  <c r="Q61" i="457"/>
  <c r="P61" i="457"/>
  <c r="O61" i="457"/>
  <c r="N61" i="457"/>
  <c r="M61" i="457"/>
  <c r="L61" i="457"/>
  <c r="J61" i="457"/>
  <c r="I61" i="457"/>
  <c r="H61" i="457"/>
  <c r="G61" i="457"/>
  <c r="F61" i="457"/>
  <c r="E61" i="457"/>
  <c r="D61" i="457"/>
  <c r="AA60" i="457"/>
  <c r="R60" i="457"/>
  <c r="K60" i="457"/>
  <c r="E60" i="457"/>
  <c r="Z59" i="457"/>
  <c r="Y59" i="457"/>
  <c r="X59" i="457"/>
  <c r="W59" i="457"/>
  <c r="V59" i="457"/>
  <c r="U59" i="457"/>
  <c r="T59" i="457"/>
  <c r="S59" i="457"/>
  <c r="Q59" i="457"/>
  <c r="P59" i="457"/>
  <c r="O59" i="457"/>
  <c r="N59" i="457"/>
  <c r="M59" i="457"/>
  <c r="L59" i="457"/>
  <c r="J59" i="457"/>
  <c r="I59" i="457"/>
  <c r="H59" i="457"/>
  <c r="G59" i="457"/>
  <c r="F59" i="457"/>
  <c r="E59" i="457"/>
  <c r="D59" i="457"/>
  <c r="Z58" i="457"/>
  <c r="Y58" i="457"/>
  <c r="X58" i="457"/>
  <c r="W58" i="457"/>
  <c r="V58" i="457"/>
  <c r="U58" i="457"/>
  <c r="T58" i="457"/>
  <c r="S58" i="457"/>
  <c r="Q58" i="457"/>
  <c r="P58" i="457"/>
  <c r="O58" i="457"/>
  <c r="N58" i="457"/>
  <c r="M58" i="457"/>
  <c r="L58" i="457"/>
  <c r="J58" i="457"/>
  <c r="I58" i="457"/>
  <c r="H58" i="457"/>
  <c r="G58" i="457"/>
  <c r="F58" i="457"/>
  <c r="E58" i="457"/>
  <c r="D58" i="457"/>
  <c r="Z57" i="457"/>
  <c r="Y57" i="457"/>
  <c r="X57" i="457"/>
  <c r="W57" i="457"/>
  <c r="V57" i="457"/>
  <c r="U57" i="457"/>
  <c r="T57" i="457"/>
  <c r="S57" i="457"/>
  <c r="Q57" i="457"/>
  <c r="P57" i="457"/>
  <c r="O57" i="457"/>
  <c r="N57" i="457"/>
  <c r="M57" i="457"/>
  <c r="L57" i="457"/>
  <c r="J57" i="457"/>
  <c r="I57" i="457"/>
  <c r="H57" i="457"/>
  <c r="G57" i="457"/>
  <c r="F57" i="457"/>
  <c r="E57" i="457"/>
  <c r="D57" i="457"/>
  <c r="Z56" i="457"/>
  <c r="Y56" i="457"/>
  <c r="X56" i="457"/>
  <c r="W56" i="457"/>
  <c r="V56" i="457"/>
  <c r="U56" i="457"/>
  <c r="T56" i="457"/>
  <c r="S56" i="457"/>
  <c r="Q56" i="457"/>
  <c r="P56" i="457"/>
  <c r="O56" i="457"/>
  <c r="N56" i="457"/>
  <c r="M56" i="457"/>
  <c r="L56" i="457"/>
  <c r="J56" i="457"/>
  <c r="I56" i="457"/>
  <c r="H56" i="457"/>
  <c r="G56" i="457"/>
  <c r="F56" i="457"/>
  <c r="E56" i="457"/>
  <c r="D56" i="457"/>
  <c r="Z55" i="457"/>
  <c r="Y55" i="457"/>
  <c r="X55" i="457"/>
  <c r="W55" i="457"/>
  <c r="V55" i="457"/>
  <c r="U55" i="457"/>
  <c r="T55" i="457"/>
  <c r="S55" i="457"/>
  <c r="Q55" i="457"/>
  <c r="P55" i="457"/>
  <c r="O55" i="457"/>
  <c r="N55" i="457"/>
  <c r="M55" i="457"/>
  <c r="L55" i="457"/>
  <c r="J55" i="457"/>
  <c r="I55" i="457"/>
  <c r="H55" i="457"/>
  <c r="G55" i="457"/>
  <c r="F55" i="457"/>
  <c r="E55" i="457"/>
  <c r="D55" i="457"/>
  <c r="AA54" i="457"/>
  <c r="R54" i="457"/>
  <c r="K54" i="457"/>
  <c r="E54" i="457"/>
  <c r="Z53" i="457"/>
  <c r="Y53" i="457"/>
  <c r="X53" i="457"/>
  <c r="W53" i="457"/>
  <c r="V53" i="457"/>
  <c r="U53" i="457"/>
  <c r="T53" i="457"/>
  <c r="S53" i="457"/>
  <c r="Q53" i="457"/>
  <c r="P53" i="457"/>
  <c r="O53" i="457"/>
  <c r="N53" i="457"/>
  <c r="N52" i="457" s="1"/>
  <c r="M53" i="457"/>
  <c r="L53" i="457"/>
  <c r="J53" i="457"/>
  <c r="I53" i="457"/>
  <c r="H53" i="457"/>
  <c r="G53" i="457"/>
  <c r="F53" i="457"/>
  <c r="F52" i="457" s="1"/>
  <c r="E53" i="457"/>
  <c r="D53" i="457"/>
  <c r="E52" i="457"/>
  <c r="Z51" i="457"/>
  <c r="Y51" i="457"/>
  <c r="X51" i="457"/>
  <c r="W51" i="457"/>
  <c r="V51" i="457"/>
  <c r="U51" i="457"/>
  <c r="T51" i="457"/>
  <c r="S51" i="457"/>
  <c r="Q51" i="457"/>
  <c r="P51" i="457"/>
  <c r="O51" i="457"/>
  <c r="N51" i="457"/>
  <c r="M51" i="457"/>
  <c r="L51" i="457"/>
  <c r="J51" i="457"/>
  <c r="I51" i="457"/>
  <c r="H51" i="457"/>
  <c r="G51" i="457"/>
  <c r="F51" i="457"/>
  <c r="E51" i="457"/>
  <c r="D51" i="457"/>
  <c r="Z50" i="457"/>
  <c r="Y50" i="457"/>
  <c r="X50" i="457"/>
  <c r="W50" i="457"/>
  <c r="V50" i="457"/>
  <c r="U50" i="457"/>
  <c r="T50" i="457"/>
  <c r="S50" i="457"/>
  <c r="Q50" i="457"/>
  <c r="P50" i="457"/>
  <c r="O50" i="457"/>
  <c r="N50" i="457"/>
  <c r="M50" i="457"/>
  <c r="L50" i="457"/>
  <c r="J50" i="457"/>
  <c r="I50" i="457"/>
  <c r="H50" i="457"/>
  <c r="G50" i="457"/>
  <c r="F50" i="457"/>
  <c r="E50" i="457"/>
  <c r="D50" i="457"/>
  <c r="Z49" i="457"/>
  <c r="Y49" i="457"/>
  <c r="X49" i="457"/>
  <c r="W49" i="457"/>
  <c r="V49" i="457"/>
  <c r="U49" i="457"/>
  <c r="T49" i="457"/>
  <c r="S49" i="457"/>
  <c r="Q49" i="457"/>
  <c r="P49" i="457"/>
  <c r="O49" i="457"/>
  <c r="N49" i="457"/>
  <c r="M49" i="457"/>
  <c r="L49" i="457"/>
  <c r="J49" i="457"/>
  <c r="I49" i="457"/>
  <c r="H49" i="457"/>
  <c r="G49" i="457"/>
  <c r="F49" i="457"/>
  <c r="E49" i="457"/>
  <c r="D49" i="457"/>
  <c r="Z48" i="457"/>
  <c r="Y48" i="457"/>
  <c r="X48" i="457"/>
  <c r="W48" i="457"/>
  <c r="V48" i="457"/>
  <c r="U48" i="457"/>
  <c r="T48" i="457"/>
  <c r="S48" i="457"/>
  <c r="Q48" i="457"/>
  <c r="P48" i="457"/>
  <c r="O48" i="457"/>
  <c r="N48" i="457"/>
  <c r="M48" i="457"/>
  <c r="L48" i="457"/>
  <c r="J48" i="457"/>
  <c r="I48" i="457"/>
  <c r="H48" i="457"/>
  <c r="G48" i="457"/>
  <c r="F48" i="457"/>
  <c r="E48" i="457"/>
  <c r="D48" i="457"/>
  <c r="Z47" i="457"/>
  <c r="Y47" i="457"/>
  <c r="X47" i="457"/>
  <c r="W47" i="457"/>
  <c r="V47" i="457"/>
  <c r="U47" i="457"/>
  <c r="T47" i="457"/>
  <c r="S47" i="457"/>
  <c r="Q47" i="457"/>
  <c r="P47" i="457"/>
  <c r="O47" i="457"/>
  <c r="N47" i="457"/>
  <c r="M47" i="457"/>
  <c r="L47" i="457"/>
  <c r="J47" i="457"/>
  <c r="I47" i="457"/>
  <c r="H47" i="457"/>
  <c r="G47" i="457"/>
  <c r="F47" i="457"/>
  <c r="E47" i="457"/>
  <c r="D47" i="457"/>
  <c r="AA46" i="457"/>
  <c r="R46" i="457"/>
  <c r="K46" i="457"/>
  <c r="E46" i="457"/>
  <c r="Z45" i="457"/>
  <c r="Y45" i="457"/>
  <c r="X45" i="457"/>
  <c r="W45" i="457"/>
  <c r="V45" i="457"/>
  <c r="U45" i="457"/>
  <c r="T45" i="457"/>
  <c r="S45" i="457"/>
  <c r="Q45" i="457"/>
  <c r="P45" i="457"/>
  <c r="O45" i="457"/>
  <c r="N45" i="457"/>
  <c r="M45" i="457"/>
  <c r="L45" i="457"/>
  <c r="J45" i="457"/>
  <c r="I45" i="457"/>
  <c r="H45" i="457"/>
  <c r="G45" i="457"/>
  <c r="F45" i="457"/>
  <c r="E45" i="457"/>
  <c r="D45" i="457"/>
  <c r="Z44" i="457"/>
  <c r="Y44" i="457"/>
  <c r="X44" i="457"/>
  <c r="W44" i="457"/>
  <c r="V44" i="457"/>
  <c r="U44" i="457"/>
  <c r="T44" i="457"/>
  <c r="S44" i="457"/>
  <c r="Q44" i="457"/>
  <c r="P44" i="457"/>
  <c r="O44" i="457"/>
  <c r="N44" i="457"/>
  <c r="M44" i="457"/>
  <c r="L44" i="457"/>
  <c r="J44" i="457"/>
  <c r="I44" i="457"/>
  <c r="H44" i="457"/>
  <c r="G44" i="457"/>
  <c r="F44" i="457"/>
  <c r="E44" i="457"/>
  <c r="D44" i="457"/>
  <c r="Z43" i="457"/>
  <c r="Y43" i="457"/>
  <c r="X43" i="457"/>
  <c r="W43" i="457"/>
  <c r="V43" i="457"/>
  <c r="U43" i="457"/>
  <c r="T43" i="457"/>
  <c r="S43" i="457"/>
  <c r="Q43" i="457"/>
  <c r="P43" i="457"/>
  <c r="O43" i="457"/>
  <c r="N43" i="457"/>
  <c r="M43" i="457"/>
  <c r="L43" i="457"/>
  <c r="J43" i="457"/>
  <c r="I43" i="457"/>
  <c r="H43" i="457"/>
  <c r="G43" i="457"/>
  <c r="F43" i="457"/>
  <c r="E43" i="457"/>
  <c r="D43" i="457"/>
  <c r="Z42" i="457"/>
  <c r="Y42" i="457"/>
  <c r="X42" i="457"/>
  <c r="W42" i="457"/>
  <c r="V42" i="457"/>
  <c r="U42" i="457"/>
  <c r="T42" i="457"/>
  <c r="S42" i="457"/>
  <c r="Q42" i="457"/>
  <c r="P42" i="457"/>
  <c r="O42" i="457"/>
  <c r="N42" i="457"/>
  <c r="M42" i="457"/>
  <c r="L42" i="457"/>
  <c r="J42" i="457"/>
  <c r="I42" i="457"/>
  <c r="H42" i="457"/>
  <c r="G42" i="457"/>
  <c r="F42" i="457"/>
  <c r="E42" i="457"/>
  <c r="D42" i="457"/>
  <c r="Z41" i="457"/>
  <c r="Y41" i="457"/>
  <c r="X41" i="457"/>
  <c r="W41" i="457"/>
  <c r="V41" i="457"/>
  <c r="U41" i="457"/>
  <c r="T41" i="457"/>
  <c r="S41" i="457"/>
  <c r="Q41" i="457"/>
  <c r="P41" i="457"/>
  <c r="O41" i="457"/>
  <c r="N41" i="457"/>
  <c r="M41" i="457"/>
  <c r="L41" i="457"/>
  <c r="J41" i="457"/>
  <c r="I41" i="457"/>
  <c r="H41" i="457"/>
  <c r="G41" i="457"/>
  <c r="F41" i="457"/>
  <c r="E41" i="457"/>
  <c r="D41" i="457"/>
  <c r="Z40" i="457"/>
  <c r="Y40" i="457"/>
  <c r="X40" i="457"/>
  <c r="W40" i="457"/>
  <c r="V40" i="457"/>
  <c r="U40" i="457"/>
  <c r="T40" i="457"/>
  <c r="S40" i="457"/>
  <c r="Q40" i="457"/>
  <c r="P40" i="457"/>
  <c r="O40" i="457"/>
  <c r="N40" i="457"/>
  <c r="M40" i="457"/>
  <c r="L40" i="457"/>
  <c r="J40" i="457"/>
  <c r="I40" i="457"/>
  <c r="H40" i="457"/>
  <c r="G40" i="457"/>
  <c r="F40" i="457"/>
  <c r="E40" i="457"/>
  <c r="D40" i="457"/>
  <c r="AA39" i="457"/>
  <c r="R39" i="457"/>
  <c r="E39" i="457"/>
  <c r="K39" i="457" s="1"/>
  <c r="Z38" i="457"/>
  <c r="Y38" i="457"/>
  <c r="X38" i="457"/>
  <c r="W38" i="457"/>
  <c r="V38" i="457"/>
  <c r="U38" i="457"/>
  <c r="T38" i="457"/>
  <c r="S38" i="457"/>
  <c r="Q38" i="457"/>
  <c r="P38" i="457"/>
  <c r="O38" i="457"/>
  <c r="N38" i="457"/>
  <c r="M38" i="457"/>
  <c r="L38" i="457"/>
  <c r="J38" i="457"/>
  <c r="I38" i="457"/>
  <c r="H38" i="457"/>
  <c r="G38" i="457"/>
  <c r="F38" i="457"/>
  <c r="E38" i="457"/>
  <c r="D38" i="457"/>
  <c r="Z37" i="457"/>
  <c r="Y37" i="457"/>
  <c r="X37" i="457"/>
  <c r="W37" i="457"/>
  <c r="V37" i="457"/>
  <c r="U37" i="457"/>
  <c r="T37" i="457"/>
  <c r="S37" i="457"/>
  <c r="Q37" i="457"/>
  <c r="P37" i="457"/>
  <c r="O37" i="457"/>
  <c r="N37" i="457"/>
  <c r="M37" i="457"/>
  <c r="L37" i="457"/>
  <c r="J37" i="457"/>
  <c r="I37" i="457"/>
  <c r="H37" i="457"/>
  <c r="G37" i="457"/>
  <c r="F37" i="457"/>
  <c r="E37" i="457"/>
  <c r="D37" i="457"/>
  <c r="Z36" i="457"/>
  <c r="Y36" i="457"/>
  <c r="X36" i="457"/>
  <c r="W36" i="457"/>
  <c r="V36" i="457"/>
  <c r="U36" i="457"/>
  <c r="T36" i="457"/>
  <c r="S36" i="457"/>
  <c r="Q36" i="457"/>
  <c r="P36" i="457"/>
  <c r="O36" i="457"/>
  <c r="N36" i="457"/>
  <c r="M36" i="457"/>
  <c r="L36" i="457"/>
  <c r="J36" i="457"/>
  <c r="I36" i="457"/>
  <c r="H36" i="457"/>
  <c r="G36" i="457"/>
  <c r="F36" i="457"/>
  <c r="E36" i="457"/>
  <c r="D36" i="457"/>
  <c r="Z35" i="457"/>
  <c r="Y35" i="457"/>
  <c r="X35" i="457"/>
  <c r="W35" i="457"/>
  <c r="V35" i="457"/>
  <c r="U35" i="457"/>
  <c r="T35" i="457"/>
  <c r="S35" i="457"/>
  <c r="Q35" i="457"/>
  <c r="P35" i="457"/>
  <c r="O35" i="457"/>
  <c r="N35" i="457"/>
  <c r="M35" i="457"/>
  <c r="L35" i="457"/>
  <c r="J35" i="457"/>
  <c r="I35" i="457"/>
  <c r="H35" i="457"/>
  <c r="G35" i="457"/>
  <c r="F35" i="457"/>
  <c r="E35" i="457"/>
  <c r="D35" i="457"/>
  <c r="Z34" i="457"/>
  <c r="Y34" i="457"/>
  <c r="X34" i="457"/>
  <c r="W34" i="457"/>
  <c r="V34" i="457"/>
  <c r="U34" i="457"/>
  <c r="T34" i="457"/>
  <c r="S34" i="457"/>
  <c r="Q34" i="457"/>
  <c r="P34" i="457"/>
  <c r="O34" i="457"/>
  <c r="N34" i="457"/>
  <c r="M34" i="457"/>
  <c r="L34" i="457"/>
  <c r="J34" i="457"/>
  <c r="I34" i="457"/>
  <c r="H34" i="457"/>
  <c r="G34" i="457"/>
  <c r="F34" i="457"/>
  <c r="E34" i="457"/>
  <c r="D34" i="457"/>
  <c r="Z33" i="457"/>
  <c r="Y33" i="457"/>
  <c r="X33" i="457"/>
  <c r="W33" i="457"/>
  <c r="V33" i="457"/>
  <c r="U33" i="457"/>
  <c r="T33" i="457"/>
  <c r="S33" i="457"/>
  <c r="Q33" i="457"/>
  <c r="P33" i="457"/>
  <c r="O33" i="457"/>
  <c r="N33" i="457"/>
  <c r="M33" i="457"/>
  <c r="L33" i="457"/>
  <c r="J33" i="457"/>
  <c r="I33" i="457"/>
  <c r="H33" i="457"/>
  <c r="G33" i="457"/>
  <c r="F33" i="457"/>
  <c r="E33" i="457"/>
  <c r="D33" i="457"/>
  <c r="AA32" i="457"/>
  <c r="R32" i="457"/>
  <c r="K32" i="457"/>
  <c r="E32" i="457"/>
  <c r="Z31" i="457"/>
  <c r="Y31" i="457"/>
  <c r="X31" i="457"/>
  <c r="W31" i="457"/>
  <c r="V31" i="457"/>
  <c r="U31" i="457"/>
  <c r="T31" i="457"/>
  <c r="S31" i="457"/>
  <c r="Q31" i="457"/>
  <c r="P31" i="457"/>
  <c r="O31" i="457"/>
  <c r="N31" i="457"/>
  <c r="M31" i="457"/>
  <c r="L31" i="457"/>
  <c r="J31" i="457"/>
  <c r="I31" i="457"/>
  <c r="H31" i="457"/>
  <c r="G31" i="457"/>
  <c r="F31" i="457"/>
  <c r="E31" i="457"/>
  <c r="D31" i="457"/>
  <c r="E30" i="457"/>
  <c r="Z29" i="457"/>
  <c r="Y29" i="457"/>
  <c r="X29" i="457"/>
  <c r="W29" i="457"/>
  <c r="V29" i="457"/>
  <c r="U29" i="457"/>
  <c r="T29" i="457"/>
  <c r="S29" i="457"/>
  <c r="Q29" i="457"/>
  <c r="P29" i="457"/>
  <c r="O29" i="457"/>
  <c r="N29" i="457"/>
  <c r="M29" i="457"/>
  <c r="L29" i="457"/>
  <c r="J29" i="457"/>
  <c r="I29" i="457"/>
  <c r="H29" i="457"/>
  <c r="G29" i="457"/>
  <c r="F29" i="457"/>
  <c r="E29" i="457"/>
  <c r="D29" i="457"/>
  <c r="Z28" i="457"/>
  <c r="Y28" i="457"/>
  <c r="X28" i="457"/>
  <c r="W28" i="457"/>
  <c r="V28" i="457"/>
  <c r="U28" i="457"/>
  <c r="T28" i="457"/>
  <c r="S28" i="457"/>
  <c r="Q28" i="457"/>
  <c r="P28" i="457"/>
  <c r="O28" i="457"/>
  <c r="N28" i="457"/>
  <c r="M28" i="457"/>
  <c r="L28" i="457"/>
  <c r="J28" i="457"/>
  <c r="I28" i="457"/>
  <c r="H28" i="457"/>
  <c r="G28" i="457"/>
  <c r="F28" i="457"/>
  <c r="E28" i="457"/>
  <c r="D28" i="457"/>
  <c r="Z27" i="457"/>
  <c r="Y27" i="457"/>
  <c r="X27" i="457"/>
  <c r="W27" i="457"/>
  <c r="V27" i="457"/>
  <c r="U27" i="457"/>
  <c r="T27" i="457"/>
  <c r="S27" i="457"/>
  <c r="Q27" i="457"/>
  <c r="P27" i="457"/>
  <c r="O27" i="457"/>
  <c r="N27" i="457"/>
  <c r="M27" i="457"/>
  <c r="L27" i="457"/>
  <c r="J27" i="457"/>
  <c r="I27" i="457"/>
  <c r="H27" i="457"/>
  <c r="G27" i="457"/>
  <c r="F27" i="457"/>
  <c r="E27" i="457"/>
  <c r="D27" i="457"/>
  <c r="Z26" i="457"/>
  <c r="Y26" i="457"/>
  <c r="X26" i="457"/>
  <c r="W26" i="457"/>
  <c r="V26" i="457"/>
  <c r="U26" i="457"/>
  <c r="T26" i="457"/>
  <c r="S26" i="457"/>
  <c r="Q26" i="457"/>
  <c r="P26" i="457"/>
  <c r="O26" i="457"/>
  <c r="N26" i="457"/>
  <c r="M26" i="457"/>
  <c r="L26" i="457"/>
  <c r="J26" i="457"/>
  <c r="I26" i="457"/>
  <c r="H26" i="457"/>
  <c r="G26" i="457"/>
  <c r="F26" i="457"/>
  <c r="E26" i="457"/>
  <c r="D26" i="457"/>
  <c r="Z25" i="457"/>
  <c r="Y25" i="457"/>
  <c r="X25" i="457"/>
  <c r="W25" i="457"/>
  <c r="V25" i="457"/>
  <c r="U25" i="457"/>
  <c r="T25" i="457"/>
  <c r="S25" i="457"/>
  <c r="Q25" i="457"/>
  <c r="P25" i="457"/>
  <c r="O25" i="457"/>
  <c r="N25" i="457"/>
  <c r="M25" i="457"/>
  <c r="L25" i="457"/>
  <c r="J25" i="457"/>
  <c r="I25" i="457"/>
  <c r="H25" i="457"/>
  <c r="G25" i="457"/>
  <c r="F25" i="457"/>
  <c r="E25" i="457"/>
  <c r="D25" i="457"/>
  <c r="Z24" i="457"/>
  <c r="Y24" i="457"/>
  <c r="X24" i="457"/>
  <c r="W24" i="457"/>
  <c r="V24" i="457"/>
  <c r="U24" i="457"/>
  <c r="T24" i="457"/>
  <c r="S24" i="457"/>
  <c r="Q24" i="457"/>
  <c r="P24" i="457"/>
  <c r="O24" i="457"/>
  <c r="N24" i="457"/>
  <c r="M24" i="457"/>
  <c r="L24" i="457"/>
  <c r="J24" i="457"/>
  <c r="I24" i="457"/>
  <c r="H24" i="457"/>
  <c r="G24" i="457"/>
  <c r="F24" i="457"/>
  <c r="E24" i="457"/>
  <c r="D24" i="457"/>
  <c r="AA23" i="457"/>
  <c r="R23" i="457"/>
  <c r="E23" i="457"/>
  <c r="K23" i="457" s="1"/>
  <c r="Z22" i="457"/>
  <c r="Y22" i="457"/>
  <c r="X22" i="457"/>
  <c r="W22" i="457"/>
  <c r="V22" i="457"/>
  <c r="U22" i="457"/>
  <c r="T22" i="457"/>
  <c r="S22" i="457"/>
  <c r="Q22" i="457"/>
  <c r="P22" i="457"/>
  <c r="O22" i="457"/>
  <c r="N22" i="457"/>
  <c r="M22" i="457"/>
  <c r="L22" i="457"/>
  <c r="J22" i="457"/>
  <c r="I22" i="457"/>
  <c r="H22" i="457"/>
  <c r="G22" i="457"/>
  <c r="F22" i="457"/>
  <c r="E22" i="457"/>
  <c r="D22" i="457"/>
  <c r="Z21" i="457"/>
  <c r="Y21" i="457"/>
  <c r="X21" i="457"/>
  <c r="W21" i="457"/>
  <c r="V21" i="457"/>
  <c r="U21" i="457"/>
  <c r="T21" i="457"/>
  <c r="S21" i="457"/>
  <c r="Q21" i="457"/>
  <c r="P21" i="457"/>
  <c r="O21" i="457"/>
  <c r="N21" i="457"/>
  <c r="M21" i="457"/>
  <c r="L21" i="457"/>
  <c r="J21" i="457"/>
  <c r="I21" i="457"/>
  <c r="H21" i="457"/>
  <c r="G21" i="457"/>
  <c r="F21" i="457"/>
  <c r="E21" i="457"/>
  <c r="D21" i="457"/>
  <c r="Z20" i="457"/>
  <c r="Y20" i="457"/>
  <c r="X20" i="457"/>
  <c r="W20" i="457"/>
  <c r="V20" i="457"/>
  <c r="U20" i="457"/>
  <c r="T20" i="457"/>
  <c r="S20" i="457"/>
  <c r="Q20" i="457"/>
  <c r="P20" i="457"/>
  <c r="O20" i="457"/>
  <c r="N20" i="457"/>
  <c r="M20" i="457"/>
  <c r="L20" i="457"/>
  <c r="J20" i="457"/>
  <c r="I20" i="457"/>
  <c r="H20" i="457"/>
  <c r="G20" i="457"/>
  <c r="F20" i="457"/>
  <c r="E20" i="457"/>
  <c r="D20" i="457"/>
  <c r="Z19" i="457"/>
  <c r="Y19" i="457"/>
  <c r="X19" i="457"/>
  <c r="W19" i="457"/>
  <c r="V19" i="457"/>
  <c r="U19" i="457"/>
  <c r="T19" i="457"/>
  <c r="S19" i="457"/>
  <c r="Q19" i="457"/>
  <c r="P19" i="457"/>
  <c r="O19" i="457"/>
  <c r="N19" i="457"/>
  <c r="M19" i="457"/>
  <c r="L19" i="457"/>
  <c r="J19" i="457"/>
  <c r="I19" i="457"/>
  <c r="H19" i="457"/>
  <c r="G19" i="457"/>
  <c r="F19" i="457"/>
  <c r="E19" i="457"/>
  <c r="D19" i="457"/>
  <c r="Z18" i="457"/>
  <c r="Y18" i="457"/>
  <c r="X18" i="457"/>
  <c r="W18" i="457"/>
  <c r="V18" i="457"/>
  <c r="U18" i="457"/>
  <c r="T18" i="457"/>
  <c r="S18" i="457"/>
  <c r="Q18" i="457"/>
  <c r="P18" i="457"/>
  <c r="O18" i="457"/>
  <c r="N18" i="457"/>
  <c r="M18" i="457"/>
  <c r="L18" i="457"/>
  <c r="J18" i="457"/>
  <c r="I18" i="457"/>
  <c r="H18" i="457"/>
  <c r="G18" i="457"/>
  <c r="F18" i="457"/>
  <c r="E18" i="457"/>
  <c r="D18" i="457"/>
  <c r="Z17" i="457"/>
  <c r="Y17" i="457"/>
  <c r="X17" i="457"/>
  <c r="W17" i="457"/>
  <c r="V17" i="457"/>
  <c r="U17" i="457"/>
  <c r="T17" i="457"/>
  <c r="S17" i="457"/>
  <c r="Q17" i="457"/>
  <c r="P17" i="457"/>
  <c r="O17" i="457"/>
  <c r="N17" i="457"/>
  <c r="M17" i="457"/>
  <c r="L17" i="457"/>
  <c r="J17" i="457"/>
  <c r="I17" i="457"/>
  <c r="H17" i="457"/>
  <c r="G17" i="457"/>
  <c r="F17" i="457"/>
  <c r="E17" i="457"/>
  <c r="D17" i="457"/>
  <c r="AA16" i="457"/>
  <c r="R16" i="457"/>
  <c r="K16" i="457"/>
  <c r="E16" i="457"/>
  <c r="Z15" i="457"/>
  <c r="Z14" i="457" s="1"/>
  <c r="Y15" i="457"/>
  <c r="Y14" i="457" s="1"/>
  <c r="X15" i="457"/>
  <c r="X14" i="457" s="1"/>
  <c r="W15" i="457"/>
  <c r="W14" i="457" s="1"/>
  <c r="V15" i="457"/>
  <c r="U15" i="457"/>
  <c r="U14" i="457" s="1"/>
  <c r="T15" i="457"/>
  <c r="T14" i="457" s="1"/>
  <c r="S15" i="457"/>
  <c r="Q15" i="457"/>
  <c r="Q14" i="457" s="1"/>
  <c r="P15" i="457"/>
  <c r="P14" i="457" s="1"/>
  <c r="O15" i="457"/>
  <c r="O14" i="457" s="1"/>
  <c r="N15" i="457"/>
  <c r="N14" i="457" s="1"/>
  <c r="M15" i="457"/>
  <c r="M14" i="457" s="1"/>
  <c r="L15" i="457"/>
  <c r="J15" i="457"/>
  <c r="J14" i="457" s="1"/>
  <c r="I15" i="457"/>
  <c r="I14" i="457" s="1"/>
  <c r="H15" i="457"/>
  <c r="H14" i="457" s="1"/>
  <c r="G15" i="457"/>
  <c r="G14" i="457" s="1"/>
  <c r="F15" i="457"/>
  <c r="F14" i="457" s="1"/>
  <c r="E15" i="457"/>
  <c r="D15" i="457"/>
  <c r="V14" i="457"/>
  <c r="E14" i="457"/>
  <c r="E13" i="457"/>
  <c r="E12" i="457"/>
  <c r="E11" i="457"/>
  <c r="E817" i="457" s="1"/>
  <c r="AB204" i="457" l="1"/>
  <c r="AB266" i="457"/>
  <c r="K290" i="457"/>
  <c r="AB291" i="457"/>
  <c r="AB292" i="457"/>
  <c r="AB324" i="457"/>
  <c r="AB332" i="457"/>
  <c r="AB340" i="457"/>
  <c r="AC340" i="457" s="1"/>
  <c r="AB373" i="457"/>
  <c r="AB380" i="457"/>
  <c r="AB388" i="457"/>
  <c r="AB389" i="457"/>
  <c r="AB396" i="457"/>
  <c r="AB397" i="457"/>
  <c r="AC421" i="457"/>
  <c r="AB437" i="457"/>
  <c r="AB443" i="457"/>
  <c r="AB459" i="457"/>
  <c r="AB475" i="457"/>
  <c r="AB479" i="457"/>
  <c r="AC479" i="457" s="1"/>
  <c r="AB505" i="457"/>
  <c r="AB523" i="457"/>
  <c r="AB525" i="457"/>
  <c r="AC525" i="457" s="1"/>
  <c r="AB527" i="457"/>
  <c r="AC527" i="457" s="1"/>
  <c r="AB531" i="457"/>
  <c r="AB533" i="457"/>
  <c r="AB600" i="457"/>
  <c r="AB747" i="457"/>
  <c r="AC747" i="457" s="1"/>
  <c r="AB843" i="457"/>
  <c r="AC843" i="457" s="1"/>
  <c r="AB895" i="457"/>
  <c r="AB952" i="457"/>
  <c r="Z1120" i="457"/>
  <c r="Z1111" i="457" s="1"/>
  <c r="Z1135" i="457" s="1"/>
  <c r="AB16" i="457"/>
  <c r="O354" i="457"/>
  <c r="AB825" i="457"/>
  <c r="I861" i="457"/>
  <c r="I851" i="457" s="1"/>
  <c r="AB867" i="457"/>
  <c r="J861" i="457"/>
  <c r="AB890" i="457"/>
  <c r="X953" i="457"/>
  <c r="V953" i="457"/>
  <c r="N981" i="457"/>
  <c r="N980" i="457" s="1"/>
  <c r="AB1009" i="457"/>
  <c r="AB1025" i="457"/>
  <c r="AC1025" i="457" s="1"/>
  <c r="AB23" i="457"/>
  <c r="AB32" i="457"/>
  <c r="AB67" i="457"/>
  <c r="K117" i="457"/>
  <c r="AB126" i="457"/>
  <c r="AB256" i="457"/>
  <c r="AB552" i="457"/>
  <c r="AB639" i="457"/>
  <c r="AC639" i="457" s="1"/>
  <c r="AB647" i="457"/>
  <c r="AB655" i="457"/>
  <c r="AB663" i="457"/>
  <c r="AB670" i="457"/>
  <c r="AB787" i="457"/>
  <c r="AB960" i="457"/>
  <c r="AB969" i="457"/>
  <c r="AB999" i="457"/>
  <c r="AC999" i="457" s="1"/>
  <c r="AB1021" i="457"/>
  <c r="AC1021" i="457" s="1"/>
  <c r="AB1034" i="457"/>
  <c r="AB1039" i="457"/>
  <c r="AB1066" i="457"/>
  <c r="AC1066" i="457" s="1"/>
  <c r="AB1071" i="457"/>
  <c r="AB1085" i="457"/>
  <c r="AB1101" i="457"/>
  <c r="AB118" i="457"/>
  <c r="AC118" i="457" s="1"/>
  <c r="D354" i="457"/>
  <c r="V354" i="457"/>
  <c r="AC373" i="457"/>
  <c r="AC380" i="457"/>
  <c r="R532" i="457"/>
  <c r="AB595" i="457"/>
  <c r="AC890" i="457"/>
  <c r="AB898" i="457"/>
  <c r="F928" i="457"/>
  <c r="O928" i="457"/>
  <c r="AB958" i="457"/>
  <c r="AC958" i="457" s="1"/>
  <c r="AB1052" i="457"/>
  <c r="AC1101" i="457"/>
  <c r="I981" i="457"/>
  <c r="I980" i="457" s="1"/>
  <c r="M354" i="457"/>
  <c r="Z354" i="457"/>
  <c r="AB374" i="457"/>
  <c r="AC374" i="457" s="1"/>
  <c r="G52" i="457"/>
  <c r="G30" i="457" s="1"/>
  <c r="G13" i="457" s="1"/>
  <c r="P52" i="457"/>
  <c r="AA65" i="457"/>
  <c r="K70" i="457"/>
  <c r="K524" i="457"/>
  <c r="K530" i="457"/>
  <c r="K532" i="457"/>
  <c r="AB535" i="457"/>
  <c r="AC535" i="457" s="1"/>
  <c r="AB539" i="457"/>
  <c r="AC539" i="457" s="1"/>
  <c r="AB541" i="457"/>
  <c r="AB583" i="457"/>
  <c r="AB715" i="457"/>
  <c r="AC715" i="457" s="1"/>
  <c r="P861" i="457"/>
  <c r="P851" i="457" s="1"/>
  <c r="P835" i="457" s="1"/>
  <c r="P822" i="457" s="1"/>
  <c r="AB912" i="457"/>
  <c r="AB923" i="457"/>
  <c r="AB944" i="457"/>
  <c r="AC944" i="457" s="1"/>
  <c r="W953" i="457"/>
  <c r="N1002" i="457"/>
  <c r="N1001" i="457" s="1"/>
  <c r="W1002" i="457"/>
  <c r="W1001" i="457" s="1"/>
  <c r="V1016" i="457"/>
  <c r="V1015" i="457" s="1"/>
  <c r="Z1016" i="457"/>
  <c r="Z1015" i="457" s="1"/>
  <c r="S1016" i="457"/>
  <c r="S1015" i="457" s="1"/>
  <c r="AB1026" i="457"/>
  <c r="AC1026" i="457" s="1"/>
  <c r="AB1042" i="457"/>
  <c r="AC1042" i="457" s="1"/>
  <c r="AB1074" i="457"/>
  <c r="AC1074" i="457" s="1"/>
  <c r="Z953" i="457"/>
  <c r="W1120" i="457"/>
  <c r="W1111" i="457" s="1"/>
  <c r="W1135" i="457" s="1"/>
  <c r="H354" i="457"/>
  <c r="Q354" i="457"/>
  <c r="AC459" i="457"/>
  <c r="K473" i="457"/>
  <c r="U52" i="457"/>
  <c r="R70" i="457"/>
  <c r="E1136" i="457"/>
  <c r="I52" i="457"/>
  <c r="AB351" i="457"/>
  <c r="AC351" i="457" s="1"/>
  <c r="AB622" i="457"/>
  <c r="AB634" i="457"/>
  <c r="AB641" i="457"/>
  <c r="AB649" i="457"/>
  <c r="AC649" i="457" s="1"/>
  <c r="AB657" i="457"/>
  <c r="AB664" i="457"/>
  <c r="AB665" i="457"/>
  <c r="AC665" i="457" s="1"/>
  <c r="AB674" i="457"/>
  <c r="AC674" i="457" s="1"/>
  <c r="AB690" i="457"/>
  <c r="AB691" i="457"/>
  <c r="AB692" i="457"/>
  <c r="AC692" i="457" s="1"/>
  <c r="AB699" i="457"/>
  <c r="AC699" i="457" s="1"/>
  <c r="Z758" i="457"/>
  <c r="AB791" i="457"/>
  <c r="AB809" i="457"/>
  <c r="AC809" i="457" s="1"/>
  <c r="D853" i="457"/>
  <c r="D852" i="457" s="1"/>
  <c r="AB935" i="457"/>
  <c r="AB943" i="457"/>
  <c r="AB950" i="457"/>
  <c r="AC950" i="457" s="1"/>
  <c r="I953" i="457"/>
  <c r="AB983" i="457"/>
  <c r="V981" i="457"/>
  <c r="V980" i="457" s="1"/>
  <c r="Z981" i="457"/>
  <c r="Z980" i="457" s="1"/>
  <c r="AB1032" i="457"/>
  <c r="AC1032" i="457" s="1"/>
  <c r="AB1044" i="457"/>
  <c r="AC1064" i="457"/>
  <c r="AB1076" i="457"/>
  <c r="AC1076" i="457" s="1"/>
  <c r="AC541" i="457"/>
  <c r="AA515" i="457"/>
  <c r="U617" i="457"/>
  <c r="U612" i="457" s="1"/>
  <c r="U611" i="457" s="1"/>
  <c r="AB705" i="457"/>
  <c r="AC705" i="457" s="1"/>
  <c r="F1120" i="457"/>
  <c r="AC256" i="457"/>
  <c r="AB352" i="457"/>
  <c r="AC352" i="457" s="1"/>
  <c r="AB404" i="457"/>
  <c r="AC404" i="457" s="1"/>
  <c r="AB449" i="457"/>
  <c r="AC449" i="457" s="1"/>
  <c r="AC505" i="457"/>
  <c r="AA517" i="457"/>
  <c r="AB629" i="457"/>
  <c r="AC32" i="457"/>
  <c r="AA34" i="457"/>
  <c r="K35" i="457"/>
  <c r="K38" i="457"/>
  <c r="R38" i="457"/>
  <c r="AA38" i="457"/>
  <c r="R50" i="457"/>
  <c r="AB50" i="457" s="1"/>
  <c r="W52" i="457"/>
  <c r="AB205" i="457"/>
  <c r="AC205" i="457" s="1"/>
  <c r="K226" i="457"/>
  <c r="AB253" i="457"/>
  <c r="AC253" i="457" s="1"/>
  <c r="AB272" i="457"/>
  <c r="AC272" i="457" s="1"/>
  <c r="AB274" i="457"/>
  <c r="AB288" i="457"/>
  <c r="AB296" i="457"/>
  <c r="AB305" i="457"/>
  <c r="AB306" i="457"/>
  <c r="AB312" i="457"/>
  <c r="AB313" i="457"/>
  <c r="AB314" i="457"/>
  <c r="AB320" i="457"/>
  <c r="AB327" i="457"/>
  <c r="AB334" i="457"/>
  <c r="AC334" i="457" s="1"/>
  <c r="T354" i="457"/>
  <c r="AB356" i="457"/>
  <c r="AC356" i="457" s="1"/>
  <c r="AB359" i="457"/>
  <c r="AC359" i="457" s="1"/>
  <c r="AB360" i="457"/>
  <c r="AC360" i="457" s="1"/>
  <c r="U354" i="457"/>
  <c r="AB377" i="457"/>
  <c r="AC377" i="457" s="1"/>
  <c r="AB385" i="457"/>
  <c r="AC385" i="457" s="1"/>
  <c r="AB393" i="457"/>
  <c r="AC393" i="457" s="1"/>
  <c r="AB394" i="457"/>
  <c r="AB402" i="457"/>
  <c r="AB409" i="457"/>
  <c r="AC409" i="457" s="1"/>
  <c r="AB445" i="457"/>
  <c r="AC445" i="457" s="1"/>
  <c r="AB447" i="457"/>
  <c r="AB451" i="457"/>
  <c r="AC451" i="457" s="1"/>
  <c r="AB457" i="457"/>
  <c r="AC457" i="457" s="1"/>
  <c r="AB463" i="457"/>
  <c r="AC463" i="457" s="1"/>
  <c r="AB467" i="457"/>
  <c r="K487" i="457"/>
  <c r="R490" i="457"/>
  <c r="AB492" i="457"/>
  <c r="AC492" i="457" s="1"/>
  <c r="AB498" i="457"/>
  <c r="AC498" i="457" s="1"/>
  <c r="AB499" i="457"/>
  <c r="AC499" i="457" s="1"/>
  <c r="AB504" i="457"/>
  <c r="AC504" i="457" s="1"/>
  <c r="AB512" i="457"/>
  <c r="AB514" i="457"/>
  <c r="AB516" i="457"/>
  <c r="AB518" i="457"/>
  <c r="AC518" i="457" s="1"/>
  <c r="AB520" i="457"/>
  <c r="AC520" i="457" s="1"/>
  <c r="AB522" i="457"/>
  <c r="AB757" i="457"/>
  <c r="AC757" i="457" s="1"/>
  <c r="AB777" i="457"/>
  <c r="AC787" i="457"/>
  <c r="AB316" i="457"/>
  <c r="AC336" i="457"/>
  <c r="AC411" i="457"/>
  <c r="AB465" i="457"/>
  <c r="AC465" i="457" s="1"/>
  <c r="G480" i="457"/>
  <c r="S605" i="457"/>
  <c r="Y617" i="457"/>
  <c r="Y612" i="457" s="1"/>
  <c r="Y611" i="457" s="1"/>
  <c r="R31" i="457"/>
  <c r="K34" i="457"/>
  <c r="R34" i="457"/>
  <c r="AB34" i="457" s="1"/>
  <c r="AC34" i="457" s="1"/>
  <c r="R18" i="457"/>
  <c r="AB39" i="457"/>
  <c r="AC39" i="457" s="1"/>
  <c r="J52" i="457"/>
  <c r="O52" i="457"/>
  <c r="O30" i="457" s="1"/>
  <c r="O13" i="457" s="1"/>
  <c r="T52" i="457"/>
  <c r="X52" i="457"/>
  <c r="K84" i="457"/>
  <c r="AB87" i="457"/>
  <c r="AC87" i="457" s="1"/>
  <c r="R93" i="457"/>
  <c r="AB95" i="457"/>
  <c r="K111" i="457"/>
  <c r="K115" i="457"/>
  <c r="AB116" i="457"/>
  <c r="AC116" i="457" s="1"/>
  <c r="AC209" i="457"/>
  <c r="AB214" i="457"/>
  <c r="AB310" i="457"/>
  <c r="AB367" i="457"/>
  <c r="AB383" i="457"/>
  <c r="AB391" i="457"/>
  <c r="AB399" i="457"/>
  <c r="AC399" i="457" s="1"/>
  <c r="K432" i="457"/>
  <c r="AB477" i="457"/>
  <c r="AC477" i="457" s="1"/>
  <c r="AB489" i="457"/>
  <c r="AC489" i="457" s="1"/>
  <c r="AB491" i="457"/>
  <c r="AB495" i="457"/>
  <c r="AC495" i="457" s="1"/>
  <c r="AB497" i="457"/>
  <c r="AB503" i="457"/>
  <c r="AC503" i="457" s="1"/>
  <c r="AB509" i="457"/>
  <c r="AB511" i="457"/>
  <c r="AC511" i="457" s="1"/>
  <c r="AB558" i="457"/>
  <c r="AC558" i="457" s="1"/>
  <c r="AA561" i="457"/>
  <c r="K563" i="457"/>
  <c r="R565" i="457"/>
  <c r="AB566" i="457"/>
  <c r="AC566" i="457" s="1"/>
  <c r="AA569" i="457"/>
  <c r="AB728" i="457"/>
  <c r="AC728" i="457" s="1"/>
  <c r="AB736" i="457"/>
  <c r="AC736" i="457" s="1"/>
  <c r="AB744" i="457"/>
  <c r="AC744" i="457" s="1"/>
  <c r="AB906" i="457"/>
  <c r="AC1052" i="457"/>
  <c r="AB845" i="457"/>
  <c r="AB888" i="457"/>
  <c r="AC888" i="457" s="1"/>
  <c r="AB900" i="457"/>
  <c r="K955" i="457"/>
  <c r="U981" i="457"/>
  <c r="U980" i="457" s="1"/>
  <c r="Y981" i="457"/>
  <c r="Y980" i="457" s="1"/>
  <c r="AB991" i="457"/>
  <c r="AC991" i="457" s="1"/>
  <c r="AB994" i="457"/>
  <c r="AC994" i="457" s="1"/>
  <c r="O1002" i="457"/>
  <c r="O1001" i="457" s="1"/>
  <c r="O1000" i="457" s="1"/>
  <c r="AB1037" i="457"/>
  <c r="AC1037" i="457" s="1"/>
  <c r="AB1038" i="457"/>
  <c r="AB1043" i="457"/>
  <c r="AC1043" i="457" s="1"/>
  <c r="AB1048" i="457"/>
  <c r="AC1048" i="457" s="1"/>
  <c r="AB1053" i="457"/>
  <c r="AB1055" i="457"/>
  <c r="AB1059" i="457"/>
  <c r="AC1059" i="457" s="1"/>
  <c r="AB1069" i="457"/>
  <c r="AC1069" i="457" s="1"/>
  <c r="AB1070" i="457"/>
  <c r="AC1070" i="457" s="1"/>
  <c r="AB1075" i="457"/>
  <c r="AB1091" i="457"/>
  <c r="G1120" i="457"/>
  <c r="G1111" i="457" s="1"/>
  <c r="G1135" i="457" s="1"/>
  <c r="P1120" i="457"/>
  <c r="U1120" i="457"/>
  <c r="Y1120" i="457"/>
  <c r="Y1111" i="457" s="1"/>
  <c r="Y1135" i="457" s="1"/>
  <c r="AB1124" i="457"/>
  <c r="AC1124" i="457" s="1"/>
  <c r="X1120" i="457"/>
  <c r="X1111" i="457" s="1"/>
  <c r="X1135" i="457" s="1"/>
  <c r="AB1133" i="457"/>
  <c r="AB579" i="457"/>
  <c r="AC579" i="457" s="1"/>
  <c r="AB581" i="457"/>
  <c r="AC581" i="457" s="1"/>
  <c r="R592" i="457"/>
  <c r="AC607" i="457"/>
  <c r="S697" i="457"/>
  <c r="S696" i="457" s="1"/>
  <c r="S745" i="457"/>
  <c r="S723" i="457" s="1"/>
  <c r="S722" i="457" s="1"/>
  <c r="S721" i="457" s="1"/>
  <c r="AC784" i="457"/>
  <c r="AB789" i="457"/>
  <c r="Z861" i="457"/>
  <c r="Z851" i="457" s="1"/>
  <c r="Z835" i="457" s="1"/>
  <c r="Z822" i="457" s="1"/>
  <c r="AB881" i="457"/>
  <c r="AC898" i="457"/>
  <c r="Q884" i="457"/>
  <c r="V884" i="457"/>
  <c r="Z884" i="457"/>
  <c r="AB925" i="457"/>
  <c r="AB970" i="457"/>
  <c r="AC970" i="457" s="1"/>
  <c r="Y1016" i="457"/>
  <c r="Y1015" i="457" s="1"/>
  <c r="H1120" i="457"/>
  <c r="K571" i="457"/>
  <c r="R573" i="457"/>
  <c r="AB574" i="457"/>
  <c r="AC574" i="457" s="1"/>
  <c r="L577" i="457"/>
  <c r="P577" i="457"/>
  <c r="U577" i="457"/>
  <c r="AB591" i="457"/>
  <c r="AC591" i="457" s="1"/>
  <c r="AB676" i="457"/>
  <c r="AB684" i="457"/>
  <c r="AB693" i="457"/>
  <c r="AC693" i="457" s="1"/>
  <c r="AB711" i="457"/>
  <c r="AC711" i="457" s="1"/>
  <c r="H745" i="457"/>
  <c r="V745" i="457"/>
  <c r="Z745" i="457"/>
  <c r="Z723" i="457" s="1"/>
  <c r="Z722" i="457" s="1"/>
  <c r="Z721" i="457" s="1"/>
  <c r="Z720" i="457" s="1"/>
  <c r="Z719" i="457" s="1"/>
  <c r="L745" i="457"/>
  <c r="P745" i="457"/>
  <c r="U745" i="457"/>
  <c r="AB750" i="457"/>
  <c r="AC750" i="457" s="1"/>
  <c r="U758" i="457"/>
  <c r="J758" i="457"/>
  <c r="S758" i="457"/>
  <c r="W758" i="457"/>
  <c r="V758" i="457"/>
  <c r="AB768" i="457"/>
  <c r="AB779" i="457"/>
  <c r="AB785" i="457"/>
  <c r="AC785" i="457" s="1"/>
  <c r="AB795" i="457"/>
  <c r="AC795" i="457" s="1"/>
  <c r="AB796" i="457"/>
  <c r="AC796" i="457" s="1"/>
  <c r="AB799" i="457"/>
  <c r="AB801" i="457"/>
  <c r="AC801" i="457" s="1"/>
  <c r="N861" i="457"/>
  <c r="N851" i="457" s="1"/>
  <c r="N835" i="457" s="1"/>
  <c r="W861" i="457"/>
  <c r="W851" i="457" s="1"/>
  <c r="T884" i="457"/>
  <c r="J884" i="457"/>
  <c r="AB930" i="457"/>
  <c r="AC930" i="457" s="1"/>
  <c r="AB931" i="457"/>
  <c r="G928" i="457"/>
  <c r="AB968" i="457"/>
  <c r="AC968" i="457" s="1"/>
  <c r="AB974" i="457"/>
  <c r="AC974" i="457" s="1"/>
  <c r="AB984" i="457"/>
  <c r="AC984" i="457" s="1"/>
  <c r="AB986" i="457"/>
  <c r="AB998" i="457"/>
  <c r="AC998" i="457" s="1"/>
  <c r="U1016" i="457"/>
  <c r="U1015" i="457" s="1"/>
  <c r="AB1019" i="457"/>
  <c r="AB1024" i="457"/>
  <c r="AB1035" i="457"/>
  <c r="AC1035" i="457" s="1"/>
  <c r="AB1045" i="457"/>
  <c r="AB1046" i="457"/>
  <c r="AB1067" i="457"/>
  <c r="AB1077" i="457"/>
  <c r="AC1077" i="457" s="1"/>
  <c r="AB1079" i="457"/>
  <c r="AB1086" i="457"/>
  <c r="AC1086" i="457" s="1"/>
  <c r="AB1087" i="457"/>
  <c r="AB1095" i="457"/>
  <c r="AC1095" i="457" s="1"/>
  <c r="AB1102" i="457"/>
  <c r="AC1102" i="457" s="1"/>
  <c r="O1120" i="457"/>
  <c r="AC16" i="457"/>
  <c r="K18" i="457"/>
  <c r="R19" i="457"/>
  <c r="AB19" i="457" s="1"/>
  <c r="AA21" i="457"/>
  <c r="K26" i="457"/>
  <c r="R26" i="457"/>
  <c r="AA26" i="457"/>
  <c r="K27" i="457"/>
  <c r="AA50" i="457"/>
  <c r="K51" i="457"/>
  <c r="K53" i="457"/>
  <c r="H52" i="457"/>
  <c r="M52" i="457"/>
  <c r="Q52" i="457"/>
  <c r="Q30" i="457" s="1"/>
  <c r="Q13" i="457" s="1"/>
  <c r="V52" i="457"/>
  <c r="V30" i="457" s="1"/>
  <c r="V13" i="457" s="1"/>
  <c r="V12" i="457" s="1"/>
  <c r="Z52" i="457"/>
  <c r="R55" i="457"/>
  <c r="AA57" i="457"/>
  <c r="R59" i="457"/>
  <c r="AB60" i="457"/>
  <c r="AC60" i="457" s="1"/>
  <c r="K62" i="457"/>
  <c r="R62" i="457"/>
  <c r="AA99" i="457"/>
  <c r="R101" i="457"/>
  <c r="I151" i="457"/>
  <c r="R15" i="457"/>
  <c r="R49" i="457"/>
  <c r="R41" i="457"/>
  <c r="AA43" i="457"/>
  <c r="R45" i="457"/>
  <c r="AB46" i="457"/>
  <c r="AC46" i="457" s="1"/>
  <c r="K48" i="457"/>
  <c r="R48" i="457"/>
  <c r="R71" i="457"/>
  <c r="AB71" i="457" s="1"/>
  <c r="AB73" i="457"/>
  <c r="K63" i="457"/>
  <c r="R64" i="457"/>
  <c r="AA83" i="457"/>
  <c r="AB83" i="457" s="1"/>
  <c r="R91" i="457"/>
  <c r="K92" i="457"/>
  <c r="I30" i="457"/>
  <c r="I13" i="457" s="1"/>
  <c r="K103" i="457"/>
  <c r="R107" i="457"/>
  <c r="AA111" i="457"/>
  <c r="K112" i="457"/>
  <c r="R112" i="457"/>
  <c r="AB112" i="457" s="1"/>
  <c r="K113" i="457"/>
  <c r="R113" i="457"/>
  <c r="AA115" i="457"/>
  <c r="K133" i="457"/>
  <c r="AA134" i="457"/>
  <c r="R136" i="457"/>
  <c r="R138" i="457"/>
  <c r="K139" i="457"/>
  <c r="AA140" i="457"/>
  <c r="D151" i="457"/>
  <c r="K156" i="457"/>
  <c r="AA156" i="457"/>
  <c r="R157" i="457"/>
  <c r="R158" i="457"/>
  <c r="K160" i="457"/>
  <c r="AA160" i="457"/>
  <c r="K162" i="457"/>
  <c r="AA164" i="457"/>
  <c r="K166" i="457"/>
  <c r="AA169" i="457"/>
  <c r="K171" i="457"/>
  <c r="AA173" i="457"/>
  <c r="K178" i="457"/>
  <c r="AA178" i="457"/>
  <c r="R179" i="457"/>
  <c r="K184" i="457"/>
  <c r="K189" i="457"/>
  <c r="AA189" i="457"/>
  <c r="X191" i="457"/>
  <c r="AB293" i="457"/>
  <c r="AC293" i="457" s="1"/>
  <c r="AB294" i="457"/>
  <c r="AB295" i="457"/>
  <c r="AB303" i="457"/>
  <c r="AB342" i="457"/>
  <c r="AC342" i="457" s="1"/>
  <c r="X354" i="457"/>
  <c r="AB362" i="457"/>
  <c r="AC362" i="457" s="1"/>
  <c r="AB364" i="457"/>
  <c r="AB370" i="457"/>
  <c r="AC370" i="457" s="1"/>
  <c r="AB372" i="457"/>
  <c r="AC372" i="457" s="1"/>
  <c r="AC379" i="457"/>
  <c r="AB412" i="457"/>
  <c r="AC412" i="457" s="1"/>
  <c r="AB427" i="457"/>
  <c r="AC427" i="457" s="1"/>
  <c r="AB631" i="457"/>
  <c r="AC631" i="457" s="1"/>
  <c r="N758" i="457"/>
  <c r="K74" i="457"/>
  <c r="R74" i="457"/>
  <c r="AA74" i="457"/>
  <c r="K75" i="457"/>
  <c r="K78" i="457"/>
  <c r="R78" i="457"/>
  <c r="K80" i="457"/>
  <c r="K81" i="457"/>
  <c r="K86" i="457"/>
  <c r="K90" i="457"/>
  <c r="R90" i="457"/>
  <c r="K106" i="457"/>
  <c r="AA106" i="457"/>
  <c r="K107" i="457"/>
  <c r="R129" i="457"/>
  <c r="AA129" i="457"/>
  <c r="K130" i="457"/>
  <c r="AB132" i="457"/>
  <c r="AC132" i="457" s="1"/>
  <c r="AB149" i="457"/>
  <c r="Q151" i="457"/>
  <c r="V151" i="457"/>
  <c r="Z151" i="457"/>
  <c r="AB197" i="457"/>
  <c r="AC197" i="457" s="1"/>
  <c r="AB207" i="457"/>
  <c r="AC207" i="457" s="1"/>
  <c r="AB219" i="457"/>
  <c r="K232" i="457"/>
  <c r="AA232" i="457"/>
  <c r="AB232" i="457" s="1"/>
  <c r="R237" i="457"/>
  <c r="K238" i="457"/>
  <c r="AA240" i="457"/>
  <c r="R241" i="457"/>
  <c r="K242" i="457"/>
  <c r="K243" i="457"/>
  <c r="AA243" i="457"/>
  <c r="AA244" i="457"/>
  <c r="R245" i="457"/>
  <c r="AB245" i="457" s="1"/>
  <c r="AA245" i="457"/>
  <c r="K246" i="457"/>
  <c r="AA246" i="457"/>
  <c r="K251" i="457"/>
  <c r="AA287" i="457"/>
  <c r="K289" i="457"/>
  <c r="M617" i="457"/>
  <c r="M612" i="457" s="1"/>
  <c r="M611" i="457" s="1"/>
  <c r="Q617" i="457"/>
  <c r="Q612" i="457" s="1"/>
  <c r="Q611" i="457" s="1"/>
  <c r="K119" i="457"/>
  <c r="AA120" i="457"/>
  <c r="R122" i="457"/>
  <c r="AB123" i="457"/>
  <c r="AC123" i="457" s="1"/>
  <c r="R125" i="457"/>
  <c r="AB144" i="457"/>
  <c r="AC144" i="457" s="1"/>
  <c r="AB148" i="457"/>
  <c r="AC148" i="457" s="1"/>
  <c r="N151" i="457"/>
  <c r="W151" i="457"/>
  <c r="AB161" i="457"/>
  <c r="AC161" i="457" s="1"/>
  <c r="AB185" i="457"/>
  <c r="AC185" i="457" s="1"/>
  <c r="AB218" i="457"/>
  <c r="K227" i="457"/>
  <c r="AB229" i="457"/>
  <c r="K237" i="457"/>
  <c r="K241" i="457"/>
  <c r="K245" i="457"/>
  <c r="AB257" i="457"/>
  <c r="AC257" i="457" s="1"/>
  <c r="AA269" i="457"/>
  <c r="AB276" i="457"/>
  <c r="AB307" i="457"/>
  <c r="AB315" i="457"/>
  <c r="AC315" i="457" s="1"/>
  <c r="AB322" i="457"/>
  <c r="AB323" i="457"/>
  <c r="AB329" i="457"/>
  <c r="AB330" i="457"/>
  <c r="AB331" i="457"/>
  <c r="AB353" i="457"/>
  <c r="AC353" i="457" s="1"/>
  <c r="AB400" i="457"/>
  <c r="AC400" i="457" s="1"/>
  <c r="AA487" i="457"/>
  <c r="J480" i="457"/>
  <c r="O480" i="457"/>
  <c r="R510" i="457"/>
  <c r="AA510" i="457"/>
  <c r="R540" i="457"/>
  <c r="K549" i="457"/>
  <c r="R551" i="457"/>
  <c r="AC552" i="457"/>
  <c r="K557" i="457"/>
  <c r="AB560" i="457"/>
  <c r="AB568" i="457"/>
  <c r="AC568" i="457" s="1"/>
  <c r="AB576" i="457"/>
  <c r="AC576" i="457" s="1"/>
  <c r="Y577" i="457"/>
  <c r="K584" i="457"/>
  <c r="X577" i="457"/>
  <c r="AB585" i="457"/>
  <c r="AC585" i="457" s="1"/>
  <c r="AB588" i="457"/>
  <c r="AC588" i="457" s="1"/>
  <c r="K592" i="457"/>
  <c r="AB593" i="457"/>
  <c r="AA621" i="457"/>
  <c r="AB628" i="457"/>
  <c r="AB633" i="457"/>
  <c r="AB640" i="457"/>
  <c r="AC640" i="457" s="1"/>
  <c r="AB673" i="457"/>
  <c r="AB681" i="457"/>
  <c r="I697" i="457"/>
  <c r="I696" i="457" s="1"/>
  <c r="K741" i="457"/>
  <c r="AA741" i="457"/>
  <c r="K743" i="457"/>
  <c r="Y758" i="457"/>
  <c r="AB762" i="457"/>
  <c r="AC762" i="457" s="1"/>
  <c r="AB776" i="457"/>
  <c r="AC776" i="457" s="1"/>
  <c r="AB781" i="457"/>
  <c r="AC781" i="457" s="1"/>
  <c r="AC789" i="457"/>
  <c r="AC825" i="457"/>
  <c r="AB829" i="457"/>
  <c r="G354" i="457"/>
  <c r="Y354" i="457"/>
  <c r="AB358" i="457"/>
  <c r="AC358" i="457" s="1"/>
  <c r="AC367" i="457"/>
  <c r="AB368" i="457"/>
  <c r="AC368" i="457" s="1"/>
  <c r="AC396" i="457"/>
  <c r="AA415" i="457"/>
  <c r="AB425" i="457"/>
  <c r="AB433" i="457"/>
  <c r="AC433" i="457" s="1"/>
  <c r="AC447" i="457"/>
  <c r="M480" i="457"/>
  <c r="M349" i="457" s="1"/>
  <c r="M348" i="457" s="1"/>
  <c r="Q480" i="457"/>
  <c r="V480" i="457"/>
  <c r="Z480" i="457"/>
  <c r="K483" i="457"/>
  <c r="AC494" i="457"/>
  <c r="AA507" i="457"/>
  <c r="AC509" i="457"/>
  <c r="K510" i="457"/>
  <c r="AB529" i="457"/>
  <c r="AC529" i="457" s="1"/>
  <c r="K538" i="457"/>
  <c r="K540" i="457"/>
  <c r="R546" i="457"/>
  <c r="AB546" i="457" s="1"/>
  <c r="AA546" i="457"/>
  <c r="Q577" i="457"/>
  <c r="Q349" i="457" s="1"/>
  <c r="Q348" i="457" s="1"/>
  <c r="D577" i="457"/>
  <c r="H577" i="457"/>
  <c r="AC583" i="457"/>
  <c r="G605" i="457"/>
  <c r="K605" i="457" s="1"/>
  <c r="P605" i="457"/>
  <c r="AB610" i="457"/>
  <c r="AC610" i="457" s="1"/>
  <c r="AB613" i="457"/>
  <c r="AB614" i="457"/>
  <c r="AB615" i="457"/>
  <c r="AC615" i="457" s="1"/>
  <c r="AB638" i="457"/>
  <c r="AC638" i="457" s="1"/>
  <c r="AB677" i="457"/>
  <c r="AB678" i="457"/>
  <c r="AC678" i="457" s="1"/>
  <c r="AB679" i="457"/>
  <c r="AB687" i="457"/>
  <c r="AB689" i="457"/>
  <c r="K704" i="457"/>
  <c r="AB740" i="457"/>
  <c r="AC740" i="457" s="1"/>
  <c r="F745" i="457"/>
  <c r="F723" i="457" s="1"/>
  <c r="F722" i="457" s="1"/>
  <c r="F721" i="457" s="1"/>
  <c r="F720" i="457" s="1"/>
  <c r="F719" i="457" s="1"/>
  <c r="J745" i="457"/>
  <c r="O745" i="457"/>
  <c r="K763" i="457"/>
  <c r="K771" i="457"/>
  <c r="AB772" i="457"/>
  <c r="AC772" i="457" s="1"/>
  <c r="AC799" i="457"/>
  <c r="AB838" i="457"/>
  <c r="AC838" i="457" s="1"/>
  <c r="V928" i="457"/>
  <c r="V927" i="457" s="1"/>
  <c r="V920" i="457" s="1"/>
  <c r="Z928" i="457"/>
  <c r="Z927" i="457" s="1"/>
  <c r="G1002" i="457"/>
  <c r="G1001" i="457" s="1"/>
  <c r="J1120" i="457"/>
  <c r="J1111" i="457" s="1"/>
  <c r="J1135" i="457" s="1"/>
  <c r="AB259" i="457"/>
  <c r="AC259" i="457" s="1"/>
  <c r="AB286" i="457"/>
  <c r="AB298" i="457"/>
  <c r="AB299" i="457"/>
  <c r="AC299" i="457" s="1"/>
  <c r="AB300" i="457"/>
  <c r="AB309" i="457"/>
  <c r="AB317" i="457"/>
  <c r="AB326" i="457"/>
  <c r="AB347" i="457"/>
  <c r="AC347" i="457" s="1"/>
  <c r="I354" i="457"/>
  <c r="S354" i="457"/>
  <c r="W354" i="457"/>
  <c r="AB365" i="457"/>
  <c r="AB386" i="457"/>
  <c r="AC386" i="457" s="1"/>
  <c r="AB387" i="457"/>
  <c r="AC387" i="457" s="1"/>
  <c r="AB395" i="457"/>
  <c r="AC395" i="457" s="1"/>
  <c r="AB405" i="457"/>
  <c r="AC405" i="457" s="1"/>
  <c r="AB406" i="457"/>
  <c r="AC406" i="457" s="1"/>
  <c r="AB417" i="457"/>
  <c r="AC417" i="457" s="1"/>
  <c r="K423" i="457"/>
  <c r="AB435" i="457"/>
  <c r="AC435" i="457" s="1"/>
  <c r="AB446" i="457"/>
  <c r="AC446" i="457" s="1"/>
  <c r="AB455" i="457"/>
  <c r="AB478" i="457"/>
  <c r="AB485" i="457"/>
  <c r="AC485" i="457" s="1"/>
  <c r="AB493" i="457"/>
  <c r="AC493" i="457" s="1"/>
  <c r="R501" i="457"/>
  <c r="AB506" i="457"/>
  <c r="AB508" i="457"/>
  <c r="AC508" i="457" s="1"/>
  <c r="R524" i="457"/>
  <c r="AB537" i="457"/>
  <c r="AC537" i="457" s="1"/>
  <c r="K544" i="457"/>
  <c r="AB545" i="457"/>
  <c r="AC545" i="457" s="1"/>
  <c r="K546" i="457"/>
  <c r="AB547" i="457"/>
  <c r="AC547" i="457" s="1"/>
  <c r="I577" i="457"/>
  <c r="N577" i="457"/>
  <c r="S577" i="457"/>
  <c r="W577" i="457"/>
  <c r="R597" i="457"/>
  <c r="AB598" i="457"/>
  <c r="AC598" i="457" s="1"/>
  <c r="AA601" i="457"/>
  <c r="K603" i="457"/>
  <c r="I605" i="457"/>
  <c r="N605" i="457"/>
  <c r="AB636" i="457"/>
  <c r="AC636" i="457" s="1"/>
  <c r="AB659" i="457"/>
  <c r="AC659" i="457" s="1"/>
  <c r="AB675" i="457"/>
  <c r="AC675" i="457" s="1"/>
  <c r="AB682" i="457"/>
  <c r="AB683" i="457"/>
  <c r="AB686" i="457"/>
  <c r="AB694" i="457"/>
  <c r="D707" i="457"/>
  <c r="D697" i="457" s="1"/>
  <c r="D696" i="457" s="1"/>
  <c r="H707" i="457"/>
  <c r="H697" i="457" s="1"/>
  <c r="H696" i="457" s="1"/>
  <c r="M707" i="457"/>
  <c r="M697" i="457" s="1"/>
  <c r="M696" i="457" s="1"/>
  <c r="Q707" i="457"/>
  <c r="AC717" i="457"/>
  <c r="AB734" i="457"/>
  <c r="AC734" i="457" s="1"/>
  <c r="AB742" i="457"/>
  <c r="AC742" i="457" s="1"/>
  <c r="F758" i="457"/>
  <c r="K769" i="457"/>
  <c r="AA769" i="457"/>
  <c r="AB878" i="457"/>
  <c r="M981" i="457"/>
  <c r="M980" i="457" s="1"/>
  <c r="AB783" i="457"/>
  <c r="AC783" i="457" s="1"/>
  <c r="AB805" i="457"/>
  <c r="AB807" i="457"/>
  <c r="AC807" i="457" s="1"/>
  <c r="R831" i="457"/>
  <c r="AB849" i="457"/>
  <c r="AC849" i="457" s="1"/>
  <c r="K858" i="457"/>
  <c r="AB859" i="457"/>
  <c r="AC859" i="457" s="1"/>
  <c r="AB860" i="457"/>
  <c r="AB866" i="457"/>
  <c r="AB868" i="457"/>
  <c r="AB870" i="457"/>
  <c r="AC870" i="457" s="1"/>
  <c r="AC881" i="457"/>
  <c r="AB882" i="457"/>
  <c r="AB889" i="457"/>
  <c r="AC923" i="457"/>
  <c r="AA929" i="457"/>
  <c r="AC931" i="457"/>
  <c r="AB932" i="457"/>
  <c r="AB948" i="457"/>
  <c r="AC948" i="457" s="1"/>
  <c r="AB989" i="457"/>
  <c r="Q981" i="457"/>
  <c r="Q980" i="457" s="1"/>
  <c r="U1002" i="457"/>
  <c r="U1001" i="457" s="1"/>
  <c r="Y1002" i="457"/>
  <c r="Y1001" i="457" s="1"/>
  <c r="Y1000" i="457" s="1"/>
  <c r="AB1004" i="457"/>
  <c r="AC1009" i="457"/>
  <c r="N1016" i="457"/>
  <c r="N1015" i="457" s="1"/>
  <c r="N1000" i="457" s="1"/>
  <c r="G1016" i="457"/>
  <c r="G1015" i="457" s="1"/>
  <c r="AC1024" i="457"/>
  <c r="AB1030" i="457"/>
  <c r="AB1040" i="457"/>
  <c r="AC1040" i="457" s="1"/>
  <c r="AB1050" i="457"/>
  <c r="AC1050" i="457" s="1"/>
  <c r="AB1062" i="457"/>
  <c r="AB1072" i="457"/>
  <c r="AC1085" i="457"/>
  <c r="AB1094" i="457"/>
  <c r="AC1094" i="457" s="1"/>
  <c r="T1120" i="457"/>
  <c r="T1111" i="457" s="1"/>
  <c r="T1135" i="457" s="1"/>
  <c r="AB1130" i="457"/>
  <c r="AC1130" i="457" s="1"/>
  <c r="AC1133" i="457"/>
  <c r="AB813" i="457"/>
  <c r="AC813" i="457" s="1"/>
  <c r="AB815" i="457"/>
  <c r="AC815" i="457" s="1"/>
  <c r="AB830" i="457"/>
  <c r="AB832" i="457"/>
  <c r="AC832" i="457" s="1"/>
  <c r="AB833" i="457"/>
  <c r="AB834" i="457"/>
  <c r="AC834" i="457" s="1"/>
  <c r="AB839" i="457"/>
  <c r="AC839" i="457" s="1"/>
  <c r="AB840" i="457"/>
  <c r="AC840" i="457" s="1"/>
  <c r="AB854" i="457"/>
  <c r="AB856" i="457"/>
  <c r="V851" i="457"/>
  <c r="AB864" i="457"/>
  <c r="AB865" i="457"/>
  <c r="AC865" i="457" s="1"/>
  <c r="Q861" i="457"/>
  <c r="Q851" i="457" s="1"/>
  <c r="AB886" i="457"/>
  <c r="I884" i="457"/>
  <c r="S884" i="457"/>
  <c r="AB908" i="457"/>
  <c r="AC908" i="457" s="1"/>
  <c r="AB914" i="457"/>
  <c r="AC914" i="457" s="1"/>
  <c r="AB915" i="457"/>
  <c r="AC915" i="457" s="1"/>
  <c r="AB947" i="457"/>
  <c r="AB959" i="457"/>
  <c r="AC959" i="457" s="1"/>
  <c r="AB967" i="457"/>
  <c r="AB996" i="457"/>
  <c r="AC996" i="457" s="1"/>
  <c r="Q1002" i="457"/>
  <c r="Q1001" i="457" s="1"/>
  <c r="Q1000" i="457" s="1"/>
  <c r="V1002" i="457"/>
  <c r="V1001" i="457" s="1"/>
  <c r="Z1002" i="457"/>
  <c r="Z1001" i="457" s="1"/>
  <c r="K1006" i="457"/>
  <c r="AA1006" i="457"/>
  <c r="AB1008" i="457"/>
  <c r="AC1008" i="457" s="1"/>
  <c r="AB1060" i="457"/>
  <c r="AC1060" i="457" s="1"/>
  <c r="AB1092" i="457"/>
  <c r="AB1119" i="457"/>
  <c r="AC1119" i="457" s="1"/>
  <c r="N1120" i="457"/>
  <c r="AB1126" i="457"/>
  <c r="AB1128" i="457"/>
  <c r="AB1129" i="457"/>
  <c r="AC1129" i="457" s="1"/>
  <c r="AB891" i="457"/>
  <c r="AC891" i="457" s="1"/>
  <c r="AB893" i="457"/>
  <c r="Y884" i="457"/>
  <c r="AC906" i="457"/>
  <c r="AB913" i="457"/>
  <c r="AC913" i="457" s="1"/>
  <c r="AB936" i="457"/>
  <c r="AB937" i="457"/>
  <c r="AB938" i="457"/>
  <c r="AB945" i="457"/>
  <c r="H953" i="457"/>
  <c r="AB956" i="457"/>
  <c r="AC956" i="457" s="1"/>
  <c r="AB961" i="457"/>
  <c r="AC961" i="457" s="1"/>
  <c r="AB966" i="457"/>
  <c r="AC966" i="457" s="1"/>
  <c r="G953" i="457"/>
  <c r="AB979" i="457"/>
  <c r="AB993" i="457"/>
  <c r="AC993" i="457" s="1"/>
  <c r="T1002" i="457"/>
  <c r="T1001" i="457" s="1"/>
  <c r="X1002" i="457"/>
  <c r="X1001" i="457" s="1"/>
  <c r="AB1013" i="457"/>
  <c r="AB1014" i="457"/>
  <c r="AC1014" i="457" s="1"/>
  <c r="I1016" i="457"/>
  <c r="I1015" i="457" s="1"/>
  <c r="W1016" i="457"/>
  <c r="W1015" i="457" s="1"/>
  <c r="W1000" i="457" s="1"/>
  <c r="AB1036" i="457"/>
  <c r="AC1036" i="457" s="1"/>
  <c r="AC1046" i="457"/>
  <c r="AB1047" i="457"/>
  <c r="AB1058" i="457"/>
  <c r="AC1058" i="457" s="1"/>
  <c r="AB1068" i="457"/>
  <c r="AC1068" i="457" s="1"/>
  <c r="AA1078" i="457"/>
  <c r="AB1080" i="457"/>
  <c r="AB1089" i="457"/>
  <c r="AC1089" i="457" s="1"/>
  <c r="AB1097" i="457"/>
  <c r="AC1097" i="457" s="1"/>
  <c r="AB1098" i="457"/>
  <c r="AC1098" i="457" s="1"/>
  <c r="AB1117" i="457"/>
  <c r="K146" i="457"/>
  <c r="J191" i="457"/>
  <c r="AA254" i="457"/>
  <c r="AA490" i="457"/>
  <c r="AA847" i="457"/>
  <c r="S844" i="457"/>
  <c r="AA844" i="457" s="1"/>
  <c r="AA933" i="457"/>
  <c r="S928" i="457"/>
  <c r="K15" i="457"/>
  <c r="R17" i="457"/>
  <c r="AA18" i="457"/>
  <c r="AB18" i="457" s="1"/>
  <c r="K19" i="457"/>
  <c r="K22" i="457"/>
  <c r="R22" i="457"/>
  <c r="AA22" i="457"/>
  <c r="R25" i="457"/>
  <c r="AA27" i="457"/>
  <c r="R29" i="457"/>
  <c r="K31" i="457"/>
  <c r="H30" i="457"/>
  <c r="H13" i="457" s="1"/>
  <c r="R33" i="457"/>
  <c r="AA35" i="457"/>
  <c r="R37" i="457"/>
  <c r="K40" i="457"/>
  <c r="R40" i="457"/>
  <c r="AA40" i="457"/>
  <c r="K41" i="457"/>
  <c r="K44" i="457"/>
  <c r="R44" i="457"/>
  <c r="AA44" i="457"/>
  <c r="K45" i="457"/>
  <c r="R47" i="457"/>
  <c r="AA48" i="457"/>
  <c r="K49" i="457"/>
  <c r="AA51" i="457"/>
  <c r="AA53" i="457"/>
  <c r="K55" i="457"/>
  <c r="K58" i="457"/>
  <c r="R58" i="457"/>
  <c r="AA58" i="457"/>
  <c r="K59" i="457"/>
  <c r="R61" i="457"/>
  <c r="AA63" i="457"/>
  <c r="K66" i="457"/>
  <c r="R66" i="457"/>
  <c r="AA66" i="457"/>
  <c r="R69" i="457"/>
  <c r="AA70" i="457"/>
  <c r="AB70" i="457" s="1"/>
  <c r="K71" i="457"/>
  <c r="AA75" i="457"/>
  <c r="R77" i="457"/>
  <c r="AA78" i="457"/>
  <c r="D79" i="457"/>
  <c r="K79" i="457" s="1"/>
  <c r="M30" i="457"/>
  <c r="M13" i="457" s="1"/>
  <c r="U30" i="457"/>
  <c r="U13" i="457" s="1"/>
  <c r="K83" i="457"/>
  <c r="AA84" i="457"/>
  <c r="AB84" i="457" s="1"/>
  <c r="AC84" i="457" s="1"/>
  <c r="AA85" i="457"/>
  <c r="AB85" i="457" s="1"/>
  <c r="R89" i="457"/>
  <c r="AA90" i="457"/>
  <c r="K91" i="457"/>
  <c r="F30" i="457"/>
  <c r="F13" i="457" s="1"/>
  <c r="J30" i="457"/>
  <c r="J13" i="457" s="1"/>
  <c r="AA96" i="457"/>
  <c r="AA100" i="457"/>
  <c r="AB102" i="457"/>
  <c r="AC102" i="457" s="1"/>
  <c r="AA103" i="457"/>
  <c r="R104" i="457"/>
  <c r="K105" i="457"/>
  <c r="R105" i="457"/>
  <c r="AB109" i="457"/>
  <c r="AC109" i="457" s="1"/>
  <c r="AA112" i="457"/>
  <c r="R121" i="457"/>
  <c r="AA121" i="457"/>
  <c r="K122" i="457"/>
  <c r="R124" i="457"/>
  <c r="K125" i="457"/>
  <c r="AA125" i="457"/>
  <c r="R128" i="457"/>
  <c r="K129" i="457"/>
  <c r="AA130" i="457"/>
  <c r="R135" i="457"/>
  <c r="AA135" i="457"/>
  <c r="K136" i="457"/>
  <c r="K138" i="457"/>
  <c r="R141" i="457"/>
  <c r="AA141" i="457"/>
  <c r="AB150" i="457"/>
  <c r="AC150" i="457" s="1"/>
  <c r="T151" i="457"/>
  <c r="R153" i="457"/>
  <c r="AB154" i="457"/>
  <c r="AC154" i="457" s="1"/>
  <c r="K157" i="457"/>
  <c r="AA157" i="457"/>
  <c r="AB157" i="457" s="1"/>
  <c r="K163" i="457"/>
  <c r="AA165" i="457"/>
  <c r="K167" i="457"/>
  <c r="AA170" i="457"/>
  <c r="K172" i="457"/>
  <c r="AA174" i="457"/>
  <c r="K179" i="457"/>
  <c r="AA179" i="457"/>
  <c r="AB179" i="457" s="1"/>
  <c r="K186" i="457"/>
  <c r="AA186" i="457"/>
  <c r="R187" i="457"/>
  <c r="R188" i="457"/>
  <c r="K190" i="457"/>
  <c r="AA190" i="457"/>
  <c r="H191" i="457"/>
  <c r="H142" i="457" s="1"/>
  <c r="U191" i="457"/>
  <c r="Y191" i="457"/>
  <c r="Y142" i="457" s="1"/>
  <c r="AA202" i="457"/>
  <c r="AB211" i="457"/>
  <c r="AC211" i="457" s="1"/>
  <c r="AC214" i="457"/>
  <c r="R217" i="457"/>
  <c r="K225" i="457"/>
  <c r="AA228" i="457"/>
  <c r="AB228" i="457" s="1"/>
  <c r="K231" i="457"/>
  <c r="K235" i="457"/>
  <c r="AA251" i="457"/>
  <c r="K252" i="457"/>
  <c r="AC388" i="457"/>
  <c r="S480" i="457"/>
  <c r="N480" i="457"/>
  <c r="W480" i="457"/>
  <c r="K496" i="457"/>
  <c r="F480" i="457"/>
  <c r="AC533" i="457"/>
  <c r="AA15" i="457"/>
  <c r="K17" i="457"/>
  <c r="AA19" i="457"/>
  <c r="R21" i="457"/>
  <c r="K25" i="457"/>
  <c r="R36" i="457"/>
  <c r="R98" i="457"/>
  <c r="R99" i="457"/>
  <c r="K104" i="457"/>
  <c r="AA104" i="457"/>
  <c r="AA107" i="457"/>
  <c r="K108" i="457"/>
  <c r="R108" i="457"/>
  <c r="R110" i="457"/>
  <c r="R111" i="457"/>
  <c r="AA113" i="457"/>
  <c r="K114" i="457"/>
  <c r="R114" i="457"/>
  <c r="R115" i="457"/>
  <c r="R120" i="457"/>
  <c r="K121" i="457"/>
  <c r="AA122" i="457"/>
  <c r="K124" i="457"/>
  <c r="R127" i="457"/>
  <c r="AA127" i="457"/>
  <c r="K128" i="457"/>
  <c r="R131" i="457"/>
  <c r="AA131" i="457"/>
  <c r="R134" i="457"/>
  <c r="AB134" i="457" s="1"/>
  <c r="K135" i="457"/>
  <c r="AA136" i="457"/>
  <c r="AA138" i="457"/>
  <c r="R140" i="457"/>
  <c r="AB140" i="457" s="1"/>
  <c r="K141" i="457"/>
  <c r="R146" i="457"/>
  <c r="K152" i="457"/>
  <c r="K153" i="457"/>
  <c r="R155" i="457"/>
  <c r="R156" i="457"/>
  <c r="K158" i="457"/>
  <c r="AA158" i="457"/>
  <c r="R159" i="457"/>
  <c r="R160" i="457"/>
  <c r="AA162" i="457"/>
  <c r="K164" i="457"/>
  <c r="AA166" i="457"/>
  <c r="AB168" i="457"/>
  <c r="AC168" i="457" s="1"/>
  <c r="K169" i="457"/>
  <c r="AA171" i="457"/>
  <c r="K173" i="457"/>
  <c r="K176" i="457"/>
  <c r="AA176" i="457"/>
  <c r="R177" i="457"/>
  <c r="K180" i="457"/>
  <c r="AA180" i="457"/>
  <c r="K181" i="457"/>
  <c r="K187" i="457"/>
  <c r="AA187" i="457"/>
  <c r="R193" i="457"/>
  <c r="Q191" i="457"/>
  <c r="V191" i="457"/>
  <c r="Z191" i="457"/>
  <c r="AB194" i="457"/>
  <c r="AC194" i="457" s="1"/>
  <c r="S201" i="457"/>
  <c r="O191" i="457"/>
  <c r="O142" i="457" s="1"/>
  <c r="K206" i="457"/>
  <c r="K208" i="457"/>
  <c r="R212" i="457"/>
  <c r="AB213" i="457"/>
  <c r="AC213" i="457" s="1"/>
  <c r="AB215" i="457"/>
  <c r="AC215" i="457" s="1"/>
  <c r="AB220" i="457"/>
  <c r="AC220" i="457" s="1"/>
  <c r="AA227" i="457"/>
  <c r="K229" i="457"/>
  <c r="K234" i="457"/>
  <c r="R239" i="457"/>
  <c r="K240" i="457"/>
  <c r="R243" i="457"/>
  <c r="K244" i="457"/>
  <c r="R244" i="457"/>
  <c r="K261" i="457"/>
  <c r="G255" i="457"/>
  <c r="G254" i="457" s="1"/>
  <c r="AC593" i="457"/>
  <c r="AA62" i="457"/>
  <c r="K24" i="457"/>
  <c r="R24" i="457"/>
  <c r="AA24" i="457"/>
  <c r="K28" i="457"/>
  <c r="R28" i="457"/>
  <c r="AA28" i="457"/>
  <c r="K29" i="457"/>
  <c r="AA31" i="457"/>
  <c r="W30" i="457"/>
  <c r="W13" i="457" s="1"/>
  <c r="K33" i="457"/>
  <c r="K36" i="457"/>
  <c r="AA36" i="457"/>
  <c r="K37" i="457"/>
  <c r="AA41" i="457"/>
  <c r="AB41" i="457" s="1"/>
  <c r="R43" i="457"/>
  <c r="AB43" i="457" s="1"/>
  <c r="AA45" i="457"/>
  <c r="K47" i="457"/>
  <c r="AA49" i="457"/>
  <c r="AB49" i="457" s="1"/>
  <c r="AA55" i="457"/>
  <c r="AB55" i="457" s="1"/>
  <c r="AC55" i="457" s="1"/>
  <c r="R57" i="457"/>
  <c r="AA59" i="457"/>
  <c r="K61" i="457"/>
  <c r="K64" i="457"/>
  <c r="R65" i="457"/>
  <c r="AB65" i="457" s="1"/>
  <c r="K68" i="457"/>
  <c r="R68" i="457"/>
  <c r="AA68" i="457"/>
  <c r="K69" i="457"/>
  <c r="AA71" i="457"/>
  <c r="K76" i="457"/>
  <c r="R76" i="457"/>
  <c r="AA76" i="457"/>
  <c r="K77" i="457"/>
  <c r="AA81" i="457"/>
  <c r="AB81" i="457" s="1"/>
  <c r="K88" i="457"/>
  <c r="R88" i="457"/>
  <c r="AB88" i="457" s="1"/>
  <c r="AA88" i="457"/>
  <c r="K89" i="457"/>
  <c r="AA91" i="457"/>
  <c r="AB91" i="457" s="1"/>
  <c r="AC91" i="457" s="1"/>
  <c r="R97" i="457"/>
  <c r="AB97" i="457" s="1"/>
  <c r="AA97" i="457"/>
  <c r="AA17" i="457"/>
  <c r="AB17" i="457" s="1"/>
  <c r="K20" i="457"/>
  <c r="R20" i="457"/>
  <c r="AA20" i="457"/>
  <c r="K21" i="457"/>
  <c r="AA25" i="457"/>
  <c r="R27" i="457"/>
  <c r="AA29" i="457"/>
  <c r="AB29" i="457" s="1"/>
  <c r="T30" i="457"/>
  <c r="T13" i="457" s="1"/>
  <c r="X30" i="457"/>
  <c r="X13" i="457" s="1"/>
  <c r="AA33" i="457"/>
  <c r="R35" i="457"/>
  <c r="AB35" i="457" s="1"/>
  <c r="AA37" i="457"/>
  <c r="K42" i="457"/>
  <c r="R42" i="457"/>
  <c r="AA42" i="457"/>
  <c r="K43" i="457"/>
  <c r="AA47" i="457"/>
  <c r="AB47" i="457" s="1"/>
  <c r="K50" i="457"/>
  <c r="R51" i="457"/>
  <c r="R53" i="457"/>
  <c r="AB54" i="457"/>
  <c r="AC54" i="457" s="1"/>
  <c r="K56" i="457"/>
  <c r="R56" i="457"/>
  <c r="AA56" i="457"/>
  <c r="K57" i="457"/>
  <c r="AA61" i="457"/>
  <c r="R63" i="457"/>
  <c r="AA64" i="457"/>
  <c r="K65" i="457"/>
  <c r="AA69" i="457"/>
  <c r="K72" i="457"/>
  <c r="R72" i="457"/>
  <c r="AA72" i="457"/>
  <c r="R75" i="457"/>
  <c r="AA77" i="457"/>
  <c r="Y30" i="457"/>
  <c r="Y13" i="457" s="1"/>
  <c r="AB82" i="457"/>
  <c r="AC82" i="457" s="1"/>
  <c r="K85" i="457"/>
  <c r="AA86" i="457"/>
  <c r="AB86" i="457" s="1"/>
  <c r="AC86" i="457" s="1"/>
  <c r="AA89" i="457"/>
  <c r="R92" i="457"/>
  <c r="AA92" i="457"/>
  <c r="K93" i="457"/>
  <c r="Z30" i="457"/>
  <c r="Z13" i="457" s="1"/>
  <c r="K96" i="457"/>
  <c r="R96" i="457"/>
  <c r="AB96" i="457" s="1"/>
  <c r="K97" i="457"/>
  <c r="K98" i="457"/>
  <c r="AA98" i="457"/>
  <c r="K99" i="457"/>
  <c r="K100" i="457"/>
  <c r="R100" i="457"/>
  <c r="K101" i="457"/>
  <c r="AA101" i="457"/>
  <c r="AB101" i="457" s="1"/>
  <c r="R103" i="457"/>
  <c r="AA105" i="457"/>
  <c r="R106" i="457"/>
  <c r="AB106" i="457" s="1"/>
  <c r="AA108" i="457"/>
  <c r="K110" i="457"/>
  <c r="AA110" i="457"/>
  <c r="AA114" i="457"/>
  <c r="R117" i="457"/>
  <c r="R119" i="457"/>
  <c r="AA119" i="457"/>
  <c r="K120" i="457"/>
  <c r="AA124" i="457"/>
  <c r="AB124" i="457" s="1"/>
  <c r="K127" i="457"/>
  <c r="AA128" i="457"/>
  <c r="R130" i="457"/>
  <c r="K131" i="457"/>
  <c r="R133" i="457"/>
  <c r="AA133" i="457"/>
  <c r="K134" i="457"/>
  <c r="AB137" i="457"/>
  <c r="AC137" i="457" s="1"/>
  <c r="R139" i="457"/>
  <c r="AA139" i="457"/>
  <c r="K140" i="457"/>
  <c r="K145" i="457"/>
  <c r="R145" i="457"/>
  <c r="K147" i="457"/>
  <c r="V142" i="457"/>
  <c r="X151" i="457"/>
  <c r="X142" i="457" s="1"/>
  <c r="F151" i="457"/>
  <c r="J151" i="457"/>
  <c r="J142" i="457" s="1"/>
  <c r="K155" i="457"/>
  <c r="AA155" i="457"/>
  <c r="K159" i="457"/>
  <c r="AA159" i="457"/>
  <c r="AA163" i="457"/>
  <c r="K165" i="457"/>
  <c r="AA167" i="457"/>
  <c r="K170" i="457"/>
  <c r="AA172" i="457"/>
  <c r="K174" i="457"/>
  <c r="AB175" i="457"/>
  <c r="AC175" i="457" s="1"/>
  <c r="K177" i="457"/>
  <c r="AA177" i="457"/>
  <c r="R186" i="457"/>
  <c r="K188" i="457"/>
  <c r="AA188" i="457"/>
  <c r="R189" i="457"/>
  <c r="R190" i="457"/>
  <c r="K192" i="457"/>
  <c r="K193" i="457"/>
  <c r="N191" i="457"/>
  <c r="AA193" i="457"/>
  <c r="W191" i="457"/>
  <c r="AB196" i="457"/>
  <c r="AC196" i="457" s="1"/>
  <c r="AB198" i="457"/>
  <c r="AC198" i="457" s="1"/>
  <c r="K202" i="457"/>
  <c r="AB203" i="457"/>
  <c r="AB210" i="457"/>
  <c r="AC210" i="457" s="1"/>
  <c r="K212" i="457"/>
  <c r="AA226" i="457"/>
  <c r="AB226" i="457" s="1"/>
  <c r="AC226" i="457" s="1"/>
  <c r="K228" i="457"/>
  <c r="K233" i="457"/>
  <c r="AA233" i="457"/>
  <c r="AA279" i="457"/>
  <c r="AC364" i="457"/>
  <c r="AC425" i="457"/>
  <c r="AB431" i="457"/>
  <c r="AC431" i="457" s="1"/>
  <c r="AB439" i="457"/>
  <c r="AC439" i="457" s="1"/>
  <c r="AB453" i="457"/>
  <c r="AC453" i="457" s="1"/>
  <c r="AB469" i="457"/>
  <c r="AC469" i="457" s="1"/>
  <c r="R609" i="457"/>
  <c r="L605" i="457"/>
  <c r="R605" i="457" s="1"/>
  <c r="AA261" i="457"/>
  <c r="AA262" i="457"/>
  <c r="K263" i="457"/>
  <c r="AB263" i="457"/>
  <c r="K268" i="457"/>
  <c r="AA270" i="457"/>
  <c r="K271" i="457"/>
  <c r="R271" i="457"/>
  <c r="K273" i="457"/>
  <c r="R273" i="457"/>
  <c r="K275" i="457"/>
  <c r="AC276" i="457"/>
  <c r="K281" i="457"/>
  <c r="AA283" i="457"/>
  <c r="K284" i="457"/>
  <c r="R284" i="457"/>
  <c r="K285" i="457"/>
  <c r="R285" i="457"/>
  <c r="AC286" i="457"/>
  <c r="AA289" i="457"/>
  <c r="AB297" i="457"/>
  <c r="AC309" i="457"/>
  <c r="AB311" i="457"/>
  <c r="AB328" i="457"/>
  <c r="K355" i="457"/>
  <c r="N354" i="457"/>
  <c r="R361" i="457"/>
  <c r="AC365" i="457"/>
  <c r="AB366" i="457"/>
  <c r="AC366" i="457" s="1"/>
  <c r="AC391" i="457"/>
  <c r="AB392" i="457"/>
  <c r="AC392" i="457" s="1"/>
  <c r="AC397" i="457"/>
  <c r="AB398" i="457"/>
  <c r="AC398" i="457" s="1"/>
  <c r="AB424" i="457"/>
  <c r="AC424" i="457" s="1"/>
  <c r="AB426" i="457"/>
  <c r="AC426" i="457" s="1"/>
  <c r="AB448" i="457"/>
  <c r="AC448" i="457" s="1"/>
  <c r="AB462" i="457"/>
  <c r="AC462" i="457" s="1"/>
  <c r="AB464" i="457"/>
  <c r="AC464" i="457" s="1"/>
  <c r="AC476" i="457"/>
  <c r="I480" i="457"/>
  <c r="I349" i="457" s="1"/>
  <c r="I348" i="457" s="1"/>
  <c r="AA481" i="457"/>
  <c r="AA483" i="457"/>
  <c r="AC488" i="457"/>
  <c r="K490" i="457"/>
  <c r="K501" i="457"/>
  <c r="AC512" i="457"/>
  <c r="R526" i="457"/>
  <c r="AA526" i="457"/>
  <c r="R534" i="457"/>
  <c r="AA534" i="457"/>
  <c r="AA549" i="457"/>
  <c r="K551" i="457"/>
  <c r="R553" i="457"/>
  <c r="AC554" i="457"/>
  <c r="AA557" i="457"/>
  <c r="R559" i="457"/>
  <c r="AC560" i="457"/>
  <c r="K565" i="457"/>
  <c r="R567" i="457"/>
  <c r="K573" i="457"/>
  <c r="R575" i="457"/>
  <c r="O577" i="457"/>
  <c r="O349" i="457" s="1"/>
  <c r="O348" i="457" s="1"/>
  <c r="R580" i="457"/>
  <c r="AA580" i="457"/>
  <c r="R589" i="457"/>
  <c r="AC590" i="457"/>
  <c r="R594" i="457"/>
  <c r="AA594" i="457"/>
  <c r="K597" i="457"/>
  <c r="R599" i="457"/>
  <c r="AC600" i="457"/>
  <c r="K264" i="457"/>
  <c r="AB264" i="457"/>
  <c r="AA277" i="457"/>
  <c r="K278" i="457"/>
  <c r="K287" i="457"/>
  <c r="R287" i="457"/>
  <c r="AB308" i="457"/>
  <c r="AB325" i="457"/>
  <c r="AC325" i="457" s="1"/>
  <c r="AA350" i="457"/>
  <c r="F354" i="457"/>
  <c r="K354" i="457" s="1"/>
  <c r="J354" i="457"/>
  <c r="K357" i="457"/>
  <c r="R357" i="457"/>
  <c r="R363" i="457"/>
  <c r="P354" i="457"/>
  <c r="AC383" i="457"/>
  <c r="AB384" i="457"/>
  <c r="AC384" i="457" s="1"/>
  <c r="AC389" i="457"/>
  <c r="AB390" i="457"/>
  <c r="AC390" i="457" s="1"/>
  <c r="R419" i="457"/>
  <c r="AC441" i="457"/>
  <c r="AC455" i="457"/>
  <c r="AB472" i="457"/>
  <c r="AC472" i="457" s="1"/>
  <c r="AB474" i="457"/>
  <c r="AC474" i="457" s="1"/>
  <c r="T480" i="457"/>
  <c r="X480" i="457"/>
  <c r="AB482" i="457"/>
  <c r="AB484" i="457"/>
  <c r="AC484" i="457" s="1"/>
  <c r="R487" i="457"/>
  <c r="AB487" i="457" s="1"/>
  <c r="R507" i="457"/>
  <c r="R513" i="457"/>
  <c r="R515" i="457"/>
  <c r="AB515" i="457" s="1"/>
  <c r="R517" i="457"/>
  <c r="R519" i="457"/>
  <c r="R521" i="457"/>
  <c r="K526" i="457"/>
  <c r="R528" i="457"/>
  <c r="K534" i="457"/>
  <c r="R536" i="457"/>
  <c r="R542" i="457"/>
  <c r="AA542" i="457"/>
  <c r="AB548" i="457"/>
  <c r="AC548" i="457" s="1"/>
  <c r="K553" i="457"/>
  <c r="R555" i="457"/>
  <c r="AB556" i="457"/>
  <c r="AC556" i="457" s="1"/>
  <c r="K559" i="457"/>
  <c r="R561" i="457"/>
  <c r="AB561" i="457" s="1"/>
  <c r="AB562" i="457"/>
  <c r="AC562" i="457" s="1"/>
  <c r="AA565" i="457"/>
  <c r="K567" i="457"/>
  <c r="R569" i="457"/>
  <c r="AB569" i="457" s="1"/>
  <c r="AB570" i="457"/>
  <c r="AC570" i="457" s="1"/>
  <c r="AA573" i="457"/>
  <c r="K575" i="457"/>
  <c r="G577" i="457"/>
  <c r="K580" i="457"/>
  <c r="R582" i="457"/>
  <c r="AA587" i="457"/>
  <c r="K589" i="457"/>
  <c r="K594" i="457"/>
  <c r="AA597" i="457"/>
  <c r="AB597" i="457" s="1"/>
  <c r="K599" i="457"/>
  <c r="R601" i="457"/>
  <c r="AB602" i="457"/>
  <c r="AC602" i="457" s="1"/>
  <c r="AB637" i="457"/>
  <c r="AC637" i="457" s="1"/>
  <c r="AB645" i="457"/>
  <c r="AC645" i="457" s="1"/>
  <c r="AB653" i="457"/>
  <c r="AB660" i="457"/>
  <c r="AB669" i="457"/>
  <c r="AB236" i="457"/>
  <c r="R238" i="457"/>
  <c r="R242" i="457"/>
  <c r="R246" i="457"/>
  <c r="R249" i="457"/>
  <c r="AB250" i="457"/>
  <c r="AC250" i="457" s="1"/>
  <c r="AB258" i="457"/>
  <c r="AC258" i="457" s="1"/>
  <c r="AB260" i="457"/>
  <c r="AC260" i="457" s="1"/>
  <c r="K265" i="457"/>
  <c r="AC265" i="457" s="1"/>
  <c r="AB265" i="457"/>
  <c r="AB267" i="457"/>
  <c r="AC267" i="457" s="1"/>
  <c r="AA268" i="457"/>
  <c r="K269" i="457"/>
  <c r="R269" i="457"/>
  <c r="K270" i="457"/>
  <c r="AA275" i="457"/>
  <c r="D277" i="457"/>
  <c r="D279" i="457" s="1"/>
  <c r="K279" i="457" s="1"/>
  <c r="AA278" i="457"/>
  <c r="AB280" i="457"/>
  <c r="AC280" i="457" s="1"/>
  <c r="AA281" i="457"/>
  <c r="K282" i="457"/>
  <c r="R282" i="457"/>
  <c r="K283" i="457"/>
  <c r="AA285" i="457"/>
  <c r="R289" i="457"/>
  <c r="AA290" i="457"/>
  <c r="AB301" i="457"/>
  <c r="AB302" i="457"/>
  <c r="AB304" i="457"/>
  <c r="AB318" i="457"/>
  <c r="AB319" i="457"/>
  <c r="AB321" i="457"/>
  <c r="AB333" i="457"/>
  <c r="AC333" i="457" s="1"/>
  <c r="AB335" i="457"/>
  <c r="AC335" i="457" s="1"/>
  <c r="AB341" i="457"/>
  <c r="AC341" i="457" s="1"/>
  <c r="AA346" i="457"/>
  <c r="AB369" i="457"/>
  <c r="AC369" i="457" s="1"/>
  <c r="AB371" i="457"/>
  <c r="AC371" i="457" s="1"/>
  <c r="AB375" i="457"/>
  <c r="AC375" i="457" s="1"/>
  <c r="AB376" i="457"/>
  <c r="AC376" i="457" s="1"/>
  <c r="AB381" i="457"/>
  <c r="AC381" i="457" s="1"/>
  <c r="AB382" i="457"/>
  <c r="AC382" i="457" s="1"/>
  <c r="AB401" i="457"/>
  <c r="AC401" i="457" s="1"/>
  <c r="AB403" i="457"/>
  <c r="AC403" i="457" s="1"/>
  <c r="AB407" i="457"/>
  <c r="AC407" i="457" s="1"/>
  <c r="AB408" i="457"/>
  <c r="AC408" i="457" s="1"/>
  <c r="AB413" i="457"/>
  <c r="AC413" i="457" s="1"/>
  <c r="AB414" i="457"/>
  <c r="AC414" i="457" s="1"/>
  <c r="R415" i="457"/>
  <c r="K419" i="457"/>
  <c r="R432" i="457"/>
  <c r="AA432" i="457"/>
  <c r="AB438" i="457"/>
  <c r="AC438" i="457" s="1"/>
  <c r="AB440" i="457"/>
  <c r="AB454" i="457"/>
  <c r="AC454" i="457" s="1"/>
  <c r="AB456" i="457"/>
  <c r="AC461" i="457"/>
  <c r="AB470" i="457"/>
  <c r="AC470" i="457" s="1"/>
  <c r="R473" i="457"/>
  <c r="AC475" i="457"/>
  <c r="U480" i="457"/>
  <c r="U349" i="457" s="1"/>
  <c r="U348" i="457" s="1"/>
  <c r="Y480" i="457"/>
  <c r="R483" i="457"/>
  <c r="R496" i="457"/>
  <c r="AA496" i="457"/>
  <c r="AB500" i="457"/>
  <c r="AC500" i="457" s="1"/>
  <c r="AB502" i="457"/>
  <c r="AC502" i="457" s="1"/>
  <c r="K507" i="457"/>
  <c r="K513" i="457"/>
  <c r="K515" i="457"/>
  <c r="K517" i="457"/>
  <c r="K519" i="457"/>
  <c r="K521" i="457"/>
  <c r="K528" i="457"/>
  <c r="R530" i="457"/>
  <c r="AA530" i="457"/>
  <c r="K536" i="457"/>
  <c r="R538" i="457"/>
  <c r="AA538" i="457"/>
  <c r="K542" i="457"/>
  <c r="R544" i="457"/>
  <c r="R549" i="457"/>
  <c r="AB550" i="457"/>
  <c r="AC550" i="457" s="1"/>
  <c r="AA553" i="457"/>
  <c r="K555" i="457"/>
  <c r="R557" i="457"/>
  <c r="K561" i="457"/>
  <c r="R563" i="457"/>
  <c r="AB564" i="457"/>
  <c r="AC564" i="457" s="1"/>
  <c r="K569" i="457"/>
  <c r="R571" i="457"/>
  <c r="AB572" i="457"/>
  <c r="AC572" i="457" s="1"/>
  <c r="V577" i="457"/>
  <c r="V349" i="457" s="1"/>
  <c r="Z577" i="457"/>
  <c r="K582" i="457"/>
  <c r="R584" i="457"/>
  <c r="AA584" i="457"/>
  <c r="AB596" i="457"/>
  <c r="AC596" i="457" s="1"/>
  <c r="K601" i="457"/>
  <c r="R603" i="457"/>
  <c r="AB626" i="457"/>
  <c r="AB643" i="457"/>
  <c r="AC643" i="457" s="1"/>
  <c r="AB651" i="457"/>
  <c r="AC651" i="457" s="1"/>
  <c r="AB658" i="457"/>
  <c r="AB666" i="457"/>
  <c r="AB703" i="457"/>
  <c r="AB727" i="457"/>
  <c r="AC727" i="457" s="1"/>
  <c r="K606" i="457"/>
  <c r="K609" i="457"/>
  <c r="O617" i="457"/>
  <c r="O612" i="457" s="1"/>
  <c r="O611" i="457" s="1"/>
  <c r="T617" i="457"/>
  <c r="T612" i="457" s="1"/>
  <c r="T611" i="457" s="1"/>
  <c r="X617" i="457"/>
  <c r="X612" i="457" s="1"/>
  <c r="X611" i="457" s="1"/>
  <c r="AB620" i="457"/>
  <c r="AA623" i="457"/>
  <c r="K627" i="457"/>
  <c r="K630" i="457"/>
  <c r="R630" i="457"/>
  <c r="AA630" i="457"/>
  <c r="AC684" i="457"/>
  <c r="AB688" i="457"/>
  <c r="AA698" i="457"/>
  <c r="AB701" i="457"/>
  <c r="AC701" i="457" s="1"/>
  <c r="V707" i="457"/>
  <c r="V697" i="457" s="1"/>
  <c r="V696" i="457" s="1"/>
  <c r="Z707" i="457"/>
  <c r="Z697" i="457" s="1"/>
  <c r="Z696" i="457" s="1"/>
  <c r="AB709" i="457"/>
  <c r="AC709" i="457" s="1"/>
  <c r="AB712" i="457"/>
  <c r="AC712" i="457" s="1"/>
  <c r="AA713" i="457"/>
  <c r="AB730" i="457"/>
  <c r="AC730" i="457" s="1"/>
  <c r="K737" i="457"/>
  <c r="AA737" i="457"/>
  <c r="K739" i="457"/>
  <c r="K746" i="457"/>
  <c r="N745" i="457"/>
  <c r="AA746" i="457"/>
  <c r="W745" i="457"/>
  <c r="W723" i="457" s="1"/>
  <c r="W722" i="457" s="1"/>
  <c r="W721" i="457" s="1"/>
  <c r="W720" i="457" s="1"/>
  <c r="W719" i="457" s="1"/>
  <c r="X745" i="457"/>
  <c r="K753" i="457"/>
  <c r="AA753" i="457"/>
  <c r="AB755" i="457"/>
  <c r="AC755" i="457" s="1"/>
  <c r="J851" i="457"/>
  <c r="J835" i="457" s="1"/>
  <c r="J822" i="457" s="1"/>
  <c r="N928" i="457"/>
  <c r="W928" i="457"/>
  <c r="AC943" i="457"/>
  <c r="G617" i="457"/>
  <c r="G612" i="457" s="1"/>
  <c r="G611" i="457" s="1"/>
  <c r="P617" i="457"/>
  <c r="P612" i="457" s="1"/>
  <c r="P611" i="457" s="1"/>
  <c r="AA625" i="457"/>
  <c r="R632" i="457"/>
  <c r="AA632" i="457"/>
  <c r="AC647" i="457"/>
  <c r="AC653" i="457"/>
  <c r="AC655" i="457"/>
  <c r="AC682" i="457"/>
  <c r="AB695" i="457"/>
  <c r="N697" i="457"/>
  <c r="N696" i="457" s="1"/>
  <c r="AA708" i="457"/>
  <c r="O707" i="457"/>
  <c r="O697" i="457" s="1"/>
  <c r="O696" i="457" s="1"/>
  <c r="T707" i="457"/>
  <c r="T697" i="457" s="1"/>
  <c r="T696" i="457" s="1"/>
  <c r="X707" i="457"/>
  <c r="X697" i="457" s="1"/>
  <c r="X696" i="457" s="1"/>
  <c r="J723" i="457"/>
  <c r="J722" i="457" s="1"/>
  <c r="J721" i="457" s="1"/>
  <c r="J720" i="457" s="1"/>
  <c r="J719" i="457" s="1"/>
  <c r="K733" i="457"/>
  <c r="AA733" i="457"/>
  <c r="K735" i="457"/>
  <c r="AA743" i="457"/>
  <c r="K749" i="457"/>
  <c r="AA749" i="457"/>
  <c r="K751" i="457"/>
  <c r="AB752" i="457"/>
  <c r="AC752" i="457" s="1"/>
  <c r="D758" i="457"/>
  <c r="H758" i="457"/>
  <c r="H723" i="457" s="1"/>
  <c r="H722" i="457" s="1"/>
  <c r="H721" i="457" s="1"/>
  <c r="H720" i="457" s="1"/>
  <c r="H719" i="457" s="1"/>
  <c r="AB803" i="457"/>
  <c r="AC803" i="457" s="1"/>
  <c r="AA831" i="457"/>
  <c r="S824" i="457"/>
  <c r="S823" i="457" s="1"/>
  <c r="AC866" i="457"/>
  <c r="R902" i="457"/>
  <c r="K1118" i="457"/>
  <c r="F1116" i="457"/>
  <c r="F1115" i="457" s="1"/>
  <c r="F1114" i="457" s="1"/>
  <c r="F1113" i="457" s="1"/>
  <c r="F1112" i="457" s="1"/>
  <c r="F1111" i="457" s="1"/>
  <c r="F1135" i="457" s="1"/>
  <c r="P1111" i="457"/>
  <c r="P1135" i="457" s="1"/>
  <c r="AB604" i="457"/>
  <c r="AC604" i="457" s="1"/>
  <c r="AB608" i="457"/>
  <c r="H617" i="457"/>
  <c r="H612" i="457" s="1"/>
  <c r="H611" i="457" s="1"/>
  <c r="K623" i="457"/>
  <c r="AB624" i="457"/>
  <c r="AA627" i="457"/>
  <c r="AB642" i="457"/>
  <c r="AC642" i="457" s="1"/>
  <c r="AB648" i="457"/>
  <c r="AC648" i="457" s="1"/>
  <c r="AB650" i="457"/>
  <c r="AC650" i="457" s="1"/>
  <c r="AB656" i="457"/>
  <c r="AC656" i="457" s="1"/>
  <c r="AB661" i="457"/>
  <c r="AB662" i="457"/>
  <c r="AB667" i="457"/>
  <c r="AB668" i="457"/>
  <c r="AB671" i="457"/>
  <c r="AB672" i="457"/>
  <c r="K698" i="457"/>
  <c r="Y697" i="457"/>
  <c r="Y696" i="457" s="1"/>
  <c r="AB700" i="457"/>
  <c r="AC700" i="457" s="1"/>
  <c r="R704" i="457"/>
  <c r="W697" i="457"/>
  <c r="W696" i="457" s="1"/>
  <c r="J697" i="457"/>
  <c r="J696" i="457" s="1"/>
  <c r="K713" i="457"/>
  <c r="P707" i="457"/>
  <c r="P697" i="457" s="1"/>
  <c r="P696" i="457" s="1"/>
  <c r="U707" i="457"/>
  <c r="U697" i="457" s="1"/>
  <c r="AB714" i="457"/>
  <c r="AC714" i="457" s="1"/>
  <c r="AB718" i="457"/>
  <c r="AC718" i="457" s="1"/>
  <c r="K729" i="457"/>
  <c r="AA729" i="457"/>
  <c r="AB732" i="457"/>
  <c r="AC732" i="457" s="1"/>
  <c r="AB738" i="457"/>
  <c r="AC738" i="457" s="1"/>
  <c r="AA739" i="457"/>
  <c r="Y745" i="457"/>
  <c r="AB748" i="457"/>
  <c r="AC748" i="457" s="1"/>
  <c r="D745" i="457"/>
  <c r="D723" i="457" s="1"/>
  <c r="D722" i="457" s="1"/>
  <c r="AB754" i="457"/>
  <c r="AC754" i="457" s="1"/>
  <c r="AB775" i="457"/>
  <c r="AB811" i="457"/>
  <c r="AC811" i="457" s="1"/>
  <c r="R869" i="457"/>
  <c r="M862" i="457"/>
  <c r="M861" i="457" s="1"/>
  <c r="M851" i="457" s="1"/>
  <c r="K899" i="457"/>
  <c r="G896" i="457"/>
  <c r="K896" i="457" s="1"/>
  <c r="M758" i="457"/>
  <c r="K765" i="457"/>
  <c r="AA765" i="457"/>
  <c r="K767" i="457"/>
  <c r="AC768" i="457"/>
  <c r="AB773" i="457"/>
  <c r="AC773" i="457" s="1"/>
  <c r="AB780" i="457"/>
  <c r="AC780" i="457" s="1"/>
  <c r="AB793" i="457"/>
  <c r="AC793" i="457" s="1"/>
  <c r="AB797" i="457"/>
  <c r="AC797" i="457" s="1"/>
  <c r="K831" i="457"/>
  <c r="H851" i="457"/>
  <c r="AB857" i="457"/>
  <c r="K869" i="457"/>
  <c r="AA869" i="457"/>
  <c r="AB875" i="457"/>
  <c r="AC886" i="457"/>
  <c r="AB887" i="457"/>
  <c r="AC887" i="457" s="1"/>
  <c r="AA902" i="457"/>
  <c r="R905" i="457"/>
  <c r="AA905" i="457"/>
  <c r="K918" i="457"/>
  <c r="AC919" i="457"/>
  <c r="AB939" i="457"/>
  <c r="J928" i="457"/>
  <c r="R949" i="457"/>
  <c r="AA949" i="457"/>
  <c r="AC969" i="457"/>
  <c r="J1016" i="457"/>
  <c r="J1015" i="457" s="1"/>
  <c r="AC1087" i="457"/>
  <c r="K1122" i="457"/>
  <c r="D1121" i="457"/>
  <c r="K761" i="457"/>
  <c r="AA761" i="457"/>
  <c r="AB764" i="457"/>
  <c r="AC764" i="457" s="1"/>
  <c r="AB770" i="457"/>
  <c r="AC770" i="457" s="1"/>
  <c r="AA771" i="457"/>
  <c r="AC777" i="457"/>
  <c r="AB827" i="457"/>
  <c r="AC827" i="457" s="1"/>
  <c r="AB828" i="457"/>
  <c r="AC828" i="457" s="1"/>
  <c r="AB837" i="457"/>
  <c r="AC837" i="457" s="1"/>
  <c r="AB842" i="457"/>
  <c r="AC842" i="457" s="1"/>
  <c r="AB848" i="457"/>
  <c r="AC848" i="457" s="1"/>
  <c r="AB850" i="457"/>
  <c r="AC850" i="457" s="1"/>
  <c r="Y861" i="457"/>
  <c r="Y851" i="457" s="1"/>
  <c r="Y835" i="457" s="1"/>
  <c r="Y822" i="457" s="1"/>
  <c r="AB863" i="457"/>
  <c r="AC863" i="457" s="1"/>
  <c r="AB871" i="457"/>
  <c r="AB872" i="457"/>
  <c r="AC872" i="457" s="1"/>
  <c r="P884" i="457"/>
  <c r="U884" i="457"/>
  <c r="AB894" i="457"/>
  <c r="AC894" i="457" s="1"/>
  <c r="AA899" i="457"/>
  <c r="Z920" i="457"/>
  <c r="AA975" i="457"/>
  <c r="J981" i="457"/>
  <c r="J980" i="457" s="1"/>
  <c r="O981" i="457"/>
  <c r="O980" i="457" s="1"/>
  <c r="X981" i="457"/>
  <c r="X980" i="457" s="1"/>
  <c r="AA1027" i="457"/>
  <c r="AC1034" i="457"/>
  <c r="AC1044" i="457"/>
  <c r="AC1056" i="457"/>
  <c r="K759" i="457"/>
  <c r="P758" i="457"/>
  <c r="P723" i="457" s="1"/>
  <c r="P722" i="457" s="1"/>
  <c r="P721" i="457" s="1"/>
  <c r="P720" i="457" s="1"/>
  <c r="P719" i="457" s="1"/>
  <c r="AB760" i="457"/>
  <c r="AC760" i="457" s="1"/>
  <c r="AB766" i="457"/>
  <c r="AC766" i="457" s="1"/>
  <c r="AA767" i="457"/>
  <c r="AB788" i="457"/>
  <c r="AC788" i="457" s="1"/>
  <c r="AB792" i="457"/>
  <c r="AC792" i="457" s="1"/>
  <c r="AC805" i="457"/>
  <c r="AC845" i="457"/>
  <c r="K854" i="457"/>
  <c r="AA858" i="457"/>
  <c r="U861" i="457"/>
  <c r="U851" i="457" s="1"/>
  <c r="AC868" i="457"/>
  <c r="G861" i="457"/>
  <c r="G851" i="457" s="1"/>
  <c r="AB876" i="457"/>
  <c r="AC876" i="457" s="1"/>
  <c r="AB877" i="457"/>
  <c r="AC877" i="457" s="1"/>
  <c r="AB883" i="457"/>
  <c r="AC883" i="457" s="1"/>
  <c r="M884" i="457"/>
  <c r="AA896" i="457"/>
  <c r="AB897" i="457"/>
  <c r="AC897" i="457" s="1"/>
  <c r="S901" i="457"/>
  <c r="AB904" i="457"/>
  <c r="AC904" i="457" s="1"/>
  <c r="AB907" i="457"/>
  <c r="AC907" i="457" s="1"/>
  <c r="V909" i="457"/>
  <c r="H928" i="457"/>
  <c r="H927" i="457" s="1"/>
  <c r="H920" i="457" s="1"/>
  <c r="M928" i="457"/>
  <c r="Q928" i="457"/>
  <c r="AC947" i="457"/>
  <c r="AB957" i="457"/>
  <c r="AC957" i="457" s="1"/>
  <c r="AB962" i="457"/>
  <c r="AC962" i="457" s="1"/>
  <c r="AB963" i="457"/>
  <c r="AC963" i="457" s="1"/>
  <c r="M953" i="457"/>
  <c r="Q953" i="457"/>
  <c r="AC967" i="457"/>
  <c r="AC986" i="457"/>
  <c r="S1002" i="457"/>
  <c r="S1001" i="457" s="1"/>
  <c r="R1125" i="457"/>
  <c r="G981" i="457"/>
  <c r="G980" i="457" s="1"/>
  <c r="P981" i="457"/>
  <c r="P980" i="457" s="1"/>
  <c r="Q1016" i="457"/>
  <c r="Q1015" i="457" s="1"/>
  <c r="AC1019" i="457"/>
  <c r="AB1020" i="457"/>
  <c r="AC1020" i="457" s="1"/>
  <c r="R1023" i="457"/>
  <c r="AC1054" i="457"/>
  <c r="AC1067" i="457"/>
  <c r="AB1090" i="457"/>
  <c r="AC1090" i="457" s="1"/>
  <c r="AB1096" i="457"/>
  <c r="AC1096" i="457" s="1"/>
  <c r="Q1120" i="457"/>
  <c r="Q1111" i="457" s="1"/>
  <c r="Q1135" i="457" s="1"/>
  <c r="K1132" i="457"/>
  <c r="AB1134" i="457"/>
  <c r="AC1134" i="457" s="1"/>
  <c r="AB946" i="457"/>
  <c r="AC946" i="457" s="1"/>
  <c r="K949" i="457"/>
  <c r="AC960" i="457"/>
  <c r="AB971" i="457"/>
  <c r="AC971" i="457" s="1"/>
  <c r="N953" i="457"/>
  <c r="R973" i="457"/>
  <c r="AB978" i="457"/>
  <c r="AC989" i="457"/>
  <c r="J1002" i="457"/>
  <c r="J1001" i="457" s="1"/>
  <c r="AB1005" i="457"/>
  <c r="AC1005" i="457" s="1"/>
  <c r="P1002" i="457"/>
  <c r="P1001" i="457" s="1"/>
  <c r="K1023" i="457"/>
  <c r="AC1030" i="457"/>
  <c r="AC1062" i="457"/>
  <c r="AC1075" i="457"/>
  <c r="R1078" i="457"/>
  <c r="AB1088" i="457"/>
  <c r="AC1088" i="457" s="1"/>
  <c r="AA1118" i="457"/>
  <c r="K1123" i="457"/>
  <c r="K1125" i="457"/>
  <c r="K1127" i="457"/>
  <c r="AB942" i="457"/>
  <c r="AC942" i="457" s="1"/>
  <c r="AB951" i="457"/>
  <c r="AC951" i="457" s="1"/>
  <c r="Y953" i="457"/>
  <c r="P953" i="457"/>
  <c r="J953" i="457"/>
  <c r="AB988" i="457"/>
  <c r="AB995" i="457"/>
  <c r="AC995" i="457" s="1"/>
  <c r="AA992" i="457"/>
  <c r="AC1004" i="457"/>
  <c r="H1002" i="457"/>
  <c r="H1001" i="457" s="1"/>
  <c r="AA1023" i="457"/>
  <c r="AB1031" i="457"/>
  <c r="AC1031" i="457" s="1"/>
  <c r="AC1038" i="457"/>
  <c r="AB1051" i="457"/>
  <c r="AC1051" i="457" s="1"/>
  <c r="AB1061" i="457"/>
  <c r="AC1061" i="457" s="1"/>
  <c r="AB1063" i="457"/>
  <c r="AC1063" i="457" s="1"/>
  <c r="AB1093" i="457"/>
  <c r="AC1093" i="457" s="1"/>
  <c r="AB1099" i="457"/>
  <c r="AC1099" i="457" s="1"/>
  <c r="AB1100" i="457"/>
  <c r="AC1100" i="457" s="1"/>
  <c r="AB1103" i="457"/>
  <c r="AC1103" i="457" s="1"/>
  <c r="O1111" i="457"/>
  <c r="O1135" i="457" s="1"/>
  <c r="R1118" i="457"/>
  <c r="AB1131" i="457"/>
  <c r="AC1131" i="457" s="1"/>
  <c r="AA117" i="457"/>
  <c r="AC23" i="457"/>
  <c r="P30" i="457"/>
  <c r="P13" i="457" s="1"/>
  <c r="AC67" i="457"/>
  <c r="AA93" i="457"/>
  <c r="AB107" i="457"/>
  <c r="AC126" i="457"/>
  <c r="S182" i="457"/>
  <c r="AA183" i="457"/>
  <c r="K182" i="457"/>
  <c r="K183" i="457"/>
  <c r="AC73" i="457"/>
  <c r="R143" i="457"/>
  <c r="S151" i="457"/>
  <c r="AA152" i="457"/>
  <c r="I191" i="457"/>
  <c r="I142" i="457" s="1"/>
  <c r="K216" i="457"/>
  <c r="R277" i="457"/>
  <c r="M277" i="457"/>
  <c r="M279" i="457" s="1"/>
  <c r="R278" i="457"/>
  <c r="AB278" i="457" s="1"/>
  <c r="R339" i="457"/>
  <c r="R606" i="457"/>
  <c r="S14" i="457"/>
  <c r="S52" i="457"/>
  <c r="N80" i="457"/>
  <c r="N79" i="457" s="1"/>
  <c r="N30" i="457" s="1"/>
  <c r="N13" i="457" s="1"/>
  <c r="K94" i="457"/>
  <c r="AA94" i="457"/>
  <c r="R147" i="457"/>
  <c r="AA153" i="457"/>
  <c r="R162" i="457"/>
  <c r="AB162" i="457" s="1"/>
  <c r="AC162" i="457" s="1"/>
  <c r="R164" i="457"/>
  <c r="R166" i="457"/>
  <c r="AA184" i="457"/>
  <c r="D191" i="457"/>
  <c r="T191" i="457"/>
  <c r="G201" i="457"/>
  <c r="R202" i="457"/>
  <c r="AA206" i="457"/>
  <c r="R230" i="457"/>
  <c r="L225" i="457"/>
  <c r="U225" i="457"/>
  <c r="U224" i="457" s="1"/>
  <c r="U223" i="457" s="1"/>
  <c r="U222" i="457" s="1"/>
  <c r="U221" i="457" s="1"/>
  <c r="K236" i="457"/>
  <c r="AC236" i="457" s="1"/>
  <c r="D224" i="457"/>
  <c r="M251" i="457"/>
  <c r="R252" i="457"/>
  <c r="K255" i="457"/>
  <c r="R262" i="457"/>
  <c r="R268" i="457"/>
  <c r="AB268" i="457" s="1"/>
  <c r="R290" i="457"/>
  <c r="AB290" i="457" s="1"/>
  <c r="F338" i="457"/>
  <c r="F337" i="457" s="1"/>
  <c r="K339" i="457"/>
  <c r="AA338" i="457"/>
  <c r="S337" i="457"/>
  <c r="AA337" i="457" s="1"/>
  <c r="AA355" i="457"/>
  <c r="G758" i="457"/>
  <c r="R94" i="457"/>
  <c r="AB94" i="457" s="1"/>
  <c r="AA143" i="457"/>
  <c r="R227" i="457"/>
  <c r="AA230" i="457"/>
  <c r="T225" i="457"/>
  <c r="T224" i="457" s="1"/>
  <c r="T223" i="457" s="1"/>
  <c r="T222" i="457" s="1"/>
  <c r="T221" i="457" s="1"/>
  <c r="R355" i="457"/>
  <c r="D14" i="457"/>
  <c r="L14" i="457"/>
  <c r="D52" i="457"/>
  <c r="L52" i="457"/>
  <c r="S80" i="457"/>
  <c r="D143" i="457"/>
  <c r="AA145" i="457"/>
  <c r="AB145" i="457" s="1"/>
  <c r="AC145" i="457" s="1"/>
  <c r="AA146" i="457"/>
  <c r="AA147" i="457"/>
  <c r="R163" i="457"/>
  <c r="AB163" i="457" s="1"/>
  <c r="R165" i="457"/>
  <c r="R167" i="457"/>
  <c r="AB167" i="457" s="1"/>
  <c r="R170" i="457"/>
  <c r="R172" i="457"/>
  <c r="AB172" i="457" s="1"/>
  <c r="R174" i="457"/>
  <c r="P191" i="457"/>
  <c r="P142" i="457" s="1"/>
  <c r="AA192" i="457"/>
  <c r="F191" i="457"/>
  <c r="F142" i="457" s="1"/>
  <c r="M208" i="457"/>
  <c r="AA212" i="457"/>
  <c r="AA216" i="457"/>
  <c r="AA217" i="457"/>
  <c r="M225" i="457"/>
  <c r="M224" i="457" s="1"/>
  <c r="M223" i="457" s="1"/>
  <c r="M222" i="457" s="1"/>
  <c r="M221" i="457" s="1"/>
  <c r="Q225" i="457"/>
  <c r="Q224" i="457" s="1"/>
  <c r="Q223" i="457" s="1"/>
  <c r="Q222" i="457" s="1"/>
  <c r="Q221" i="457" s="1"/>
  <c r="AA231" i="457"/>
  <c r="AB231" i="457" s="1"/>
  <c r="AA235" i="457"/>
  <c r="AB235" i="457" s="1"/>
  <c r="AC235" i="457" s="1"/>
  <c r="AA237" i="457"/>
  <c r="AA238" i="457"/>
  <c r="AB238" i="457" s="1"/>
  <c r="AC238" i="457" s="1"/>
  <c r="AA248" i="457"/>
  <c r="AA249" i="457"/>
  <c r="AA252" i="457"/>
  <c r="K254" i="457"/>
  <c r="R255" i="457"/>
  <c r="R270" i="457"/>
  <c r="AB270" i="457" s="1"/>
  <c r="AA271" i="457"/>
  <c r="R281" i="457"/>
  <c r="AB281" i="457" s="1"/>
  <c r="AC281" i="457" s="1"/>
  <c r="AA282" i="457"/>
  <c r="AB282" i="457" s="1"/>
  <c r="D337" i="457"/>
  <c r="R338" i="457"/>
  <c r="L337" i="457"/>
  <c r="R337" i="457" s="1"/>
  <c r="R346" i="457"/>
  <c r="L345" i="457"/>
  <c r="K248" i="457"/>
  <c r="AA255" i="457"/>
  <c r="R261" i="457"/>
  <c r="K350" i="457"/>
  <c r="M152" i="457"/>
  <c r="M151" i="457" s="1"/>
  <c r="R169" i="457"/>
  <c r="AB169" i="457" s="1"/>
  <c r="AC169" i="457" s="1"/>
  <c r="R171" i="457"/>
  <c r="R173" i="457"/>
  <c r="R176" i="457"/>
  <c r="R178" i="457"/>
  <c r="AB178" i="457" s="1"/>
  <c r="R180" i="457"/>
  <c r="R184" i="457"/>
  <c r="R192" i="457"/>
  <c r="AB195" i="457"/>
  <c r="AC195" i="457" s="1"/>
  <c r="AB199" i="457"/>
  <c r="AC199" i="457" s="1"/>
  <c r="AA208" i="457"/>
  <c r="K217" i="457"/>
  <c r="K230" i="457"/>
  <c r="AB233" i="457"/>
  <c r="AA234" i="457"/>
  <c r="AB234" i="457" s="1"/>
  <c r="AC234" i="457" s="1"/>
  <c r="K239" i="457"/>
  <c r="AA239" i="457"/>
  <c r="R240" i="457"/>
  <c r="AA241" i="457"/>
  <c r="AA242" i="457"/>
  <c r="K249" i="457"/>
  <c r="K266" i="457"/>
  <c r="AC266" i="457" s="1"/>
  <c r="AA273" i="457"/>
  <c r="R275" i="457"/>
  <c r="K277" i="457"/>
  <c r="R283" i="457"/>
  <c r="AA284" i="457"/>
  <c r="AC314" i="457"/>
  <c r="AA344" i="457"/>
  <c r="S343" i="457"/>
  <c r="AA343" i="457" s="1"/>
  <c r="K346" i="457"/>
  <c r="D345" i="457"/>
  <c r="R350" i="457"/>
  <c r="L354" i="457"/>
  <c r="R354" i="457" s="1"/>
  <c r="AA357" i="457"/>
  <c r="AC429" i="457"/>
  <c r="AC437" i="457"/>
  <c r="AC443" i="457"/>
  <c r="I617" i="457"/>
  <c r="I612" i="457" s="1"/>
  <c r="I611" i="457" s="1"/>
  <c r="S225" i="457"/>
  <c r="L279" i="457"/>
  <c r="R279" i="457" s="1"/>
  <c r="AB279" i="457" s="1"/>
  <c r="AA339" i="457"/>
  <c r="AA345" i="457"/>
  <c r="K361" i="457"/>
  <c r="K363" i="457"/>
  <c r="AC420" i="457"/>
  <c r="AA423" i="457"/>
  <c r="AC440" i="457"/>
  <c r="AC456" i="457"/>
  <c r="AC468" i="457"/>
  <c r="AC514" i="457"/>
  <c r="AC522" i="457"/>
  <c r="AA524" i="457"/>
  <c r="AA528" i="457"/>
  <c r="AB528" i="457" s="1"/>
  <c r="AC528" i="457" s="1"/>
  <c r="AA532" i="457"/>
  <c r="AB532" i="457" s="1"/>
  <c r="AC532" i="457" s="1"/>
  <c r="AA536" i="457"/>
  <c r="AB536" i="457" s="1"/>
  <c r="AA540" i="457"/>
  <c r="AA544" i="457"/>
  <c r="R578" i="457"/>
  <c r="AA592" i="457"/>
  <c r="AA606" i="457"/>
  <c r="L617" i="457"/>
  <c r="R618" i="457"/>
  <c r="AB619" i="457"/>
  <c r="V617" i="457"/>
  <c r="V612" i="457" s="1"/>
  <c r="V611" i="457" s="1"/>
  <c r="Z617" i="457"/>
  <c r="Z612" i="457" s="1"/>
  <c r="Z611" i="457" s="1"/>
  <c r="AC686" i="457"/>
  <c r="AB416" i="457"/>
  <c r="AC416" i="457" s="1"/>
  <c r="AA419" i="457"/>
  <c r="AB419" i="457" s="1"/>
  <c r="AB422" i="457"/>
  <c r="AC422" i="457" s="1"/>
  <c r="AB428" i="457"/>
  <c r="AC428" i="457" s="1"/>
  <c r="AB434" i="457"/>
  <c r="AC434" i="457" s="1"/>
  <c r="AB442" i="457"/>
  <c r="AC442" i="457" s="1"/>
  <c r="AB450" i="457"/>
  <c r="AC450" i="457" s="1"/>
  <c r="AB458" i="457"/>
  <c r="AC458" i="457" s="1"/>
  <c r="AB466" i="457"/>
  <c r="AC466" i="457" s="1"/>
  <c r="AA473" i="457"/>
  <c r="AC478" i="457"/>
  <c r="R481" i="457"/>
  <c r="L480" i="457"/>
  <c r="P480" i="457"/>
  <c r="AC482" i="457"/>
  <c r="AC486" i="457"/>
  <c r="AC491" i="457"/>
  <c r="AC497" i="457"/>
  <c r="AA501" i="457"/>
  <c r="AC506" i="457"/>
  <c r="AC516" i="457"/>
  <c r="AA519" i="457"/>
  <c r="AC523" i="457"/>
  <c r="AC531" i="457"/>
  <c r="AC543" i="457"/>
  <c r="AA551" i="457"/>
  <c r="AA555" i="457"/>
  <c r="AA559" i="457"/>
  <c r="AB559" i="457" s="1"/>
  <c r="AA563" i="457"/>
  <c r="AB563" i="457" s="1"/>
  <c r="AA567" i="457"/>
  <c r="AB567" i="457" s="1"/>
  <c r="AA571" i="457"/>
  <c r="AA575" i="457"/>
  <c r="F577" i="457"/>
  <c r="K578" i="457"/>
  <c r="J577" i="457"/>
  <c r="AA582" i="457"/>
  <c r="R587" i="457"/>
  <c r="AB587" i="457" s="1"/>
  <c r="L586" i="457"/>
  <c r="R586" i="457" s="1"/>
  <c r="AA589" i="457"/>
  <c r="AC595" i="457"/>
  <c r="AA599" i="457"/>
  <c r="AB599" i="457" s="1"/>
  <c r="AC599" i="457" s="1"/>
  <c r="AA603" i="457"/>
  <c r="AB603" i="457" s="1"/>
  <c r="AA609" i="457"/>
  <c r="AC613" i="457"/>
  <c r="AB616" i="457"/>
  <c r="AC616" i="457" s="1"/>
  <c r="K618" i="457"/>
  <c r="D617" i="457"/>
  <c r="R621" i="457"/>
  <c r="AB621" i="457" s="1"/>
  <c r="F617" i="457"/>
  <c r="F612" i="457" s="1"/>
  <c r="F611" i="457" s="1"/>
  <c r="J617" i="457"/>
  <c r="J612" i="457" s="1"/>
  <c r="J611" i="457" s="1"/>
  <c r="R623" i="457"/>
  <c r="R625" i="457"/>
  <c r="R627" i="457"/>
  <c r="AB627" i="457" s="1"/>
  <c r="AB635" i="457"/>
  <c r="AB644" i="457"/>
  <c r="AC644" i="457" s="1"/>
  <c r="AB652" i="457"/>
  <c r="AC652" i="457" s="1"/>
  <c r="AC658" i="457"/>
  <c r="AC664" i="457"/>
  <c r="AC676" i="457"/>
  <c r="AC690" i="457"/>
  <c r="F707" i="457"/>
  <c r="F697" i="457" s="1"/>
  <c r="K708" i="457"/>
  <c r="K724" i="457"/>
  <c r="V723" i="457"/>
  <c r="V722" i="457" s="1"/>
  <c r="V721" i="457" s="1"/>
  <c r="V720" i="457" s="1"/>
  <c r="V719" i="457" s="1"/>
  <c r="AA724" i="457"/>
  <c r="G916" i="457"/>
  <c r="K916" i="457" s="1"/>
  <c r="K917" i="457"/>
  <c r="L151" i="457"/>
  <c r="L183" i="457"/>
  <c r="L201" i="457"/>
  <c r="L216" i="457"/>
  <c r="R216" i="457" s="1"/>
  <c r="L248" i="457"/>
  <c r="R248" i="457" s="1"/>
  <c r="L254" i="457"/>
  <c r="AA361" i="457"/>
  <c r="AA363" i="457"/>
  <c r="AC378" i="457"/>
  <c r="AC394" i="457"/>
  <c r="AC402" i="457"/>
  <c r="AC410" i="457"/>
  <c r="K415" i="457"/>
  <c r="AB418" i="457"/>
  <c r="AC418" i="457" s="1"/>
  <c r="R423" i="457"/>
  <c r="AB430" i="457"/>
  <c r="AC430" i="457" s="1"/>
  <c r="AB436" i="457"/>
  <c r="AC436" i="457" s="1"/>
  <c r="AB444" i="457"/>
  <c r="AC444" i="457" s="1"/>
  <c r="AB452" i="457"/>
  <c r="AC452" i="457" s="1"/>
  <c r="AB460" i="457"/>
  <c r="AC460" i="457" s="1"/>
  <c r="AC467" i="457"/>
  <c r="K481" i="457"/>
  <c r="D480" i="457"/>
  <c r="H480" i="457"/>
  <c r="H349" i="457" s="1"/>
  <c r="H348" i="457" s="1"/>
  <c r="AA513" i="457"/>
  <c r="AB513" i="457" s="1"/>
  <c r="AA521" i="457"/>
  <c r="AB521" i="457" s="1"/>
  <c r="AA586" i="457"/>
  <c r="K587" i="457"/>
  <c r="D586" i="457"/>
  <c r="K586" i="457" s="1"/>
  <c r="U605" i="457"/>
  <c r="Y605" i="457"/>
  <c r="AA618" i="457"/>
  <c r="K621" i="457"/>
  <c r="K625" i="457"/>
  <c r="AC629" i="457"/>
  <c r="K632" i="457"/>
  <c r="AB646" i="457"/>
  <c r="AC646" i="457" s="1"/>
  <c r="AB654" i="457"/>
  <c r="AC654" i="457" s="1"/>
  <c r="L697" i="457"/>
  <c r="D861" i="457"/>
  <c r="K861" i="457" s="1"/>
  <c r="K862" i="457"/>
  <c r="AA578" i="457"/>
  <c r="N617" i="457"/>
  <c r="N612" i="457" s="1"/>
  <c r="N611" i="457" s="1"/>
  <c r="R698" i="457"/>
  <c r="G697" i="457"/>
  <c r="G696" i="457" s="1"/>
  <c r="Q697" i="457"/>
  <c r="Q696" i="457" s="1"/>
  <c r="AA725" i="457"/>
  <c r="G745" i="457"/>
  <c r="K745" i="457" s="1"/>
  <c r="T745" i="457"/>
  <c r="I758" i="457"/>
  <c r="Q758" i="457"/>
  <c r="K853" i="457"/>
  <c r="AC856" i="457"/>
  <c r="AA955" i="457"/>
  <c r="T954" i="457"/>
  <c r="T953" i="457" s="1"/>
  <c r="S617" i="457"/>
  <c r="AB680" i="457"/>
  <c r="AC680" i="457" s="1"/>
  <c r="AA704" i="457"/>
  <c r="AA731" i="457"/>
  <c r="M745" i="457"/>
  <c r="R746" i="457"/>
  <c r="AB746" i="457" s="1"/>
  <c r="Q745" i="457"/>
  <c r="AA759" i="457"/>
  <c r="AC775" i="457"/>
  <c r="AC791" i="457"/>
  <c r="AC830" i="457"/>
  <c r="R841" i="457"/>
  <c r="L836" i="457"/>
  <c r="R873" i="457"/>
  <c r="AB685" i="457"/>
  <c r="AC703" i="457"/>
  <c r="R708" i="457"/>
  <c r="K731" i="457"/>
  <c r="AA735" i="457"/>
  <c r="I745" i="457"/>
  <c r="AA751" i="457"/>
  <c r="O758" i="457"/>
  <c r="O723" i="457" s="1"/>
  <c r="O722" i="457" s="1"/>
  <c r="O721" i="457" s="1"/>
  <c r="O720" i="457" s="1"/>
  <c r="O719" i="457" s="1"/>
  <c r="T758" i="457"/>
  <c r="X758" i="457"/>
  <c r="AA763" i="457"/>
  <c r="AC779" i="457"/>
  <c r="D836" i="457"/>
  <c r="K841" i="457"/>
  <c r="AB702" i="457"/>
  <c r="AC702" i="457" s="1"/>
  <c r="R713" i="457"/>
  <c r="K725" i="457"/>
  <c r="AB726" i="457"/>
  <c r="AC726" i="457" s="1"/>
  <c r="R731" i="457"/>
  <c r="AB731" i="457" s="1"/>
  <c r="R735" i="457"/>
  <c r="AB735" i="457" s="1"/>
  <c r="R739" i="457"/>
  <c r="R743" i="457"/>
  <c r="R751" i="457"/>
  <c r="AB756" i="457"/>
  <c r="AC756" i="457" s="1"/>
  <c r="R759" i="457"/>
  <c r="L758" i="457"/>
  <c r="R763" i="457"/>
  <c r="R767" i="457"/>
  <c r="R771" i="457"/>
  <c r="AB778" i="457"/>
  <c r="AC778" i="457" s="1"/>
  <c r="AB786" i="457"/>
  <c r="AC786" i="457" s="1"/>
  <c r="AB794" i="457"/>
  <c r="AC794" i="457" s="1"/>
  <c r="AB800" i="457"/>
  <c r="AC800" i="457" s="1"/>
  <c r="AB804" i="457"/>
  <c r="AC804" i="457" s="1"/>
  <c r="AB808" i="457"/>
  <c r="AC808" i="457" s="1"/>
  <c r="AB812" i="457"/>
  <c r="AC812" i="457" s="1"/>
  <c r="AB816" i="457"/>
  <c r="AC816" i="457" s="1"/>
  <c r="F824" i="457"/>
  <c r="N824" i="457"/>
  <c r="AB846" i="457"/>
  <c r="AC846" i="457" s="1"/>
  <c r="R852" i="457"/>
  <c r="AB855" i="457"/>
  <c r="R858" i="457"/>
  <c r="L861" i="457"/>
  <c r="X861" i="457"/>
  <c r="X851" i="457" s="1"/>
  <c r="AC900" i="457"/>
  <c r="D902" i="457"/>
  <c r="K903" i="457"/>
  <c r="R903" i="457"/>
  <c r="AC925" i="457"/>
  <c r="K929" i="457"/>
  <c r="AC935" i="457"/>
  <c r="K1112" i="457"/>
  <c r="R725" i="457"/>
  <c r="L724" i="457"/>
  <c r="AA823" i="457"/>
  <c r="AA824" i="457"/>
  <c r="AA836" i="457"/>
  <c r="AA841" i="457"/>
  <c r="R847" i="457"/>
  <c r="L844" i="457"/>
  <c r="R844" i="457" s="1"/>
  <c r="AB844" i="457" s="1"/>
  <c r="AA852" i="457"/>
  <c r="AA853" i="457"/>
  <c r="T861" i="457"/>
  <c r="T851" i="457" s="1"/>
  <c r="T835" i="457" s="1"/>
  <c r="T822" i="457" s="1"/>
  <c r="K885" i="457"/>
  <c r="AA885" i="457"/>
  <c r="R918" i="457"/>
  <c r="L954" i="457"/>
  <c r="R955" i="457"/>
  <c r="AB706" i="457"/>
  <c r="AC706" i="457" s="1"/>
  <c r="AB710" i="457"/>
  <c r="AC710" i="457" s="1"/>
  <c r="AB716" i="457"/>
  <c r="AC716" i="457" s="1"/>
  <c r="R729" i="457"/>
  <c r="AB729" i="457" s="1"/>
  <c r="R733" i="457"/>
  <c r="R737" i="457"/>
  <c r="R741" i="457"/>
  <c r="R749" i="457"/>
  <c r="R753" i="457"/>
  <c r="R761" i="457"/>
  <c r="R765" i="457"/>
  <c r="AB765" i="457" s="1"/>
  <c r="R769" i="457"/>
  <c r="AB774" i="457"/>
  <c r="AC774" i="457" s="1"/>
  <c r="AB782" i="457"/>
  <c r="AC782" i="457" s="1"/>
  <c r="AB790" i="457"/>
  <c r="AC790" i="457" s="1"/>
  <c r="AB798" i="457"/>
  <c r="AC798" i="457" s="1"/>
  <c r="AB802" i="457"/>
  <c r="AC802" i="457" s="1"/>
  <c r="AB806" i="457"/>
  <c r="AC806" i="457" s="1"/>
  <c r="AB810" i="457"/>
  <c r="AC810" i="457" s="1"/>
  <c r="AB814" i="457"/>
  <c r="AC814" i="457" s="1"/>
  <c r="AB826" i="457"/>
  <c r="K847" i="457"/>
  <c r="D844" i="457"/>
  <c r="K844" i="457" s="1"/>
  <c r="R853" i="457"/>
  <c r="O861" i="457"/>
  <c r="O851" i="457" s="1"/>
  <c r="K873" i="457"/>
  <c r="AA873" i="457"/>
  <c r="AA880" i="457"/>
  <c r="AA901" i="457"/>
  <c r="R910" i="457"/>
  <c r="S916" i="457"/>
  <c r="AA916" i="457" s="1"/>
  <c r="AA917" i="457"/>
  <c r="R941" i="457"/>
  <c r="L940" i="457"/>
  <c r="R940" i="457" s="1"/>
  <c r="R982" i="457"/>
  <c r="AA1010" i="457"/>
  <c r="AA1011" i="457"/>
  <c r="R1012" i="457"/>
  <c r="L1011" i="457"/>
  <c r="K880" i="457"/>
  <c r="R885" i="457"/>
  <c r="L884" i="457"/>
  <c r="AA903" i="457"/>
  <c r="AA918" i="457"/>
  <c r="K921" i="457"/>
  <c r="R921" i="457"/>
  <c r="R922" i="457"/>
  <c r="G927" i="457"/>
  <c r="G920" i="457" s="1"/>
  <c r="I928" i="457"/>
  <c r="AC932" i="457"/>
  <c r="AA940" i="457"/>
  <c r="K941" i="457"/>
  <c r="D940" i="457"/>
  <c r="K940" i="457" s="1"/>
  <c r="L976" i="457"/>
  <c r="R977" i="457"/>
  <c r="R990" i="457"/>
  <c r="L987" i="457"/>
  <c r="R987" i="457" s="1"/>
  <c r="R1029" i="457"/>
  <c r="S1081" i="457"/>
  <c r="AA1081" i="457" s="1"/>
  <c r="AA1082" i="457"/>
  <c r="S1121" i="457"/>
  <c r="AA1122" i="457"/>
  <c r="S862" i="457"/>
  <c r="R880" i="457"/>
  <c r="O884" i="457"/>
  <c r="W884" i="457"/>
  <c r="K892" i="457"/>
  <c r="R892" i="457"/>
  <c r="R899" i="457"/>
  <c r="AB899" i="457" s="1"/>
  <c r="AC899" i="457" s="1"/>
  <c r="R901" i="457"/>
  <c r="K911" i="457"/>
  <c r="R911" i="457"/>
  <c r="R916" i="457"/>
  <c r="R917" i="457"/>
  <c r="K922" i="457"/>
  <c r="AA921" i="457"/>
  <c r="AA922" i="457"/>
  <c r="AB924" i="457"/>
  <c r="AC924" i="457" s="1"/>
  <c r="T928" i="457"/>
  <c r="X928" i="457"/>
  <c r="X927" i="457" s="1"/>
  <c r="X920" i="457" s="1"/>
  <c r="R933" i="457"/>
  <c r="AA941" i="457"/>
  <c r="AC952" i="457"/>
  <c r="D954" i="457"/>
  <c r="AB965" i="457"/>
  <c r="AC965" i="457" s="1"/>
  <c r="AA997" i="457"/>
  <c r="AC1072" i="457"/>
  <c r="AB874" i="457"/>
  <c r="AC874" i="457" s="1"/>
  <c r="AB879" i="457"/>
  <c r="AC879" i="457" s="1"/>
  <c r="H884" i="457"/>
  <c r="H835" i="457" s="1"/>
  <c r="H822" i="457" s="1"/>
  <c r="X884" i="457"/>
  <c r="AC889" i="457"/>
  <c r="AA892" i="457"/>
  <c r="AC893" i="457"/>
  <c r="R896" i="457"/>
  <c r="K905" i="457"/>
  <c r="K910" i="457"/>
  <c r="AA910" i="457"/>
  <c r="AA911" i="457"/>
  <c r="AC912" i="457"/>
  <c r="AB926" i="457"/>
  <c r="AC926" i="457" s="1"/>
  <c r="R929" i="457"/>
  <c r="AB929" i="457" s="1"/>
  <c r="AC929" i="457" s="1"/>
  <c r="P928" i="457"/>
  <c r="U928" i="457"/>
  <c r="U927" i="457" s="1"/>
  <c r="U920" i="457" s="1"/>
  <c r="Y928" i="457"/>
  <c r="Y927" i="457" s="1"/>
  <c r="Y920" i="457" s="1"/>
  <c r="Y909" i="457" s="1"/>
  <c r="K933" i="457"/>
  <c r="AB934" i="457"/>
  <c r="AC934" i="457" s="1"/>
  <c r="R972" i="457"/>
  <c r="F972" i="457"/>
  <c r="F953" i="457" s="1"/>
  <c r="F927" i="457" s="1"/>
  <c r="F920" i="457" s="1"/>
  <c r="F909" i="457" s="1"/>
  <c r="K973" i="457"/>
  <c r="K985" i="457"/>
  <c r="T981" i="457"/>
  <c r="T980" i="457" s="1"/>
  <c r="K997" i="457"/>
  <c r="M1002" i="457"/>
  <c r="M1001" i="457" s="1"/>
  <c r="R1003" i="457"/>
  <c r="Z1000" i="457"/>
  <c r="AC1117" i="457"/>
  <c r="S954" i="457"/>
  <c r="AA972" i="457"/>
  <c r="AA973" i="457"/>
  <c r="K977" i="457"/>
  <c r="D976" i="457"/>
  <c r="H981" i="457"/>
  <c r="H980" i="457" s="1"/>
  <c r="R985" i="457"/>
  <c r="AC988" i="457"/>
  <c r="K992" i="457"/>
  <c r="R992" i="457"/>
  <c r="V1000" i="457"/>
  <c r="D1002" i="457"/>
  <c r="K1003" i="457"/>
  <c r="I1002" i="457"/>
  <c r="I1001" i="457" s="1"/>
  <c r="I1000" i="457" s="1"/>
  <c r="K1012" i="457"/>
  <c r="D1011" i="457"/>
  <c r="AC1013" i="457"/>
  <c r="AA1017" i="457"/>
  <c r="AA1018" i="457"/>
  <c r="K1022" i="457"/>
  <c r="F1028" i="457"/>
  <c r="F1027" i="457" s="1"/>
  <c r="F1000" i="457" s="1"/>
  <c r="K1029" i="457"/>
  <c r="U1111" i="457"/>
  <c r="U1135" i="457" s="1"/>
  <c r="N1115" i="457"/>
  <c r="N1114" i="457" s="1"/>
  <c r="N1113" i="457" s="1"/>
  <c r="N1112" i="457" s="1"/>
  <c r="N1111" i="457" s="1"/>
  <c r="N1135" i="457" s="1"/>
  <c r="R1116" i="457"/>
  <c r="M1122" i="457"/>
  <c r="M1121" i="457" s="1"/>
  <c r="R1123" i="457"/>
  <c r="O954" i="457"/>
  <c r="O953" i="457" s="1"/>
  <c r="O927" i="457" s="1"/>
  <c r="O920" i="457" s="1"/>
  <c r="AA977" i="457"/>
  <c r="D981" i="457"/>
  <c r="AC983" i="457"/>
  <c r="K987" i="457"/>
  <c r="AA987" i="457"/>
  <c r="AA990" i="457"/>
  <c r="AA1003" i="457"/>
  <c r="R1006" i="457"/>
  <c r="L1002" i="457"/>
  <c r="AA1012" i="457"/>
  <c r="D1016" i="457"/>
  <c r="K1017" i="457"/>
  <c r="M1016" i="457"/>
  <c r="M1015" i="457" s="1"/>
  <c r="K1018" i="457"/>
  <c r="T1016" i="457"/>
  <c r="T1015" i="457" s="1"/>
  <c r="T1000" i="457" s="1"/>
  <c r="X1016" i="457"/>
  <c r="X1015" i="457" s="1"/>
  <c r="X1000" i="457" s="1"/>
  <c r="K1028" i="457"/>
  <c r="D1027" i="457"/>
  <c r="R1028" i="457"/>
  <c r="L1027" i="457"/>
  <c r="R1027" i="457" s="1"/>
  <c r="AB1027" i="457" s="1"/>
  <c r="R1084" i="457"/>
  <c r="L1083" i="457"/>
  <c r="R1108" i="457"/>
  <c r="AB1107" i="457"/>
  <c r="K1114" i="457"/>
  <c r="H1111" i="457"/>
  <c r="H1135" i="457" s="1"/>
  <c r="K1116" i="457"/>
  <c r="R1127" i="457"/>
  <c r="AA964" i="457"/>
  <c r="AB964" i="457" s="1"/>
  <c r="AC964" i="457" s="1"/>
  <c r="AA976" i="457"/>
  <c r="K982" i="457"/>
  <c r="AA982" i="457"/>
  <c r="S981" i="457"/>
  <c r="W981" i="457"/>
  <c r="W980" i="457" s="1"/>
  <c r="AA985" i="457"/>
  <c r="K990" i="457"/>
  <c r="R997" i="457"/>
  <c r="AB1007" i="457"/>
  <c r="AC1007" i="457" s="1"/>
  <c r="H1016" i="457"/>
  <c r="H1015" i="457" s="1"/>
  <c r="H1000" i="457" s="1"/>
  <c r="R1018" i="457"/>
  <c r="L1017" i="457"/>
  <c r="P1016" i="457"/>
  <c r="P1015" i="457" s="1"/>
  <c r="P1000" i="457" s="1"/>
  <c r="L1022" i="457"/>
  <c r="R1022" i="457" s="1"/>
  <c r="AC1045" i="457"/>
  <c r="AC1053" i="457"/>
  <c r="D1083" i="457"/>
  <c r="K1084" i="457"/>
  <c r="AC1091" i="457"/>
  <c r="AC1092" i="457"/>
  <c r="K1113" i="457"/>
  <c r="AA1115" i="457"/>
  <c r="S1114" i="457"/>
  <c r="I1120" i="457"/>
  <c r="I1111" i="457" s="1"/>
  <c r="I1135" i="457" s="1"/>
  <c r="L1120" i="457"/>
  <c r="R1132" i="457"/>
  <c r="AA1028" i="457"/>
  <c r="AA1029" i="457"/>
  <c r="AC1039" i="457"/>
  <c r="AC1047" i="457"/>
  <c r="AC1055" i="457"/>
  <c r="AC1071" i="457"/>
  <c r="AA1083" i="457"/>
  <c r="AA1084" i="457"/>
  <c r="L1114" i="457"/>
  <c r="V1120" i="457"/>
  <c r="V1111" i="457" s="1"/>
  <c r="V1135" i="457" s="1"/>
  <c r="AC1126" i="457"/>
  <c r="AA1022" i="457"/>
  <c r="AB1033" i="457"/>
  <c r="AC1033" i="457" s="1"/>
  <c r="AB1041" i="457"/>
  <c r="AC1041" i="457" s="1"/>
  <c r="AB1049" i="457"/>
  <c r="AC1049" i="457" s="1"/>
  <c r="AB1057" i="457"/>
  <c r="AC1057" i="457" s="1"/>
  <c r="AB1065" i="457"/>
  <c r="AC1065" i="457" s="1"/>
  <c r="AB1073" i="457"/>
  <c r="AC1073" i="457" s="1"/>
  <c r="K1078" i="457"/>
  <c r="AA1116" i="457"/>
  <c r="AC1128" i="457"/>
  <c r="AA1132" i="457"/>
  <c r="AA1123" i="457"/>
  <c r="AA1125" i="457"/>
  <c r="AA1127" i="457"/>
  <c r="K1115" i="457"/>
  <c r="Y225" i="454"/>
  <c r="Y80" i="454"/>
  <c r="AB1006" i="457" l="1"/>
  <c r="AC1006" i="457" s="1"/>
  <c r="AB708" i="457"/>
  <c r="AC559" i="457"/>
  <c r="AB519" i="457"/>
  <c r="AC519" i="457" s="1"/>
  <c r="AB176" i="457"/>
  <c r="AB202" i="457"/>
  <c r="AB93" i="457"/>
  <c r="W927" i="457"/>
  <c r="W920" i="457" s="1"/>
  <c r="W909" i="457" s="1"/>
  <c r="W821" i="457" s="1"/>
  <c r="W820" i="457" s="1"/>
  <c r="W1104" i="457" s="1"/>
  <c r="AB565" i="457"/>
  <c r="AB517" i="457"/>
  <c r="AC35" i="457"/>
  <c r="AB76" i="457"/>
  <c r="AC76" i="457" s="1"/>
  <c r="AC43" i="457"/>
  <c r="AB160" i="457"/>
  <c r="AB156" i="457"/>
  <c r="U1000" i="457"/>
  <c r="AB122" i="457"/>
  <c r="AB64" i="457"/>
  <c r="AC64" i="457" s="1"/>
  <c r="AB62" i="457"/>
  <c r="AC62" i="457" s="1"/>
  <c r="AB771" i="457"/>
  <c r="AC771" i="457" s="1"/>
  <c r="AB739" i="457"/>
  <c r="AC739" i="457" s="1"/>
  <c r="AB589" i="457"/>
  <c r="AC589" i="457" s="1"/>
  <c r="AB237" i="457"/>
  <c r="AC237" i="457" s="1"/>
  <c r="AB174" i="457"/>
  <c r="AC174" i="457" s="1"/>
  <c r="AB165" i="457"/>
  <c r="AC165" i="457" s="1"/>
  <c r="K52" i="457"/>
  <c r="M247" i="457"/>
  <c r="AB1078" i="457"/>
  <c r="K758" i="457"/>
  <c r="N723" i="457"/>
  <c r="N722" i="457" s="1"/>
  <c r="N721" i="457" s="1"/>
  <c r="N720" i="457" s="1"/>
  <c r="N719" i="457" s="1"/>
  <c r="AB285" i="457"/>
  <c r="AC285" i="457" s="1"/>
  <c r="AB193" i="457"/>
  <c r="AC193" i="457" s="1"/>
  <c r="AB190" i="457"/>
  <c r="AC190" i="457" s="1"/>
  <c r="AB186" i="457"/>
  <c r="AC186" i="457" s="1"/>
  <c r="AC124" i="457"/>
  <c r="AB75" i="457"/>
  <c r="AC75" i="457" s="1"/>
  <c r="AB61" i="457"/>
  <c r="AC81" i="457"/>
  <c r="AB66" i="457"/>
  <c r="AB44" i="457"/>
  <c r="AC44" i="457" s="1"/>
  <c r="AB40" i="457"/>
  <c r="U909" i="457"/>
  <c r="AB933" i="457"/>
  <c r="I927" i="457"/>
  <c r="I920" i="457" s="1"/>
  <c r="I909" i="457" s="1"/>
  <c r="I821" i="457" s="1"/>
  <c r="I820" i="457" s="1"/>
  <c r="I1104" i="457" s="1"/>
  <c r="AC567" i="457"/>
  <c r="AC282" i="457"/>
  <c r="AB249" i="457"/>
  <c r="AC854" i="457"/>
  <c r="N142" i="457"/>
  <c r="AB189" i="457"/>
  <c r="AC189" i="457" s="1"/>
  <c r="AC106" i="457"/>
  <c r="AB98" i="457"/>
  <c r="AB72" i="457"/>
  <c r="AC72" i="457" s="1"/>
  <c r="AC65" i="457"/>
  <c r="AB177" i="457"/>
  <c r="AC177" i="457" s="1"/>
  <c r="AB15" i="457"/>
  <c r="AC15" i="457" s="1"/>
  <c r="Q835" i="457"/>
  <c r="Q822" i="457" s="1"/>
  <c r="AB48" i="457"/>
  <c r="AC48" i="457" s="1"/>
  <c r="AB759" i="457"/>
  <c r="AC759" i="457" s="1"/>
  <c r="I723" i="457"/>
  <c r="I722" i="457" s="1"/>
  <c r="I721" i="457" s="1"/>
  <c r="I720" i="457" s="1"/>
  <c r="I719" i="457" s="1"/>
  <c r="AC513" i="457"/>
  <c r="AC603" i="457"/>
  <c r="AB551" i="457"/>
  <c r="AC551" i="457" s="1"/>
  <c r="AB501" i="457"/>
  <c r="AB262" i="457"/>
  <c r="AC262" i="457" s="1"/>
  <c r="Z909" i="457"/>
  <c r="AB415" i="457"/>
  <c r="AB269" i="457"/>
  <c r="AC269" i="457" s="1"/>
  <c r="AB27" i="457"/>
  <c r="AB244" i="457"/>
  <c r="AC244" i="457" s="1"/>
  <c r="W349" i="457"/>
  <c r="W348" i="457" s="1"/>
  <c r="AC228" i="457"/>
  <c r="AC70" i="457"/>
  <c r="AB490" i="457"/>
  <c r="AC490" i="457" s="1"/>
  <c r="AA354" i="457"/>
  <c r="AB354" i="457" s="1"/>
  <c r="AC354" i="457" s="1"/>
  <c r="G1000" i="457"/>
  <c r="AB158" i="457"/>
  <c r="AC158" i="457" s="1"/>
  <c r="AB136" i="457"/>
  <c r="AC136" i="457" s="1"/>
  <c r="AB38" i="457"/>
  <c r="AC38" i="457" s="1"/>
  <c r="AB108" i="457"/>
  <c r="AC108" i="457" s="1"/>
  <c r="AB761" i="457"/>
  <c r="F349" i="457"/>
  <c r="F348" i="457" s="1"/>
  <c r="AC563" i="457"/>
  <c r="AC419" i="457"/>
  <c r="AB544" i="457"/>
  <c r="AC544" i="457" s="1"/>
  <c r="AB337" i="457"/>
  <c r="M835" i="457"/>
  <c r="M822" i="457" s="1"/>
  <c r="AB530" i="457"/>
  <c r="AC530" i="457" s="1"/>
  <c r="AB483" i="457"/>
  <c r="AC483" i="457" s="1"/>
  <c r="AB432" i="457"/>
  <c r="AC432" i="457" s="1"/>
  <c r="AB188" i="457"/>
  <c r="AC188" i="457" s="1"/>
  <c r="AB105" i="457"/>
  <c r="AC105" i="457" s="1"/>
  <c r="AB100" i="457"/>
  <c r="AB37" i="457"/>
  <c r="AC37" i="457" s="1"/>
  <c r="AC18" i="457"/>
  <c r="I835" i="457"/>
  <c r="I822" i="457" s="1"/>
  <c r="G349" i="457"/>
  <c r="G348" i="457" s="1"/>
  <c r="W142" i="457"/>
  <c r="AB125" i="457"/>
  <c r="AC125" i="457" s="1"/>
  <c r="AB287" i="457"/>
  <c r="AB31" i="457"/>
  <c r="AC31" i="457" s="1"/>
  <c r="AB1022" i="457"/>
  <c r="AC1022" i="457" s="1"/>
  <c r="AC746" i="457"/>
  <c r="AB363" i="457"/>
  <c r="AC363" i="457" s="1"/>
  <c r="AB273" i="457"/>
  <c r="U142" i="457"/>
  <c r="U12" i="457" s="1"/>
  <c r="AC202" i="457"/>
  <c r="AB117" i="457"/>
  <c r="AC117" i="457" s="1"/>
  <c r="Z349" i="457"/>
  <c r="Z348" i="457" s="1"/>
  <c r="AC597" i="457"/>
  <c r="AB573" i="457"/>
  <c r="AC573" i="457" s="1"/>
  <c r="X349" i="457"/>
  <c r="X348" i="457" s="1"/>
  <c r="X247" i="457" s="1"/>
  <c r="AC88" i="457"/>
  <c r="AB104" i="457"/>
  <c r="AC104" i="457" s="1"/>
  <c r="U723" i="457"/>
  <c r="U722" i="457" s="1"/>
  <c r="U721" i="457" s="1"/>
  <c r="U720" i="457" s="1"/>
  <c r="U719" i="457" s="1"/>
  <c r="V835" i="457"/>
  <c r="V822" i="457" s="1"/>
  <c r="V821" i="457" s="1"/>
  <c r="V820" i="457" s="1"/>
  <c r="V1104" i="457" s="1"/>
  <c r="Q247" i="457"/>
  <c r="AA577" i="457"/>
  <c r="AB1125" i="457"/>
  <c r="AC1125" i="457" s="1"/>
  <c r="AB997" i="457"/>
  <c r="AC997" i="457" s="1"/>
  <c r="P927" i="457"/>
  <c r="P920" i="457" s="1"/>
  <c r="P909" i="457" s="1"/>
  <c r="W835" i="457"/>
  <c r="W822" i="457" s="1"/>
  <c r="AC765" i="457"/>
  <c r="AB741" i="457"/>
  <c r="AC741" i="457" s="1"/>
  <c r="AB847" i="457"/>
  <c r="AB743" i="457"/>
  <c r="M723" i="457"/>
  <c r="M722" i="457" s="1"/>
  <c r="M721" i="457" s="1"/>
  <c r="M720" i="457" s="1"/>
  <c r="M719" i="457" s="1"/>
  <c r="R577" i="457"/>
  <c r="AB623" i="457"/>
  <c r="AB609" i="457"/>
  <c r="AB582" i="457"/>
  <c r="AC582" i="457" s="1"/>
  <c r="I247" i="457"/>
  <c r="AB275" i="457"/>
  <c r="AC275" i="457" s="1"/>
  <c r="AB192" i="457"/>
  <c r="AC192" i="457" s="1"/>
  <c r="Q142" i="457"/>
  <c r="Q12" i="457" s="1"/>
  <c r="Q11" i="457" s="1"/>
  <c r="AC167" i="457"/>
  <c r="R52" i="457"/>
  <c r="J1000" i="457"/>
  <c r="Y723" i="457"/>
  <c r="Y722" i="457" s="1"/>
  <c r="Y721" i="457" s="1"/>
  <c r="Y720" i="457" s="1"/>
  <c r="Y719" i="457" s="1"/>
  <c r="AB496" i="457"/>
  <c r="AC496" i="457" s="1"/>
  <c r="AB542" i="457"/>
  <c r="AC542" i="457" s="1"/>
  <c r="AC515" i="457"/>
  <c r="AC487" i="457"/>
  <c r="AA480" i="457"/>
  <c r="K151" i="457"/>
  <c r="AB139" i="457"/>
  <c r="AC139" i="457" s="1"/>
  <c r="AB133" i="457"/>
  <c r="AC133" i="457" s="1"/>
  <c r="AB119" i="457"/>
  <c r="AC119" i="457" s="1"/>
  <c r="AB68" i="457"/>
  <c r="AC68" i="457" s="1"/>
  <c r="AC49" i="457"/>
  <c r="AB24" i="457"/>
  <c r="AC24" i="457" s="1"/>
  <c r="AB127" i="457"/>
  <c r="AC127" i="457" s="1"/>
  <c r="AB113" i="457"/>
  <c r="AC113" i="457" s="1"/>
  <c r="AB78" i="457"/>
  <c r="AC78" i="457" s="1"/>
  <c r="AC66" i="457"/>
  <c r="AC40" i="457"/>
  <c r="H12" i="457"/>
  <c r="AB25" i="457"/>
  <c r="AC25" i="457" s="1"/>
  <c r="AB510" i="457"/>
  <c r="AB992" i="457"/>
  <c r="X723" i="457"/>
  <c r="AA745" i="457"/>
  <c r="AB698" i="457"/>
  <c r="AC698" i="457" s="1"/>
  <c r="K577" i="457"/>
  <c r="AB248" i="457"/>
  <c r="AB481" i="457"/>
  <c r="AC481" i="457" s="1"/>
  <c r="AB592" i="457"/>
  <c r="AC592" i="457" s="1"/>
  <c r="AC536" i="457"/>
  <c r="AB173" i="457"/>
  <c r="AB164" i="457"/>
  <c r="AC164" i="457" s="1"/>
  <c r="AC278" i="457"/>
  <c r="AB143" i="457"/>
  <c r="AC107" i="457"/>
  <c r="AC71" i="457"/>
  <c r="AB831" i="457"/>
  <c r="AC831" i="457" s="1"/>
  <c r="AB289" i="457"/>
  <c r="AB243" i="457"/>
  <c r="AC243" i="457" s="1"/>
  <c r="Z142" i="457"/>
  <c r="Z12" i="457" s="1"/>
  <c r="AB187" i="457"/>
  <c r="AB111" i="457"/>
  <c r="AC111" i="457" s="1"/>
  <c r="AB128" i="457"/>
  <c r="AC128" i="457" s="1"/>
  <c r="AB89" i="457"/>
  <c r="AC89" i="457" s="1"/>
  <c r="AB77" i="457"/>
  <c r="AC77" i="457" s="1"/>
  <c r="AB69" i="457"/>
  <c r="AC69" i="457" s="1"/>
  <c r="AC245" i="457"/>
  <c r="AB896" i="457"/>
  <c r="AC896" i="457" s="1"/>
  <c r="G884" i="457"/>
  <c r="K884" i="457" s="1"/>
  <c r="AC521" i="457"/>
  <c r="AB216" i="457"/>
  <c r="AC216" i="457" s="1"/>
  <c r="AB283" i="457"/>
  <c r="AB240" i="457"/>
  <c r="AC240" i="457" s="1"/>
  <c r="AB171" i="457"/>
  <c r="AC171" i="457" s="1"/>
  <c r="AB346" i="457"/>
  <c r="AC346" i="457" s="1"/>
  <c r="F12" i="457"/>
  <c r="AC29" i="457"/>
  <c r="AB1118" i="457"/>
  <c r="AC1118" i="457" s="1"/>
  <c r="AA1002" i="457"/>
  <c r="AB507" i="457"/>
  <c r="AC507" i="457" s="1"/>
  <c r="AB357" i="457"/>
  <c r="AC357" i="457" s="1"/>
  <c r="AC264" i="457"/>
  <c r="N349" i="457"/>
  <c r="N348" i="457" s="1"/>
  <c r="N247" i="457" s="1"/>
  <c r="AC140" i="457"/>
  <c r="AC134" i="457"/>
  <c r="AB130" i="457"/>
  <c r="AC130" i="457" s="1"/>
  <c r="AC50" i="457"/>
  <c r="AB42" i="457"/>
  <c r="AC42" i="457" s="1"/>
  <c r="AB33" i="457"/>
  <c r="AC33" i="457" s="1"/>
  <c r="AB57" i="457"/>
  <c r="AC57" i="457" s="1"/>
  <c r="AB159" i="457"/>
  <c r="AC159" i="457" s="1"/>
  <c r="AB114" i="457"/>
  <c r="AC114" i="457" s="1"/>
  <c r="AB110" i="457"/>
  <c r="AC179" i="457"/>
  <c r="AC157" i="457"/>
  <c r="Y349" i="457"/>
  <c r="Y348" i="457" s="1"/>
  <c r="Y247" i="457" s="1"/>
  <c r="AB246" i="457"/>
  <c r="AC246" i="457" s="1"/>
  <c r="AC232" i="457"/>
  <c r="AB129" i="457"/>
  <c r="AC129" i="457" s="1"/>
  <c r="AB90" i="457"/>
  <c r="AC90" i="457" s="1"/>
  <c r="AB138" i="457"/>
  <c r="AC138" i="457" s="1"/>
  <c r="AB45" i="457"/>
  <c r="AC45" i="457" s="1"/>
  <c r="AB59" i="457"/>
  <c r="AC59" i="457" s="1"/>
  <c r="D928" i="457"/>
  <c r="W247" i="457"/>
  <c r="O835" i="457"/>
  <c r="O822" i="457" s="1"/>
  <c r="R862" i="457"/>
  <c r="AB725" i="457"/>
  <c r="AC725" i="457" s="1"/>
  <c r="AB767" i="457"/>
  <c r="O247" i="457"/>
  <c r="AB575" i="457"/>
  <c r="AC575" i="457" s="1"/>
  <c r="R480" i="457"/>
  <c r="AB480" i="457" s="1"/>
  <c r="AC480" i="457" s="1"/>
  <c r="AC279" i="457"/>
  <c r="AB284" i="457"/>
  <c r="AC284" i="457" s="1"/>
  <c r="AB239" i="457"/>
  <c r="AC239" i="457" s="1"/>
  <c r="AC178" i="457"/>
  <c r="AB261" i="457"/>
  <c r="T349" i="457"/>
  <c r="T348" i="457" s="1"/>
  <c r="T247" i="457" s="1"/>
  <c r="AB338" i="457"/>
  <c r="AC338" i="457" s="1"/>
  <c r="AC231" i="457"/>
  <c r="AB170" i="457"/>
  <c r="AC170" i="457" s="1"/>
  <c r="R251" i="457"/>
  <c r="AB251" i="457" s="1"/>
  <c r="AC251" i="457" s="1"/>
  <c r="AA52" i="457"/>
  <c r="AB52" i="457" s="1"/>
  <c r="AC52" i="457" s="1"/>
  <c r="AC47" i="457"/>
  <c r="AC17" i="457"/>
  <c r="AC112" i="457"/>
  <c r="P12" i="457"/>
  <c r="Q927" i="457"/>
  <c r="Q920" i="457" s="1"/>
  <c r="Q909" i="457" s="1"/>
  <c r="U835" i="457"/>
  <c r="U822" i="457" s="1"/>
  <c r="AB869" i="457"/>
  <c r="AC869" i="457" s="1"/>
  <c r="AB557" i="457"/>
  <c r="AC557" i="457" s="1"/>
  <c r="AB601" i="457"/>
  <c r="AC601" i="457" s="1"/>
  <c r="AC569" i="457"/>
  <c r="AB594" i="457"/>
  <c r="AC594" i="457" s="1"/>
  <c r="AB580" i="457"/>
  <c r="AC580" i="457" s="1"/>
  <c r="AB534" i="457"/>
  <c r="AC534" i="457" s="1"/>
  <c r="AC263" i="457"/>
  <c r="Y12" i="457"/>
  <c r="X12" i="457"/>
  <c r="AC27" i="457"/>
  <c r="AB20" i="457"/>
  <c r="AC20" i="457" s="1"/>
  <c r="AC85" i="457"/>
  <c r="AB74" i="457"/>
  <c r="AC74" i="457" s="1"/>
  <c r="AB973" i="457"/>
  <c r="AC973" i="457" s="1"/>
  <c r="AB733" i="457"/>
  <c r="AC733" i="457" s="1"/>
  <c r="AC627" i="457"/>
  <c r="AB586" i="457"/>
  <c r="J349" i="457"/>
  <c r="J348" i="457" s="1"/>
  <c r="J247" i="457" s="1"/>
  <c r="AB571" i="457"/>
  <c r="AC571" i="457" s="1"/>
  <c r="AB555" i="457"/>
  <c r="AC555" i="457" s="1"/>
  <c r="AB540" i="457"/>
  <c r="AC540" i="457" s="1"/>
  <c r="AB524" i="457"/>
  <c r="AC524" i="457" s="1"/>
  <c r="AB350" i="457"/>
  <c r="AC350" i="457" s="1"/>
  <c r="AB212" i="457"/>
  <c r="AC212" i="457" s="1"/>
  <c r="AB227" i="457"/>
  <c r="AC227" i="457" s="1"/>
  <c r="AC268" i="457"/>
  <c r="M927" i="457"/>
  <c r="M920" i="457" s="1"/>
  <c r="M909" i="457" s="1"/>
  <c r="Q821" i="457"/>
  <c r="Q820" i="457" s="1"/>
  <c r="Q1104" i="457" s="1"/>
  <c r="S349" i="457"/>
  <c r="S348" i="457" s="1"/>
  <c r="P349" i="457"/>
  <c r="P348" i="457" s="1"/>
  <c r="P247" i="457" s="1"/>
  <c r="AB103" i="457"/>
  <c r="AC103" i="457" s="1"/>
  <c r="AB120" i="457"/>
  <c r="AC120" i="457" s="1"/>
  <c r="AB99" i="457"/>
  <c r="AB21" i="457"/>
  <c r="AC21" i="457" s="1"/>
  <c r="AC510" i="457"/>
  <c r="AB26" i="457"/>
  <c r="AC26" i="457" s="1"/>
  <c r="X909" i="457"/>
  <c r="T927" i="457"/>
  <c r="T920" i="457" s="1"/>
  <c r="T909" i="457" s="1"/>
  <c r="T821" i="457" s="1"/>
  <c r="T820" i="457" s="1"/>
  <c r="T1104" i="457" s="1"/>
  <c r="AB753" i="457"/>
  <c r="AC753" i="457" s="1"/>
  <c r="AC731" i="457"/>
  <c r="L928" i="457"/>
  <c r="AB769" i="457"/>
  <c r="AC769" i="457" s="1"/>
  <c r="AB749" i="457"/>
  <c r="AC749" i="457" s="1"/>
  <c r="AC729" i="457"/>
  <c r="X835" i="457"/>
  <c r="X822" i="457" s="1"/>
  <c r="AC743" i="457"/>
  <c r="AA758" i="457"/>
  <c r="Q723" i="457"/>
  <c r="Q722" i="457" s="1"/>
  <c r="Q721" i="457" s="1"/>
  <c r="Q720" i="457" s="1"/>
  <c r="Q719" i="457" s="1"/>
  <c r="H247" i="457"/>
  <c r="H11" i="457" s="1"/>
  <c r="H817" i="457" s="1"/>
  <c r="AB361" i="457"/>
  <c r="AC361" i="457" s="1"/>
  <c r="AB625" i="457"/>
  <c r="AC501" i="457"/>
  <c r="AB241" i="457"/>
  <c r="AC241" i="457" s="1"/>
  <c r="AB184" i="457"/>
  <c r="AC184" i="457" s="1"/>
  <c r="AC173" i="457"/>
  <c r="K338" i="457"/>
  <c r="AC287" i="457"/>
  <c r="AB166" i="457"/>
  <c r="AC166" i="457" s="1"/>
  <c r="AB905" i="457"/>
  <c r="AB584" i="457"/>
  <c r="AC584" i="457" s="1"/>
  <c r="AC565" i="457"/>
  <c r="AC517" i="457"/>
  <c r="AB155" i="457"/>
  <c r="AC155" i="457" s="1"/>
  <c r="AB63" i="457"/>
  <c r="AC63" i="457" s="1"/>
  <c r="AB51" i="457"/>
  <c r="AC51" i="457" s="1"/>
  <c r="AC41" i="457"/>
  <c r="O12" i="457"/>
  <c r="AC187" i="457"/>
  <c r="AC160" i="457"/>
  <c r="AC156" i="457"/>
  <c r="AB146" i="457"/>
  <c r="AC146" i="457" s="1"/>
  <c r="AB115" i="457"/>
  <c r="AC115" i="457" s="1"/>
  <c r="AC546" i="457"/>
  <c r="AC249" i="457"/>
  <c r="Z821" i="457"/>
  <c r="Z820" i="457" s="1"/>
  <c r="Z1104" i="457" s="1"/>
  <c r="V348" i="457"/>
  <c r="V247" i="457" s="1"/>
  <c r="V11" i="457" s="1"/>
  <c r="V817" i="457" s="1"/>
  <c r="U696" i="457"/>
  <c r="AA697" i="457"/>
  <c r="J12" i="457"/>
  <c r="AB901" i="457"/>
  <c r="AA884" i="457"/>
  <c r="AB921" i="457"/>
  <c r="AC921" i="457" s="1"/>
  <c r="R861" i="457"/>
  <c r="AC767" i="457"/>
  <c r="K707" i="457"/>
  <c r="T723" i="457"/>
  <c r="T722" i="457" s="1"/>
  <c r="T721" i="457" s="1"/>
  <c r="T720" i="457" s="1"/>
  <c r="T719" i="457" s="1"/>
  <c r="AA605" i="457"/>
  <c r="AC415" i="457"/>
  <c r="AC233" i="457"/>
  <c r="AB180" i="457"/>
  <c r="AC180" i="457" s="1"/>
  <c r="AB255" i="457"/>
  <c r="AC255" i="457" s="1"/>
  <c r="AB217" i="457"/>
  <c r="AC217" i="457" s="1"/>
  <c r="AC172" i="457"/>
  <c r="AC163" i="457"/>
  <c r="L30" i="457"/>
  <c r="R30" i="457" s="1"/>
  <c r="G723" i="457"/>
  <c r="G722" i="457" s="1"/>
  <c r="G721" i="457" s="1"/>
  <c r="G720" i="457" s="1"/>
  <c r="G719" i="457" s="1"/>
  <c r="AB230" i="457"/>
  <c r="AA151" i="457"/>
  <c r="AC110" i="457"/>
  <c r="AC93" i="457"/>
  <c r="AC122" i="457"/>
  <c r="AC19" i="457"/>
  <c r="AB1023" i="457"/>
  <c r="AC1023" i="457" s="1"/>
  <c r="K1121" i="457"/>
  <c r="D1120" i="457"/>
  <c r="AB949" i="457"/>
  <c r="AC949" i="457" s="1"/>
  <c r="AB902" i="457"/>
  <c r="AB632" i="457"/>
  <c r="AB538" i="457"/>
  <c r="AC538" i="457" s="1"/>
  <c r="AB53" i="457"/>
  <c r="AC53" i="457" s="1"/>
  <c r="AB28" i="457"/>
  <c r="AC28" i="457" s="1"/>
  <c r="AA201" i="457"/>
  <c r="S200" i="457"/>
  <c r="AB131" i="457"/>
  <c r="AC131" i="457" s="1"/>
  <c r="AB141" i="457"/>
  <c r="AC141" i="457" s="1"/>
  <c r="AB135" i="457"/>
  <c r="AC135" i="457" s="1"/>
  <c r="AB58" i="457"/>
  <c r="AC58" i="457" s="1"/>
  <c r="AC561" i="457"/>
  <c r="AB1003" i="457"/>
  <c r="AC1003" i="457" s="1"/>
  <c r="AB1018" i="457"/>
  <c r="AC1018" i="457" s="1"/>
  <c r="AB1084" i="457"/>
  <c r="AB1116" i="457"/>
  <c r="AC1116" i="457" s="1"/>
  <c r="AC992" i="457"/>
  <c r="H909" i="457"/>
  <c r="H821" i="457" s="1"/>
  <c r="H820" i="457" s="1"/>
  <c r="H1104" i="457" s="1"/>
  <c r="AA1016" i="457"/>
  <c r="AC905" i="457"/>
  <c r="AC933" i="457"/>
  <c r="R884" i="457"/>
  <c r="AB884" i="457" s="1"/>
  <c r="AB852" i="457"/>
  <c r="AC735" i="457"/>
  <c r="AB713" i="457"/>
  <c r="AC713" i="457" s="1"/>
  <c r="AA707" i="457"/>
  <c r="G247" i="457"/>
  <c r="R707" i="457"/>
  <c r="AB707" i="457" s="1"/>
  <c r="AC707" i="457" s="1"/>
  <c r="AB473" i="457"/>
  <c r="AC473" i="457" s="1"/>
  <c r="Z247" i="457"/>
  <c r="AC283" i="457"/>
  <c r="AC261" i="457"/>
  <c r="AB271" i="457"/>
  <c r="AC271" i="457" s="1"/>
  <c r="AB153" i="457"/>
  <c r="AC153" i="457" s="1"/>
  <c r="N12" i="457"/>
  <c r="I12" i="457"/>
  <c r="AC61" i="457"/>
  <c r="J927" i="457"/>
  <c r="J920" i="457" s="1"/>
  <c r="J909" i="457" s="1"/>
  <c r="J821" i="457" s="1"/>
  <c r="AB630" i="457"/>
  <c r="AC630" i="457" s="1"/>
  <c r="AB549" i="457"/>
  <c r="AC549" i="457" s="1"/>
  <c r="AB526" i="457"/>
  <c r="AC526" i="457" s="1"/>
  <c r="AB92" i="457"/>
  <c r="AC92" i="457" s="1"/>
  <c r="AC83" i="457"/>
  <c r="AB56" i="457"/>
  <c r="AC56" i="457" s="1"/>
  <c r="AB36" i="457"/>
  <c r="AC36" i="457" s="1"/>
  <c r="AB121" i="457"/>
  <c r="AC121" i="457" s="1"/>
  <c r="AB22" i="457"/>
  <c r="AC22" i="457" s="1"/>
  <c r="AC847" i="457"/>
  <c r="P821" i="457"/>
  <c r="P820" i="457" s="1"/>
  <c r="P1104" i="457" s="1"/>
  <c r="L1153" i="457"/>
  <c r="M1153" i="457" s="1"/>
  <c r="N1153" i="457" s="1"/>
  <c r="O1153" i="457" s="1"/>
  <c r="AA1015" i="457"/>
  <c r="O909" i="457"/>
  <c r="G835" i="457"/>
  <c r="G822" i="457" s="1"/>
  <c r="G909" i="457"/>
  <c r="AB885" i="457"/>
  <c r="AC885" i="457" s="1"/>
  <c r="AC761" i="457"/>
  <c r="AB737" i="457"/>
  <c r="AC737" i="457" s="1"/>
  <c r="AC844" i="457"/>
  <c r="AB858" i="457"/>
  <c r="AC858" i="457" s="1"/>
  <c r="R758" i="457"/>
  <c r="R745" i="457"/>
  <c r="AB745" i="457" s="1"/>
  <c r="AC745" i="457" s="1"/>
  <c r="AB704" i="457"/>
  <c r="AC704" i="457" s="1"/>
  <c r="AB423" i="457"/>
  <c r="AC423" i="457" s="1"/>
  <c r="AC248" i="457"/>
  <c r="AB242" i="457"/>
  <c r="AC242" i="457" s="1"/>
  <c r="AC176" i="457"/>
  <c r="AC270" i="457"/>
  <c r="AB277" i="457"/>
  <c r="AC277" i="457" s="1"/>
  <c r="W12" i="457"/>
  <c r="N927" i="457"/>
  <c r="N920" i="457" s="1"/>
  <c r="N909" i="457" s="1"/>
  <c r="AB553" i="457"/>
  <c r="AC553" i="457" s="1"/>
  <c r="U821" i="457"/>
  <c r="U820" i="457" s="1"/>
  <c r="U1104" i="457" s="1"/>
  <c r="X821" i="457"/>
  <c r="X820" i="457" s="1"/>
  <c r="X1104" i="457" s="1"/>
  <c r="Y821" i="457"/>
  <c r="Y820" i="457" s="1"/>
  <c r="Y1104" i="457" s="1"/>
  <c r="X722" i="457"/>
  <c r="X721" i="457" s="1"/>
  <c r="X720" i="457" s="1"/>
  <c r="X719" i="457" s="1"/>
  <c r="K723" i="457"/>
  <c r="S1113" i="457"/>
  <c r="AA1114" i="457"/>
  <c r="AC1084" i="457"/>
  <c r="R1002" i="457"/>
  <c r="AB1002" i="457" s="1"/>
  <c r="L1001" i="457"/>
  <c r="M1000" i="457"/>
  <c r="R724" i="457"/>
  <c r="AB724" i="457" s="1"/>
  <c r="AC724" i="457" s="1"/>
  <c r="L723" i="457"/>
  <c r="D349" i="457"/>
  <c r="G200" i="457"/>
  <c r="K201" i="457"/>
  <c r="AA14" i="457"/>
  <c r="L1113" i="457"/>
  <c r="R1114" i="457"/>
  <c r="AB1127" i="457"/>
  <c r="AC1127" i="457" s="1"/>
  <c r="AC1107" i="457"/>
  <c r="AB1108" i="457"/>
  <c r="AC1108" i="457" s="1"/>
  <c r="D1010" i="457"/>
  <c r="K1010" i="457" s="1"/>
  <c r="K1011" i="457"/>
  <c r="AA954" i="457"/>
  <c r="S953" i="457"/>
  <c r="AA928" i="457"/>
  <c r="AA1121" i="457"/>
  <c r="S1120" i="457"/>
  <c r="AA1120" i="457" s="1"/>
  <c r="AB1029" i="457"/>
  <c r="AC1029" i="457" s="1"/>
  <c r="AB990" i="457"/>
  <c r="AC990" i="457" s="1"/>
  <c r="AB922" i="457"/>
  <c r="AC922" i="457" s="1"/>
  <c r="L981" i="457"/>
  <c r="AB910" i="457"/>
  <c r="AC910" i="457" s="1"/>
  <c r="AB853" i="457"/>
  <c r="AC853" i="457" s="1"/>
  <c r="AB955" i="457"/>
  <c r="AC955" i="457" s="1"/>
  <c r="K836" i="457"/>
  <c r="R836" i="457"/>
  <c r="AB836" i="457" s="1"/>
  <c r="R151" i="457"/>
  <c r="F696" i="457"/>
  <c r="K696" i="457" s="1"/>
  <c r="K697" i="457"/>
  <c r="D612" i="457"/>
  <c r="K617" i="457"/>
  <c r="AC587" i="457"/>
  <c r="S224" i="457"/>
  <c r="AA225" i="457"/>
  <c r="L349" i="457"/>
  <c r="R152" i="457"/>
  <c r="AB152" i="457" s="1"/>
  <c r="AC152" i="457" s="1"/>
  <c r="K143" i="457"/>
  <c r="AC143" i="457" s="1"/>
  <c r="AB355" i="457"/>
  <c r="AC355" i="457" s="1"/>
  <c r="AB252" i="457"/>
  <c r="AC252" i="457" s="1"/>
  <c r="AB892" i="457"/>
  <c r="AC892" i="457" s="1"/>
  <c r="AB987" i="457"/>
  <c r="AC987" i="457" s="1"/>
  <c r="D901" i="457"/>
  <c r="K901" i="457" s="1"/>
  <c r="K902" i="457"/>
  <c r="AC902" i="457" s="1"/>
  <c r="AB1132" i="457"/>
  <c r="AC1132" i="457" s="1"/>
  <c r="K1083" i="457"/>
  <c r="D1082" i="457"/>
  <c r="D1001" i="457"/>
  <c r="K1002" i="457"/>
  <c r="K976" i="457"/>
  <c r="D975" i="457"/>
  <c r="K975" i="457" s="1"/>
  <c r="K954" i="457"/>
  <c r="D953" i="457"/>
  <c r="K953" i="457" s="1"/>
  <c r="AB911" i="457"/>
  <c r="AC911" i="457" s="1"/>
  <c r="AB880" i="457"/>
  <c r="AC880" i="457" s="1"/>
  <c r="R1115" i="457"/>
  <c r="AB1115" i="457" s="1"/>
  <c r="AC1115" i="457" s="1"/>
  <c r="AB1028" i="457"/>
  <c r="AC1028" i="457" s="1"/>
  <c r="D1015" i="457"/>
  <c r="K1015" i="457" s="1"/>
  <c r="K1016" i="457"/>
  <c r="AB1123" i="457"/>
  <c r="AC1123" i="457" s="1"/>
  <c r="AB972" i="457"/>
  <c r="AB917" i="457"/>
  <c r="AC917" i="457" s="1"/>
  <c r="AA862" i="457"/>
  <c r="S861" i="457"/>
  <c r="R1122" i="457"/>
  <c r="AB1122" i="457" s="1"/>
  <c r="AC1122" i="457" s="1"/>
  <c r="AB977" i="457"/>
  <c r="R1011" i="457"/>
  <c r="AB1011" i="457" s="1"/>
  <c r="L1010" i="457"/>
  <c r="R1010" i="457" s="1"/>
  <c r="AB1010" i="457" s="1"/>
  <c r="AB940" i="457"/>
  <c r="AC940" i="457" s="1"/>
  <c r="R954" i="457"/>
  <c r="L953" i="457"/>
  <c r="R953" i="457" s="1"/>
  <c r="AB918" i="457"/>
  <c r="AC918" i="457" s="1"/>
  <c r="AB903" i="457"/>
  <c r="AC903" i="457" s="1"/>
  <c r="L851" i="457"/>
  <c r="R851" i="457" s="1"/>
  <c r="N823" i="457"/>
  <c r="R824" i="457"/>
  <c r="AB824" i="457" s="1"/>
  <c r="AB873" i="457"/>
  <c r="AC873" i="457" s="1"/>
  <c r="AB841" i="457"/>
  <c r="AC841" i="457" s="1"/>
  <c r="AA617" i="457"/>
  <c r="S612" i="457"/>
  <c r="S720" i="457"/>
  <c r="R697" i="457"/>
  <c r="L696" i="457"/>
  <c r="R696" i="457" s="1"/>
  <c r="K480" i="457"/>
  <c r="R201" i="457"/>
  <c r="L200" i="457"/>
  <c r="D721" i="457"/>
  <c r="AB618" i="457"/>
  <c r="AB578" i="457"/>
  <c r="AC578" i="457" s="1"/>
  <c r="S79" i="457"/>
  <c r="AA80" i="457"/>
  <c r="D30" i="457"/>
  <c r="K30" i="457" s="1"/>
  <c r="D223" i="457"/>
  <c r="K224" i="457"/>
  <c r="T142" i="457"/>
  <c r="T12" i="457" s="1"/>
  <c r="AB147" i="457"/>
  <c r="AC147" i="457" s="1"/>
  <c r="AB606" i="457"/>
  <c r="AC606" i="457" s="1"/>
  <c r="AA182" i="457"/>
  <c r="S181" i="457"/>
  <c r="AB982" i="457"/>
  <c r="AC982" i="457" s="1"/>
  <c r="R183" i="457"/>
  <c r="AB183" i="457" s="1"/>
  <c r="AC183" i="457" s="1"/>
  <c r="L182" i="457"/>
  <c r="AC586" i="457"/>
  <c r="K14" i="457"/>
  <c r="L1016" i="457"/>
  <c r="R1017" i="457"/>
  <c r="AB1017" i="457" s="1"/>
  <c r="AC1017" i="457" s="1"/>
  <c r="AA981" i="457"/>
  <c r="S980" i="457"/>
  <c r="AA980" i="457" s="1"/>
  <c r="M1155" i="457"/>
  <c r="N1155" i="457" s="1"/>
  <c r="O1155" i="457" s="1"/>
  <c r="R1083" i="457"/>
  <c r="AB1083" i="457" s="1"/>
  <c r="L1082" i="457"/>
  <c r="K1027" i="457"/>
  <c r="AC1027" i="457" s="1"/>
  <c r="D980" i="457"/>
  <c r="K980" i="457" s="1"/>
  <c r="K981" i="457"/>
  <c r="M1120" i="457"/>
  <c r="M1111" i="457" s="1"/>
  <c r="M1135" i="457" s="1"/>
  <c r="R1121" i="457"/>
  <c r="AB985" i="457"/>
  <c r="AC985" i="457" s="1"/>
  <c r="K972" i="457"/>
  <c r="R928" i="457"/>
  <c r="AB916" i="457"/>
  <c r="AC916" i="457" s="1"/>
  <c r="L975" i="457"/>
  <c r="R975" i="457" s="1"/>
  <c r="AB975" i="457" s="1"/>
  <c r="R976" i="457"/>
  <c r="AB976" i="457" s="1"/>
  <c r="AB1012" i="457"/>
  <c r="AC1012" i="457" s="1"/>
  <c r="S1000" i="457"/>
  <c r="AA1001" i="457"/>
  <c r="AB941" i="457"/>
  <c r="AC941" i="457" s="1"/>
  <c r="K928" i="457"/>
  <c r="F823" i="457"/>
  <c r="K824" i="457"/>
  <c r="AB763" i="457"/>
  <c r="AC763" i="457" s="1"/>
  <c r="AB751" i="457"/>
  <c r="AC751" i="457" s="1"/>
  <c r="AC708" i="457"/>
  <c r="K852" i="457"/>
  <c r="AC852" i="457" s="1"/>
  <c r="D851" i="457"/>
  <c r="K851" i="457" s="1"/>
  <c r="AB605" i="457"/>
  <c r="AC605" i="457" s="1"/>
  <c r="R254" i="457"/>
  <c r="AB254" i="457" s="1"/>
  <c r="AC254" i="457" s="1"/>
  <c r="L612" i="457"/>
  <c r="R617" i="457"/>
  <c r="K345" i="457"/>
  <c r="D344" i="457"/>
  <c r="L344" i="457"/>
  <c r="R345" i="457"/>
  <c r="AB345" i="457" s="1"/>
  <c r="K337" i="457"/>
  <c r="AC337" i="457" s="1"/>
  <c r="R208" i="457"/>
  <c r="AB208" i="457" s="1"/>
  <c r="AC208" i="457" s="1"/>
  <c r="M206" i="457"/>
  <c r="R14" i="457"/>
  <c r="AC94" i="457"/>
  <c r="L224" i="457"/>
  <c r="R225" i="457"/>
  <c r="AB225" i="457" s="1"/>
  <c r="AC225" i="457" s="1"/>
  <c r="AB339" i="457"/>
  <c r="AC339" i="457" s="1"/>
  <c r="R79" i="457"/>
  <c r="R80" i="457"/>
  <c r="X964" i="454"/>
  <c r="X965" i="454"/>
  <c r="X970" i="454"/>
  <c r="M821" i="457" l="1"/>
  <c r="J11" i="457"/>
  <c r="J817" i="457" s="1"/>
  <c r="L13" i="457"/>
  <c r="AA1000" i="457"/>
  <c r="AB1121" i="457"/>
  <c r="AB577" i="457"/>
  <c r="AC577" i="457" s="1"/>
  <c r="X11" i="457"/>
  <c r="V1136" i="457"/>
  <c r="O821" i="457"/>
  <c r="O820" i="457" s="1"/>
  <c r="O1104" i="457" s="1"/>
  <c r="AB862" i="457"/>
  <c r="AC862" i="457" s="1"/>
  <c r="AA348" i="457"/>
  <c r="J820" i="457"/>
  <c r="J1104" i="457" s="1"/>
  <c r="O11" i="457"/>
  <c r="O817" i="457" s="1"/>
  <c r="I11" i="457"/>
  <c r="I817" i="457" s="1"/>
  <c r="I1136" i="457" s="1"/>
  <c r="W11" i="457"/>
  <c r="W817" i="457" s="1"/>
  <c r="W1136" i="457" s="1"/>
  <c r="Y11" i="457"/>
  <c r="Y817" i="457" s="1"/>
  <c r="Y1136" i="457" s="1"/>
  <c r="P11" i="457"/>
  <c r="P817" i="457" s="1"/>
  <c r="P1136" i="457" s="1"/>
  <c r="D927" i="457"/>
  <c r="N11" i="457"/>
  <c r="N817" i="457" s="1"/>
  <c r="AA723" i="457"/>
  <c r="O1136" i="457"/>
  <c r="AB14" i="457"/>
  <c r="T11" i="457"/>
  <c r="T817" i="457" s="1"/>
  <c r="T1136" i="457" s="1"/>
  <c r="AC824" i="457"/>
  <c r="Z11" i="457"/>
  <c r="Z817" i="457" s="1"/>
  <c r="Z1136" i="457" s="1"/>
  <c r="L1154" i="457"/>
  <c r="M1154" i="457" s="1"/>
  <c r="N1154" i="457" s="1"/>
  <c r="O1154" i="457" s="1"/>
  <c r="Q817" i="457"/>
  <c r="Q1136" i="457" s="1"/>
  <c r="AB1114" i="457"/>
  <c r="AC1114" i="457" s="1"/>
  <c r="M820" i="457"/>
  <c r="M1104" i="457" s="1"/>
  <c r="L1150" i="457"/>
  <c r="AB201" i="457"/>
  <c r="AC201" i="457" s="1"/>
  <c r="AB758" i="457"/>
  <c r="AC758" i="457" s="1"/>
  <c r="AA349" i="457"/>
  <c r="H1136" i="457"/>
  <c r="J1136" i="457"/>
  <c r="K1120" i="457"/>
  <c r="D1111" i="457"/>
  <c r="AC14" i="457"/>
  <c r="AA200" i="457"/>
  <c r="S191" i="457"/>
  <c r="AA191" i="457" s="1"/>
  <c r="AA696" i="457"/>
  <c r="AB696" i="457" s="1"/>
  <c r="AC696" i="457" s="1"/>
  <c r="U247" i="457"/>
  <c r="U11" i="457" s="1"/>
  <c r="U817" i="457" s="1"/>
  <c r="U1136" i="457" s="1"/>
  <c r="L1155" i="457"/>
  <c r="K722" i="457"/>
  <c r="AC1010" i="457"/>
  <c r="AC901" i="457"/>
  <c r="L1151" i="457"/>
  <c r="M1151" i="457" s="1"/>
  <c r="N1151" i="457" s="1"/>
  <c r="O1151" i="457" s="1"/>
  <c r="G821" i="457"/>
  <c r="G820" i="457" s="1"/>
  <c r="G1104" i="457" s="1"/>
  <c r="AB151" i="457"/>
  <c r="AC151" i="457" s="1"/>
  <c r="AB928" i="457"/>
  <c r="AC928" i="457" s="1"/>
  <c r="AC1121" i="457"/>
  <c r="AB697" i="457"/>
  <c r="AC697" i="457" s="1"/>
  <c r="R1120" i="457"/>
  <c r="AB1120" i="457" s="1"/>
  <c r="AC1120" i="457" s="1"/>
  <c r="AC836" i="457"/>
  <c r="X817" i="457"/>
  <c r="X1136" i="457" s="1"/>
  <c r="L1152" i="457"/>
  <c r="M1152" i="457" s="1"/>
  <c r="N1152" i="457" s="1"/>
  <c r="O1152" i="457" s="1"/>
  <c r="L1015" i="457"/>
  <c r="R1015" i="457" s="1"/>
  <c r="AB1015" i="457" s="1"/>
  <c r="AC1015" i="457" s="1"/>
  <c r="R1016" i="457"/>
  <c r="AB1016" i="457" s="1"/>
  <c r="AC1016" i="457" s="1"/>
  <c r="R182" i="457"/>
  <c r="AB182" i="457" s="1"/>
  <c r="AC182" i="457" s="1"/>
  <c r="L181" i="457"/>
  <c r="AA181" i="457"/>
  <c r="K612" i="457"/>
  <c r="D611" i="457"/>
  <c r="K611" i="457" s="1"/>
  <c r="L980" i="457"/>
  <c r="R980" i="457" s="1"/>
  <c r="AB980" i="457" s="1"/>
  <c r="AC980" i="457" s="1"/>
  <c r="R981" i="457"/>
  <c r="AB981" i="457" s="1"/>
  <c r="AC981" i="457" s="1"/>
  <c r="R224" i="457"/>
  <c r="L223" i="457"/>
  <c r="AC345" i="457"/>
  <c r="R1082" i="457"/>
  <c r="AB1082" i="457" s="1"/>
  <c r="L1081" i="457"/>
  <c r="R1081" i="457" s="1"/>
  <c r="AB1081" i="457" s="1"/>
  <c r="N822" i="457"/>
  <c r="N821" i="457" s="1"/>
  <c r="N820" i="457" s="1"/>
  <c r="N1104" i="457" s="1"/>
  <c r="R823" i="457"/>
  <c r="AB823" i="457" s="1"/>
  <c r="AA861" i="457"/>
  <c r="AB861" i="457" s="1"/>
  <c r="AC861" i="457" s="1"/>
  <c r="S851" i="457"/>
  <c r="K1001" i="457"/>
  <c r="D1000" i="457"/>
  <c r="K1000" i="457" s="1"/>
  <c r="AA722" i="457"/>
  <c r="D835" i="457"/>
  <c r="R344" i="457"/>
  <c r="AB344" i="457" s="1"/>
  <c r="L343" i="457"/>
  <c r="R343" i="457" s="1"/>
  <c r="AB343" i="457" s="1"/>
  <c r="AC1083" i="457"/>
  <c r="K927" i="457"/>
  <c r="D920" i="457"/>
  <c r="AA612" i="457"/>
  <c r="S611" i="457"/>
  <c r="AC1002" i="457"/>
  <c r="R200" i="457"/>
  <c r="L191" i="457"/>
  <c r="S223" i="457"/>
  <c r="AA224" i="457"/>
  <c r="K349" i="457"/>
  <c r="D348" i="457"/>
  <c r="R206" i="457"/>
  <c r="AB206" i="457" s="1"/>
  <c r="AC206" i="457" s="1"/>
  <c r="M191" i="457"/>
  <c r="M142" i="457" s="1"/>
  <c r="M12" i="457" s="1"/>
  <c r="M11" i="457" s="1"/>
  <c r="M817" i="457" s="1"/>
  <c r="AB617" i="457"/>
  <c r="D13" i="457"/>
  <c r="AA79" i="457"/>
  <c r="AB79" i="457" s="1"/>
  <c r="AC79" i="457" s="1"/>
  <c r="S30" i="457"/>
  <c r="AA720" i="457"/>
  <c r="S719" i="457"/>
  <c r="AA719" i="457" s="1"/>
  <c r="AC1011" i="457"/>
  <c r="M1150" i="457"/>
  <c r="AB80" i="457"/>
  <c r="AC80" i="457" s="1"/>
  <c r="R13" i="457"/>
  <c r="K344" i="457"/>
  <c r="D343" i="457"/>
  <c r="K343" i="457" s="1"/>
  <c r="L611" i="457"/>
  <c r="R611" i="457" s="1"/>
  <c r="R612" i="457"/>
  <c r="F822" i="457"/>
  <c r="F821" i="457" s="1"/>
  <c r="F820" i="457" s="1"/>
  <c r="F1104" i="457" s="1"/>
  <c r="K823" i="457"/>
  <c r="L927" i="457"/>
  <c r="AC884" i="457"/>
  <c r="K223" i="457"/>
  <c r="D222" i="457"/>
  <c r="D720" i="457"/>
  <c r="K721" i="457"/>
  <c r="AA721" i="457"/>
  <c r="AB954" i="457"/>
  <c r="AC954" i="457" s="1"/>
  <c r="AC972" i="457"/>
  <c r="D1081" i="457"/>
  <c r="K1081" i="457" s="1"/>
  <c r="K1082" i="457"/>
  <c r="F247" i="457"/>
  <c r="F11" i="457" s="1"/>
  <c r="F817" i="457" s="1"/>
  <c r="R349" i="457"/>
  <c r="L348" i="457"/>
  <c r="L835" i="457"/>
  <c r="AA953" i="457"/>
  <c r="AB953" i="457" s="1"/>
  <c r="AC953" i="457" s="1"/>
  <c r="S927" i="457"/>
  <c r="R1113" i="457"/>
  <c r="L1112" i="457"/>
  <c r="G191" i="457"/>
  <c r="K200" i="457"/>
  <c r="R723" i="457"/>
  <c r="AB723" i="457" s="1"/>
  <c r="AC723" i="457" s="1"/>
  <c r="L722" i="457"/>
  <c r="R1001" i="457"/>
  <c r="AB1001" i="457" s="1"/>
  <c r="AC1001" i="457" s="1"/>
  <c r="S1112" i="457"/>
  <c r="AA1113" i="457"/>
  <c r="X86" i="454"/>
  <c r="X85" i="454"/>
  <c r="X84" i="454"/>
  <c r="X83" i="454"/>
  <c r="X81" i="454"/>
  <c r="L1156" i="457" l="1"/>
  <c r="M1136" i="457"/>
  <c r="L1000" i="457"/>
  <c r="R1000" i="457" s="1"/>
  <c r="AB1000" i="457" s="1"/>
  <c r="AC1000" i="457" s="1"/>
  <c r="AB349" i="457"/>
  <c r="AC349" i="457" s="1"/>
  <c r="N1136" i="457"/>
  <c r="AB612" i="457"/>
  <c r="AB224" i="457"/>
  <c r="AC224" i="457" s="1"/>
  <c r="AB1113" i="457"/>
  <c r="AC1113" i="457" s="1"/>
  <c r="AC343" i="457"/>
  <c r="D1135" i="457"/>
  <c r="K1111" i="457"/>
  <c r="K1135" i="457" s="1"/>
  <c r="F1136" i="457"/>
  <c r="AB200" i="457"/>
  <c r="AC200" i="457" s="1"/>
  <c r="AC344" i="457"/>
  <c r="G142" i="457"/>
  <c r="G12" i="457" s="1"/>
  <c r="G11" i="457" s="1"/>
  <c r="G817" i="457" s="1"/>
  <c r="G1136" i="457" s="1"/>
  <c r="K191" i="457"/>
  <c r="D221" i="457"/>
  <c r="K222" i="457"/>
  <c r="AA223" i="457"/>
  <c r="S222" i="457"/>
  <c r="AA611" i="457"/>
  <c r="AB611" i="457" s="1"/>
  <c r="S247" i="457"/>
  <c r="AA247" i="457" s="1"/>
  <c r="K835" i="457"/>
  <c r="D822" i="457"/>
  <c r="AA851" i="457"/>
  <c r="AB851" i="457" s="1"/>
  <c r="AC851" i="457" s="1"/>
  <c r="S835" i="457"/>
  <c r="AC1081" i="457"/>
  <c r="R722" i="457"/>
  <c r="AB722" i="457" s="1"/>
  <c r="AC722" i="457" s="1"/>
  <c r="L721" i="457"/>
  <c r="L1111" i="457"/>
  <c r="R1112" i="457"/>
  <c r="R835" i="457"/>
  <c r="L822" i="457"/>
  <c r="N1150" i="457"/>
  <c r="O1150" i="457" s="1"/>
  <c r="O1156" i="457" s="1"/>
  <c r="M1156" i="457"/>
  <c r="K13" i="457"/>
  <c r="K348" i="457"/>
  <c r="D247" i="457"/>
  <c r="K247" i="457" s="1"/>
  <c r="R191" i="457"/>
  <c r="AB191" i="457" s="1"/>
  <c r="AC1082" i="457"/>
  <c r="K920" i="457"/>
  <c r="D909" i="457"/>
  <c r="K909" i="457" s="1"/>
  <c r="AC823" i="457"/>
  <c r="S1111" i="457"/>
  <c r="AA1112" i="457"/>
  <c r="R348" i="457"/>
  <c r="AB348" i="457" s="1"/>
  <c r="AC348" i="457" s="1"/>
  <c r="L247" i="457"/>
  <c r="R247" i="457" s="1"/>
  <c r="AA927" i="457"/>
  <c r="S920" i="457"/>
  <c r="K720" i="457"/>
  <c r="D719" i="457"/>
  <c r="K719" i="457" s="1"/>
  <c r="R927" i="457"/>
  <c r="L920" i="457"/>
  <c r="AA30" i="457"/>
  <c r="AB30" i="457" s="1"/>
  <c r="AC30" i="457" s="1"/>
  <c r="S13" i="457"/>
  <c r="R223" i="457"/>
  <c r="L222" i="457"/>
  <c r="R181" i="457"/>
  <c r="AB181" i="457" s="1"/>
  <c r="AC181" i="457" s="1"/>
  <c r="X80" i="454"/>
  <c r="X79" i="454" s="1"/>
  <c r="D339" i="5"/>
  <c r="E339" i="5"/>
  <c r="F339" i="5"/>
  <c r="G339" i="5"/>
  <c r="H339" i="5"/>
  <c r="I339" i="5"/>
  <c r="J339" i="5"/>
  <c r="K339" i="5"/>
  <c r="L339" i="5"/>
  <c r="M339" i="5"/>
  <c r="N339" i="5"/>
  <c r="C339" i="5"/>
  <c r="Z339" i="454"/>
  <c r="Y339" i="454"/>
  <c r="X339" i="454"/>
  <c r="X338" i="454" s="1"/>
  <c r="X337" i="454" s="1"/>
  <c r="W339" i="454"/>
  <c r="V339" i="454"/>
  <c r="U339" i="454"/>
  <c r="T339" i="454"/>
  <c r="S339" i="454"/>
  <c r="Q339" i="454"/>
  <c r="P339" i="454"/>
  <c r="O339" i="454"/>
  <c r="N339" i="454"/>
  <c r="M339" i="454"/>
  <c r="L339" i="454"/>
  <c r="J339" i="454"/>
  <c r="I339" i="454"/>
  <c r="H339" i="454"/>
  <c r="G339" i="454"/>
  <c r="F339" i="454"/>
  <c r="D339" i="454"/>
  <c r="X235" i="454"/>
  <c r="X234" i="454"/>
  <c r="X233" i="454"/>
  <c r="X232" i="454"/>
  <c r="X231" i="454"/>
  <c r="X230" i="454"/>
  <c r="X228" i="454"/>
  <c r="X227" i="454"/>
  <c r="X226" i="454"/>
  <c r="X145" i="454"/>
  <c r="AB927" i="457" l="1"/>
  <c r="AC927" i="457" s="1"/>
  <c r="AB223" i="457"/>
  <c r="AC223" i="457" s="1"/>
  <c r="AC191" i="457"/>
  <c r="AB247" i="457"/>
  <c r="AC247" i="457" s="1"/>
  <c r="AA13" i="457"/>
  <c r="AB13" i="457" s="1"/>
  <c r="AC13" i="457" s="1"/>
  <c r="R920" i="457"/>
  <c r="L909" i="457"/>
  <c r="R909" i="457" s="1"/>
  <c r="AA920" i="457"/>
  <c r="S909" i="457"/>
  <c r="AA909" i="457" s="1"/>
  <c r="L1135" i="457"/>
  <c r="R1111" i="457"/>
  <c r="AA835" i="457"/>
  <c r="AB835" i="457" s="1"/>
  <c r="AC835" i="457" s="1"/>
  <c r="S822" i="457"/>
  <c r="R222" i="457"/>
  <c r="L221" i="457"/>
  <c r="S1135" i="457"/>
  <c r="AA1111" i="457"/>
  <c r="AA1135" i="457" s="1"/>
  <c r="R822" i="457"/>
  <c r="L821" i="457"/>
  <c r="R721" i="457"/>
  <c r="AB721" i="457" s="1"/>
  <c r="AC721" i="457" s="1"/>
  <c r="L720" i="457"/>
  <c r="K221" i="457"/>
  <c r="D142" i="457"/>
  <c r="D821" i="457"/>
  <c r="K822" i="457"/>
  <c r="S221" i="457"/>
  <c r="AA222" i="457"/>
  <c r="M1157" i="457"/>
  <c r="N1156" i="457"/>
  <c r="AB1112" i="457"/>
  <c r="AC1112" i="457" s="1"/>
  <c r="X225" i="454"/>
  <c r="AA339" i="454"/>
  <c r="F911" i="454"/>
  <c r="F910" i="454" s="1"/>
  <c r="F922" i="454"/>
  <c r="F921" i="454" s="1"/>
  <c r="F929" i="454"/>
  <c r="G929" i="454"/>
  <c r="AA1025" i="454"/>
  <c r="R1025" i="454"/>
  <c r="E1025" i="454"/>
  <c r="K1025" i="454" s="1"/>
  <c r="N1023" i="5"/>
  <c r="O1025" i="5"/>
  <c r="O999" i="5"/>
  <c r="D997" i="5"/>
  <c r="E997" i="5"/>
  <c r="F997" i="5"/>
  <c r="G997" i="5"/>
  <c r="H997" i="5"/>
  <c r="I997" i="5"/>
  <c r="J997" i="5"/>
  <c r="K997" i="5"/>
  <c r="L997" i="5"/>
  <c r="M997" i="5"/>
  <c r="N997" i="5"/>
  <c r="C997" i="5"/>
  <c r="Z997" i="454"/>
  <c r="Y997" i="454"/>
  <c r="X997" i="454"/>
  <c r="W997" i="454"/>
  <c r="V997" i="454"/>
  <c r="U997" i="454"/>
  <c r="T997" i="454"/>
  <c r="S997" i="454"/>
  <c r="Q997" i="454"/>
  <c r="P997" i="454"/>
  <c r="O997" i="454"/>
  <c r="N997" i="454"/>
  <c r="M997" i="454"/>
  <c r="L997" i="454"/>
  <c r="J997" i="454"/>
  <c r="I997" i="454"/>
  <c r="H997" i="454"/>
  <c r="G997" i="454"/>
  <c r="F997" i="454"/>
  <c r="D997" i="454"/>
  <c r="AA999" i="454"/>
  <c r="R999" i="454"/>
  <c r="E999" i="454"/>
  <c r="K999" i="454" s="1"/>
  <c r="AA994" i="454"/>
  <c r="AA995" i="454"/>
  <c r="AA996" i="454"/>
  <c r="R994" i="454"/>
  <c r="R995" i="454"/>
  <c r="R996" i="454"/>
  <c r="E994" i="454"/>
  <c r="K994" i="454" s="1"/>
  <c r="E995" i="454"/>
  <c r="K995" i="454" s="1"/>
  <c r="E996" i="454"/>
  <c r="K996" i="454" s="1"/>
  <c r="O993" i="5"/>
  <c r="O994" i="5"/>
  <c r="O995" i="5"/>
  <c r="O996" i="5"/>
  <c r="O998" i="5"/>
  <c r="Z955" i="454"/>
  <c r="Z954" i="454" s="1"/>
  <c r="Y955" i="454"/>
  <c r="Y954" i="454" s="1"/>
  <c r="X955" i="454"/>
  <c r="X954" i="454" s="1"/>
  <c r="J955" i="454"/>
  <c r="J954" i="454" s="1"/>
  <c r="I955" i="454"/>
  <c r="I954" i="454" s="1"/>
  <c r="H955" i="454"/>
  <c r="H954" i="454" s="1"/>
  <c r="G955" i="454"/>
  <c r="G954" i="454" s="1"/>
  <c r="F955" i="454"/>
  <c r="F954" i="454" s="1"/>
  <c r="D973" i="454"/>
  <c r="D972" i="454" s="1"/>
  <c r="Z973" i="454"/>
  <c r="Z972" i="454" s="1"/>
  <c r="Y973" i="454"/>
  <c r="Y972" i="454" s="1"/>
  <c r="X973" i="454"/>
  <c r="X972" i="454" s="1"/>
  <c r="W973" i="454"/>
  <c r="W972" i="454" s="1"/>
  <c r="V973" i="454"/>
  <c r="U973" i="454"/>
  <c r="U972" i="454" s="1"/>
  <c r="T973" i="454"/>
  <c r="S973" i="454"/>
  <c r="S972" i="454" s="1"/>
  <c r="V972" i="454"/>
  <c r="T972" i="454"/>
  <c r="Q973" i="454"/>
  <c r="Q972" i="454" s="1"/>
  <c r="P973" i="454"/>
  <c r="P972" i="454" s="1"/>
  <c r="O973" i="454"/>
  <c r="O972" i="454" s="1"/>
  <c r="N973" i="454"/>
  <c r="N972" i="454" s="1"/>
  <c r="M973" i="454"/>
  <c r="M972" i="454" s="1"/>
  <c r="L973" i="454"/>
  <c r="L972" i="454" s="1"/>
  <c r="J973" i="454"/>
  <c r="J972" i="454" s="1"/>
  <c r="I973" i="454"/>
  <c r="I972" i="454" s="1"/>
  <c r="H973" i="454"/>
  <c r="H972" i="454" s="1"/>
  <c r="G973" i="454"/>
  <c r="G972" i="454" s="1"/>
  <c r="F973" i="454"/>
  <c r="F972" i="454" s="1"/>
  <c r="D955" i="5"/>
  <c r="D954" i="5" s="1"/>
  <c r="D953" i="5" s="1"/>
  <c r="E955" i="5"/>
  <c r="E954" i="5" s="1"/>
  <c r="F955" i="5"/>
  <c r="F954" i="5" s="1"/>
  <c r="G955" i="5"/>
  <c r="G954" i="5" s="1"/>
  <c r="H955" i="5"/>
  <c r="H954" i="5" s="1"/>
  <c r="H953" i="5" s="1"/>
  <c r="I955" i="5"/>
  <c r="I954" i="5" s="1"/>
  <c r="J955" i="5"/>
  <c r="J954" i="5" s="1"/>
  <c r="K955" i="5"/>
  <c r="K954" i="5" s="1"/>
  <c r="L955" i="5"/>
  <c r="L954" i="5" s="1"/>
  <c r="L953" i="5" s="1"/>
  <c r="M955" i="5"/>
  <c r="M954" i="5" s="1"/>
  <c r="N955" i="5"/>
  <c r="N954" i="5" s="1"/>
  <c r="D973" i="5"/>
  <c r="D972" i="5" s="1"/>
  <c r="E973" i="5"/>
  <c r="E972" i="5" s="1"/>
  <c r="F973" i="5"/>
  <c r="F972" i="5" s="1"/>
  <c r="G973" i="5"/>
  <c r="G972" i="5" s="1"/>
  <c r="H973" i="5"/>
  <c r="H972" i="5" s="1"/>
  <c r="I973" i="5"/>
  <c r="I972" i="5" s="1"/>
  <c r="J973" i="5"/>
  <c r="J972" i="5" s="1"/>
  <c r="K973" i="5"/>
  <c r="K972" i="5" s="1"/>
  <c r="L973" i="5"/>
  <c r="L972" i="5" s="1"/>
  <c r="M973" i="5"/>
  <c r="M972" i="5" s="1"/>
  <c r="N973" i="5"/>
  <c r="N972" i="5" s="1"/>
  <c r="C973" i="5"/>
  <c r="C972" i="5" s="1"/>
  <c r="O974" i="5"/>
  <c r="AA974" i="454"/>
  <c r="R974" i="454"/>
  <c r="E974" i="454"/>
  <c r="K974" i="454" s="1"/>
  <c r="O968" i="5"/>
  <c r="O969" i="5"/>
  <c r="O970" i="5"/>
  <c r="C955" i="5"/>
  <c r="E968" i="454"/>
  <c r="K968" i="454" s="1"/>
  <c r="E969" i="454"/>
  <c r="K969" i="454" s="1"/>
  <c r="R968" i="454"/>
  <c r="R969" i="454"/>
  <c r="AA968" i="454"/>
  <c r="AA969" i="454"/>
  <c r="D955" i="454"/>
  <c r="AA963" i="454"/>
  <c r="R963" i="454"/>
  <c r="E963" i="454"/>
  <c r="K963" i="454" s="1"/>
  <c r="O963" i="5"/>
  <c r="C941" i="5"/>
  <c r="C940" i="5" s="1"/>
  <c r="AA951" i="454"/>
  <c r="AA943" i="454"/>
  <c r="R951" i="454"/>
  <c r="R943" i="454"/>
  <c r="R944" i="454"/>
  <c r="R945" i="454"/>
  <c r="E951" i="454"/>
  <c r="K951" i="454" s="1"/>
  <c r="E943" i="454"/>
  <c r="K943" i="454" s="1"/>
  <c r="D949" i="454"/>
  <c r="C949" i="5"/>
  <c r="O943" i="5"/>
  <c r="O944" i="5"/>
  <c r="O945" i="5"/>
  <c r="O946" i="5"/>
  <c r="O947" i="5"/>
  <c r="O948" i="5"/>
  <c r="O950" i="5"/>
  <c r="O951" i="5"/>
  <c r="O952" i="5"/>
  <c r="AA937" i="454"/>
  <c r="AA938" i="454"/>
  <c r="R937" i="454"/>
  <c r="R938" i="454"/>
  <c r="E937" i="454"/>
  <c r="K937" i="454" s="1"/>
  <c r="E938" i="454"/>
  <c r="K938" i="454" s="1"/>
  <c r="O936" i="5"/>
  <c r="O937" i="5"/>
  <c r="O938" i="5"/>
  <c r="O939" i="5"/>
  <c r="C933" i="5"/>
  <c r="O904" i="5"/>
  <c r="O906" i="5"/>
  <c r="O907" i="5"/>
  <c r="O908" i="5"/>
  <c r="C905" i="5"/>
  <c r="AA907" i="454"/>
  <c r="R907" i="454"/>
  <c r="E907" i="454"/>
  <c r="K907" i="454" s="1"/>
  <c r="D905" i="454"/>
  <c r="AA887" i="454"/>
  <c r="AA888" i="454"/>
  <c r="AA889" i="454"/>
  <c r="AA890" i="454"/>
  <c r="AA891" i="454"/>
  <c r="R887" i="454"/>
  <c r="R888" i="454"/>
  <c r="R889" i="454"/>
  <c r="R890" i="454"/>
  <c r="R891" i="454"/>
  <c r="E887" i="454"/>
  <c r="K887" i="454" s="1"/>
  <c r="E888" i="454"/>
  <c r="K888" i="454" s="1"/>
  <c r="E889" i="454"/>
  <c r="K889" i="454" s="1"/>
  <c r="E890" i="454"/>
  <c r="K890" i="454" s="1"/>
  <c r="E891" i="454"/>
  <c r="K891" i="454" s="1"/>
  <c r="Z841" i="454"/>
  <c r="Y841" i="454"/>
  <c r="X841" i="454"/>
  <c r="W841" i="454"/>
  <c r="V841" i="454"/>
  <c r="U841" i="454"/>
  <c r="T841" i="454"/>
  <c r="S841" i="454"/>
  <c r="Q841" i="454"/>
  <c r="P841" i="454"/>
  <c r="O841" i="454"/>
  <c r="N841" i="454"/>
  <c r="M841" i="454"/>
  <c r="L841" i="454"/>
  <c r="J841" i="454"/>
  <c r="I841" i="454"/>
  <c r="H841" i="454"/>
  <c r="G841" i="454"/>
  <c r="F841" i="454"/>
  <c r="D841" i="454"/>
  <c r="AA843" i="454"/>
  <c r="R843" i="454"/>
  <c r="E843" i="454"/>
  <c r="K843" i="454" s="1"/>
  <c r="O843" i="5"/>
  <c r="D841" i="5"/>
  <c r="E841" i="5"/>
  <c r="F841" i="5"/>
  <c r="G841" i="5"/>
  <c r="H841" i="5"/>
  <c r="I841" i="5"/>
  <c r="J841" i="5"/>
  <c r="K841" i="5"/>
  <c r="L841" i="5"/>
  <c r="M841" i="5"/>
  <c r="N841" i="5"/>
  <c r="C841" i="5"/>
  <c r="O838" i="5"/>
  <c r="O839" i="5"/>
  <c r="O840" i="5"/>
  <c r="O842" i="5"/>
  <c r="AA838" i="454"/>
  <c r="AA839" i="454"/>
  <c r="AA840" i="454"/>
  <c r="R838" i="454"/>
  <c r="R839" i="454"/>
  <c r="R840" i="454"/>
  <c r="F836" i="454"/>
  <c r="E838" i="454"/>
  <c r="K838" i="454" s="1"/>
  <c r="E839" i="454"/>
  <c r="K839" i="454" s="1"/>
  <c r="E840" i="454"/>
  <c r="K840" i="454" s="1"/>
  <c r="N80" i="5"/>
  <c r="N74" i="5"/>
  <c r="D704" i="454"/>
  <c r="Z698" i="454"/>
  <c r="Y698" i="454"/>
  <c r="X698" i="454"/>
  <c r="W698" i="454"/>
  <c r="V698" i="454"/>
  <c r="U698" i="454"/>
  <c r="T698" i="454"/>
  <c r="S698" i="454"/>
  <c r="Q698" i="454"/>
  <c r="P698" i="454"/>
  <c r="O698" i="454"/>
  <c r="N698" i="454"/>
  <c r="M698" i="454"/>
  <c r="L698" i="454"/>
  <c r="J698" i="454"/>
  <c r="I698" i="454"/>
  <c r="H698" i="454"/>
  <c r="G698" i="454"/>
  <c r="F698" i="454"/>
  <c r="D698" i="454"/>
  <c r="D698" i="5"/>
  <c r="E698" i="5"/>
  <c r="F698" i="5"/>
  <c r="G698" i="5"/>
  <c r="H698" i="5"/>
  <c r="I698" i="5"/>
  <c r="J698" i="5"/>
  <c r="K698" i="5"/>
  <c r="L698" i="5"/>
  <c r="M698" i="5"/>
  <c r="N698" i="5"/>
  <c r="C698" i="5"/>
  <c r="Z704" i="454"/>
  <c r="Y704" i="454"/>
  <c r="X704" i="454"/>
  <c r="W704" i="454"/>
  <c r="V704" i="454"/>
  <c r="U704" i="454"/>
  <c r="T704" i="454"/>
  <c r="S704" i="454"/>
  <c r="Q704" i="454"/>
  <c r="P704" i="454"/>
  <c r="O704" i="454"/>
  <c r="N704" i="454"/>
  <c r="M704" i="454"/>
  <c r="L704" i="454"/>
  <c r="J704" i="454"/>
  <c r="I704" i="454"/>
  <c r="H704" i="454"/>
  <c r="G704" i="454"/>
  <c r="F704" i="454"/>
  <c r="C704" i="5"/>
  <c r="AA705" i="454"/>
  <c r="AA706" i="454"/>
  <c r="R705" i="454"/>
  <c r="R706" i="454"/>
  <c r="E705" i="454"/>
  <c r="K705" i="454" s="1"/>
  <c r="E706" i="454"/>
  <c r="K706" i="454" s="1"/>
  <c r="D704" i="5"/>
  <c r="E704" i="5"/>
  <c r="F704" i="5"/>
  <c r="G704" i="5"/>
  <c r="H704" i="5"/>
  <c r="I704" i="5"/>
  <c r="J704" i="5"/>
  <c r="K704" i="5"/>
  <c r="L704" i="5"/>
  <c r="M704" i="5"/>
  <c r="N704" i="5"/>
  <c r="O705" i="5"/>
  <c r="O706" i="5"/>
  <c r="O703" i="5"/>
  <c r="AA703" i="454"/>
  <c r="R703" i="454"/>
  <c r="E703" i="454"/>
  <c r="K703" i="454" s="1"/>
  <c r="F45" i="454"/>
  <c r="F44" i="454"/>
  <c r="F43" i="454"/>
  <c r="F42" i="454"/>
  <c r="F41" i="454"/>
  <c r="F40" i="454"/>
  <c r="F38" i="454"/>
  <c r="F37" i="454"/>
  <c r="F36" i="454"/>
  <c r="F35" i="454"/>
  <c r="F34" i="454"/>
  <c r="F33" i="454"/>
  <c r="N45" i="5"/>
  <c r="N44" i="5"/>
  <c r="N43" i="5"/>
  <c r="N42" i="5"/>
  <c r="N41" i="5"/>
  <c r="N40" i="5"/>
  <c r="D33" i="5"/>
  <c r="E33" i="5"/>
  <c r="F33" i="5"/>
  <c r="G33" i="5"/>
  <c r="H33" i="5"/>
  <c r="I33" i="5"/>
  <c r="J33" i="5"/>
  <c r="K33" i="5"/>
  <c r="L33" i="5"/>
  <c r="M33" i="5"/>
  <c r="N33" i="5"/>
  <c r="D34" i="5"/>
  <c r="E34" i="5"/>
  <c r="F34" i="5"/>
  <c r="G34" i="5"/>
  <c r="H34" i="5"/>
  <c r="I34" i="5"/>
  <c r="J34" i="5"/>
  <c r="K34" i="5"/>
  <c r="L34" i="5"/>
  <c r="M34" i="5"/>
  <c r="N34" i="5"/>
  <c r="D35" i="5"/>
  <c r="E35" i="5"/>
  <c r="F35" i="5"/>
  <c r="G35" i="5"/>
  <c r="H35" i="5"/>
  <c r="I35" i="5"/>
  <c r="J35" i="5"/>
  <c r="K35" i="5"/>
  <c r="L35" i="5"/>
  <c r="M35" i="5"/>
  <c r="N35" i="5"/>
  <c r="D36" i="5"/>
  <c r="E36" i="5"/>
  <c r="F36" i="5"/>
  <c r="G36" i="5"/>
  <c r="H36" i="5"/>
  <c r="I36" i="5"/>
  <c r="J36" i="5"/>
  <c r="K36" i="5"/>
  <c r="L36" i="5"/>
  <c r="M36" i="5"/>
  <c r="N36" i="5"/>
  <c r="D37" i="5"/>
  <c r="E37" i="5"/>
  <c r="F37" i="5"/>
  <c r="G37" i="5"/>
  <c r="H37" i="5"/>
  <c r="I37" i="5"/>
  <c r="J37" i="5"/>
  <c r="K37" i="5"/>
  <c r="L37" i="5"/>
  <c r="M37" i="5"/>
  <c r="N37" i="5"/>
  <c r="D38" i="5"/>
  <c r="E38" i="5"/>
  <c r="F38" i="5"/>
  <c r="G38" i="5"/>
  <c r="H38" i="5"/>
  <c r="I38" i="5"/>
  <c r="J38" i="5"/>
  <c r="K38" i="5"/>
  <c r="L38" i="5"/>
  <c r="M38" i="5"/>
  <c r="N38" i="5"/>
  <c r="C38" i="5"/>
  <c r="C37" i="5"/>
  <c r="C36" i="5"/>
  <c r="C35" i="5"/>
  <c r="C34" i="5"/>
  <c r="C33" i="5"/>
  <c r="AB920" i="457" l="1"/>
  <c r="AC920" i="457" s="1"/>
  <c r="AB909" i="457"/>
  <c r="AC909" i="457" s="1"/>
  <c r="AA221" i="457"/>
  <c r="S142" i="457"/>
  <c r="AB222" i="457"/>
  <c r="AC222" i="457" s="1"/>
  <c r="R720" i="457"/>
  <c r="AB720" i="457" s="1"/>
  <c r="AC720" i="457" s="1"/>
  <c r="L719" i="457"/>
  <c r="R719" i="457" s="1"/>
  <c r="AB719" i="457" s="1"/>
  <c r="AC719" i="457" s="1"/>
  <c r="S821" i="457"/>
  <c r="AA822" i="457"/>
  <c r="AB822" i="457" s="1"/>
  <c r="AC822" i="457" s="1"/>
  <c r="K821" i="457"/>
  <c r="D820" i="457"/>
  <c r="K142" i="457"/>
  <c r="D12" i="457"/>
  <c r="R821" i="457"/>
  <c r="L820" i="457"/>
  <c r="R221" i="457"/>
  <c r="L142" i="457"/>
  <c r="AB1111" i="457"/>
  <c r="R1135" i="457"/>
  <c r="AB974" i="454"/>
  <c r="AC974" i="454" s="1"/>
  <c r="AB943" i="454"/>
  <c r="AC943" i="454" s="1"/>
  <c r="AB1025" i="454"/>
  <c r="AB706" i="454"/>
  <c r="AB994" i="454"/>
  <c r="AB996" i="454"/>
  <c r="AB963" i="454"/>
  <c r="AB999" i="454"/>
  <c r="AB969" i="454"/>
  <c r="X953" i="454"/>
  <c r="AB995" i="454"/>
  <c r="R972" i="454"/>
  <c r="AA972" i="454"/>
  <c r="Z953" i="454"/>
  <c r="E973" i="454"/>
  <c r="K973" i="454" s="1"/>
  <c r="O973" i="5"/>
  <c r="M953" i="5"/>
  <c r="K953" i="5"/>
  <c r="I953" i="5"/>
  <c r="G953" i="5"/>
  <c r="E953" i="5"/>
  <c r="J953" i="5"/>
  <c r="F953" i="5"/>
  <c r="R973" i="454"/>
  <c r="Y953" i="454"/>
  <c r="AA973" i="454"/>
  <c r="AB968" i="454"/>
  <c r="F953" i="454"/>
  <c r="J953" i="454"/>
  <c r="G953" i="454"/>
  <c r="I953" i="454"/>
  <c r="H953" i="454"/>
  <c r="N953" i="5"/>
  <c r="O972" i="5"/>
  <c r="E972" i="454"/>
  <c r="K972" i="454" s="1"/>
  <c r="AB891" i="454"/>
  <c r="AB889" i="454"/>
  <c r="AB887" i="454"/>
  <c r="AB951" i="454"/>
  <c r="AC951" i="454" s="1"/>
  <c r="AC963" i="454"/>
  <c r="AB938" i="454"/>
  <c r="AB937" i="454"/>
  <c r="AB907" i="454"/>
  <c r="AC907" i="454" s="1"/>
  <c r="AB890" i="454"/>
  <c r="AB703" i="454"/>
  <c r="AB840" i="454"/>
  <c r="AC840" i="454" s="1"/>
  <c r="AB838" i="454"/>
  <c r="AC838" i="454" s="1"/>
  <c r="AB888" i="454"/>
  <c r="AB843" i="454"/>
  <c r="AC843" i="454" s="1"/>
  <c r="AB839" i="454"/>
  <c r="AC839" i="454" s="1"/>
  <c r="AB705" i="454"/>
  <c r="AA704" i="454"/>
  <c r="E704" i="454"/>
  <c r="K704" i="454" s="1"/>
  <c r="R704" i="454"/>
  <c r="O704" i="5"/>
  <c r="Y174" i="456"/>
  <c r="P174" i="456"/>
  <c r="Z174" i="456" s="1"/>
  <c r="AA174" i="456" s="1"/>
  <c r="I174" i="456"/>
  <c r="Y172" i="456"/>
  <c r="P172" i="456"/>
  <c r="Z172" i="456" s="1"/>
  <c r="R170" i="456"/>
  <c r="Y169" i="456"/>
  <c r="P169" i="456"/>
  <c r="I169" i="456"/>
  <c r="Y168" i="456"/>
  <c r="Z168" i="456" s="1"/>
  <c r="P168" i="456"/>
  <c r="I168" i="456"/>
  <c r="Y167" i="456"/>
  <c r="P167" i="456"/>
  <c r="Z167" i="456" s="1"/>
  <c r="AA167" i="456" s="1"/>
  <c r="I167" i="456"/>
  <c r="Y166" i="456"/>
  <c r="P166" i="456"/>
  <c r="I166" i="456"/>
  <c r="Y165" i="456"/>
  <c r="P165" i="456"/>
  <c r="I165" i="456"/>
  <c r="Y164" i="456"/>
  <c r="Z164" i="456" s="1"/>
  <c r="P164" i="456"/>
  <c r="I164" i="456"/>
  <c r="Y163" i="456"/>
  <c r="P163" i="456"/>
  <c r="Y162" i="456"/>
  <c r="P162" i="456"/>
  <c r="I162" i="456"/>
  <c r="Y161" i="456"/>
  <c r="Z161" i="456" s="1"/>
  <c r="P161" i="456"/>
  <c r="I161" i="456"/>
  <c r="Y160" i="456"/>
  <c r="P160" i="456"/>
  <c r="Z160" i="456" s="1"/>
  <c r="AA160" i="456" s="1"/>
  <c r="I160" i="456"/>
  <c r="Y159" i="456"/>
  <c r="P159" i="456"/>
  <c r="I159" i="456"/>
  <c r="Y158" i="456"/>
  <c r="P158" i="456"/>
  <c r="I158" i="456"/>
  <c r="Y157" i="456"/>
  <c r="Z157" i="456" s="1"/>
  <c r="P157" i="456"/>
  <c r="I157" i="456"/>
  <c r="Y156" i="456"/>
  <c r="P156" i="456"/>
  <c r="Z156" i="456" s="1"/>
  <c r="AA156" i="456" s="1"/>
  <c r="I156" i="456"/>
  <c r="Y155" i="456"/>
  <c r="P155" i="456"/>
  <c r="I155" i="456"/>
  <c r="Y154" i="456"/>
  <c r="P154" i="456"/>
  <c r="I154" i="456"/>
  <c r="Y153" i="456"/>
  <c r="P153" i="456"/>
  <c r="I153" i="456"/>
  <c r="Y152" i="456"/>
  <c r="P152" i="456"/>
  <c r="Z152" i="456" s="1"/>
  <c r="I152" i="456"/>
  <c r="Y151" i="456"/>
  <c r="P151" i="456"/>
  <c r="Y150" i="456"/>
  <c r="P150" i="456"/>
  <c r="Y149" i="456"/>
  <c r="P149" i="456"/>
  <c r="I149" i="456"/>
  <c r="Y148" i="456"/>
  <c r="P148" i="456"/>
  <c r="I148" i="456"/>
  <c r="Y147" i="456"/>
  <c r="P147" i="456"/>
  <c r="I147" i="456"/>
  <c r="Y146" i="456"/>
  <c r="P146" i="456"/>
  <c r="Z146" i="456" s="1"/>
  <c r="I146" i="456"/>
  <c r="Y145" i="456"/>
  <c r="P145" i="456"/>
  <c r="I145" i="456"/>
  <c r="Y144" i="456"/>
  <c r="P144" i="456"/>
  <c r="I144" i="456"/>
  <c r="Y143" i="456"/>
  <c r="P143" i="456"/>
  <c r="I143" i="456"/>
  <c r="Y142" i="456"/>
  <c r="P142" i="456"/>
  <c r="Z142" i="456" s="1"/>
  <c r="I142" i="456"/>
  <c r="Y141" i="456"/>
  <c r="P141" i="456"/>
  <c r="I141" i="456"/>
  <c r="Y140" i="456"/>
  <c r="P140" i="456"/>
  <c r="I140" i="456"/>
  <c r="Y139" i="456"/>
  <c r="P139" i="456"/>
  <c r="I139" i="456"/>
  <c r="Y138" i="456"/>
  <c r="P138" i="456"/>
  <c r="I138" i="456"/>
  <c r="Y137" i="456"/>
  <c r="P137" i="456"/>
  <c r="I137" i="456"/>
  <c r="Y136" i="456"/>
  <c r="P136" i="456"/>
  <c r="I136" i="456"/>
  <c r="Y135" i="456"/>
  <c r="P135" i="456"/>
  <c r="I135" i="456"/>
  <c r="Y134" i="456"/>
  <c r="P134" i="456"/>
  <c r="Z134" i="456" s="1"/>
  <c r="I134" i="456"/>
  <c r="Y133" i="456"/>
  <c r="P133" i="456"/>
  <c r="I133" i="456"/>
  <c r="Y132" i="456"/>
  <c r="P132" i="456"/>
  <c r="I132" i="456"/>
  <c r="Y131" i="456"/>
  <c r="P131" i="456"/>
  <c r="I131" i="456"/>
  <c r="Y130" i="456"/>
  <c r="P130" i="456"/>
  <c r="Z130" i="456" s="1"/>
  <c r="I130" i="456"/>
  <c r="Y129" i="456"/>
  <c r="P129" i="456"/>
  <c r="I129" i="456"/>
  <c r="Y128" i="456"/>
  <c r="P128" i="456"/>
  <c r="I128" i="456"/>
  <c r="Y127" i="456"/>
  <c r="P127" i="456"/>
  <c r="Y126" i="456"/>
  <c r="P126" i="456"/>
  <c r="I126" i="456"/>
  <c r="Y125" i="456"/>
  <c r="P125" i="456"/>
  <c r="I125" i="456"/>
  <c r="P124" i="456"/>
  <c r="X123" i="456"/>
  <c r="X122" i="456" s="1"/>
  <c r="X170" i="456" s="1"/>
  <c r="W123" i="456"/>
  <c r="W122" i="456" s="1"/>
  <c r="W170" i="456" s="1"/>
  <c r="V123" i="456"/>
  <c r="V122" i="456" s="1"/>
  <c r="V170" i="456" s="1"/>
  <c r="U123" i="456"/>
  <c r="U122" i="456" s="1"/>
  <c r="U170" i="456" s="1"/>
  <c r="T123" i="456"/>
  <c r="T122" i="456" s="1"/>
  <c r="T170" i="456" s="1"/>
  <c r="S123" i="456"/>
  <c r="S122" i="456" s="1"/>
  <c r="S170" i="456" s="1"/>
  <c r="R123" i="456"/>
  <c r="R122" i="456" s="1"/>
  <c r="Q123" i="456"/>
  <c r="Q122" i="456" s="1"/>
  <c r="Q170" i="456" s="1"/>
  <c r="O123" i="456"/>
  <c r="O122" i="456" s="1"/>
  <c r="O170" i="456" s="1"/>
  <c r="N123" i="456"/>
  <c r="N122" i="456" s="1"/>
  <c r="N170" i="456" s="1"/>
  <c r="M123" i="456"/>
  <c r="L123" i="456"/>
  <c r="L122" i="456" s="1"/>
  <c r="L170" i="456" s="1"/>
  <c r="K123" i="456"/>
  <c r="K122" i="456" s="1"/>
  <c r="K170" i="456" s="1"/>
  <c r="J123" i="456"/>
  <c r="H123" i="456"/>
  <c r="G123" i="456"/>
  <c r="G122" i="456" s="1"/>
  <c r="G170" i="456" s="1"/>
  <c r="F123" i="456"/>
  <c r="F122" i="456" s="1"/>
  <c r="F170" i="456" s="1"/>
  <c r="I173" i="456" s="1"/>
  <c r="E123" i="456"/>
  <c r="E122" i="456" s="1"/>
  <c r="E170" i="456" s="1"/>
  <c r="D123" i="456"/>
  <c r="C123" i="456"/>
  <c r="C122" i="456" s="1"/>
  <c r="C170" i="456" s="1"/>
  <c r="B123" i="456"/>
  <c r="M122" i="456"/>
  <c r="M170" i="456" s="1"/>
  <c r="H122" i="456"/>
  <c r="H170" i="456" s="1"/>
  <c r="D122" i="456"/>
  <c r="D170" i="456" s="1"/>
  <c r="Y118" i="456"/>
  <c r="P118" i="456"/>
  <c r="I118" i="456"/>
  <c r="Y117" i="456"/>
  <c r="Z117" i="456" s="1"/>
  <c r="P117" i="456"/>
  <c r="I117" i="456"/>
  <c r="Y116" i="456"/>
  <c r="P116" i="456"/>
  <c r="I116" i="456"/>
  <c r="Y115" i="456"/>
  <c r="P115" i="456"/>
  <c r="Y114" i="456"/>
  <c r="P114" i="456"/>
  <c r="I114" i="456"/>
  <c r="Y113" i="456"/>
  <c r="P113" i="456"/>
  <c r="I113" i="456"/>
  <c r="Y112" i="456"/>
  <c r="P112" i="456"/>
  <c r="Z112" i="456" s="1"/>
  <c r="AA112" i="456" s="1"/>
  <c r="I112" i="456"/>
  <c r="Y111" i="456"/>
  <c r="P111" i="456"/>
  <c r="Y110" i="456"/>
  <c r="P110" i="456"/>
  <c r="I110" i="456"/>
  <c r="Y109" i="456"/>
  <c r="P109" i="456"/>
  <c r="Z109" i="456" s="1"/>
  <c r="I109" i="456"/>
  <c r="Y108" i="456"/>
  <c r="P108" i="456"/>
  <c r="Z108" i="456" s="1"/>
  <c r="I108" i="456"/>
  <c r="Y107" i="456"/>
  <c r="P107" i="456"/>
  <c r="I107" i="456"/>
  <c r="Y106" i="456"/>
  <c r="P106" i="456"/>
  <c r="I106" i="456"/>
  <c r="Y105" i="456"/>
  <c r="P105" i="456"/>
  <c r="Z105" i="456" s="1"/>
  <c r="I105" i="456"/>
  <c r="Y104" i="456"/>
  <c r="P104" i="456"/>
  <c r="I104" i="456"/>
  <c r="Y103" i="456"/>
  <c r="K103" i="456"/>
  <c r="P103" i="456" s="1"/>
  <c r="I103" i="456"/>
  <c r="Y102" i="456"/>
  <c r="P102" i="456"/>
  <c r="I102" i="456"/>
  <c r="Y101" i="456"/>
  <c r="K101" i="456"/>
  <c r="P101" i="456" s="1"/>
  <c r="I101" i="456"/>
  <c r="Y100" i="456"/>
  <c r="K100" i="456"/>
  <c r="P100" i="456" s="1"/>
  <c r="Z100" i="456" s="1"/>
  <c r="AA100" i="456" s="1"/>
  <c r="I100" i="456"/>
  <c r="Y99" i="456"/>
  <c r="K99" i="456"/>
  <c r="P99" i="456" s="1"/>
  <c r="I99" i="456"/>
  <c r="Y98" i="456"/>
  <c r="P98" i="456"/>
  <c r="I98" i="456"/>
  <c r="Y97" i="456"/>
  <c r="P97" i="456"/>
  <c r="Y96" i="456"/>
  <c r="P96" i="456"/>
  <c r="I96" i="456"/>
  <c r="Y95" i="456"/>
  <c r="P95" i="456"/>
  <c r="Y94" i="456"/>
  <c r="P94" i="456"/>
  <c r="I94" i="456"/>
  <c r="Y93" i="456"/>
  <c r="P93" i="456"/>
  <c r="Y92" i="456"/>
  <c r="P92" i="456"/>
  <c r="I92" i="456"/>
  <c r="Y91" i="456"/>
  <c r="P91" i="456"/>
  <c r="Y90" i="456"/>
  <c r="P90" i="456"/>
  <c r="I90" i="456"/>
  <c r="Y89" i="456"/>
  <c r="P89" i="456"/>
  <c r="I89" i="456"/>
  <c r="Y88" i="456"/>
  <c r="P88" i="456"/>
  <c r="I88" i="456"/>
  <c r="Y87" i="456"/>
  <c r="P87" i="456"/>
  <c r="I87" i="456"/>
  <c r="Y86" i="456"/>
  <c r="P86" i="456"/>
  <c r="Y85" i="456"/>
  <c r="P85" i="456"/>
  <c r="Z85" i="456" s="1"/>
  <c r="AA85" i="456" s="1"/>
  <c r="I85" i="456"/>
  <c r="Y84" i="456"/>
  <c r="P84" i="456"/>
  <c r="Y83" i="456"/>
  <c r="P83" i="456"/>
  <c r="I83" i="456"/>
  <c r="Y82" i="456"/>
  <c r="P82" i="456"/>
  <c r="Y81" i="456"/>
  <c r="P81" i="456"/>
  <c r="I81" i="456"/>
  <c r="Y80" i="456"/>
  <c r="P80" i="456"/>
  <c r="Y79" i="456"/>
  <c r="P79" i="456"/>
  <c r="Z79" i="456" s="1"/>
  <c r="I79" i="456"/>
  <c r="Y78" i="456"/>
  <c r="P78" i="456"/>
  <c r="Y77" i="456"/>
  <c r="P77" i="456"/>
  <c r="Z77" i="456" s="1"/>
  <c r="I77" i="456"/>
  <c r="Y76" i="456"/>
  <c r="P76" i="456"/>
  <c r="Y75" i="456"/>
  <c r="Z75" i="456" s="1"/>
  <c r="P75" i="456"/>
  <c r="I75" i="456"/>
  <c r="Y74" i="456"/>
  <c r="P74" i="456"/>
  <c r="Y73" i="456"/>
  <c r="P73" i="456"/>
  <c r="I73" i="456"/>
  <c r="Y72" i="456"/>
  <c r="Z72" i="456" s="1"/>
  <c r="P72" i="456"/>
  <c r="I72" i="456"/>
  <c r="Y71" i="456"/>
  <c r="P71" i="456"/>
  <c r="Z71" i="456" s="1"/>
  <c r="AA71" i="456" s="1"/>
  <c r="I71" i="456"/>
  <c r="Y70" i="456"/>
  <c r="P70" i="456"/>
  <c r="I70" i="456"/>
  <c r="Y69" i="456"/>
  <c r="P69" i="456"/>
  <c r="I69" i="456"/>
  <c r="Y68" i="456"/>
  <c r="P68" i="456"/>
  <c r="Y67" i="456"/>
  <c r="P67" i="456"/>
  <c r="Z67" i="456" s="1"/>
  <c r="I67" i="456"/>
  <c r="Y66" i="456"/>
  <c r="P66" i="456"/>
  <c r="Y65" i="456"/>
  <c r="P65" i="456"/>
  <c r="Z65" i="456" s="1"/>
  <c r="AA65" i="456" s="1"/>
  <c r="I65" i="456"/>
  <c r="Y64" i="456"/>
  <c r="P64" i="456"/>
  <c r="Y63" i="456"/>
  <c r="Z63" i="456" s="1"/>
  <c r="P63" i="456"/>
  <c r="I63" i="456"/>
  <c r="Y62" i="456"/>
  <c r="P62" i="456"/>
  <c r="Z62" i="456" s="1"/>
  <c r="AA62" i="456" s="1"/>
  <c r="I62" i="456"/>
  <c r="Y61" i="456"/>
  <c r="P61" i="456"/>
  <c r="Z61" i="456" s="1"/>
  <c r="I61" i="456"/>
  <c r="Y60" i="456"/>
  <c r="P60" i="456"/>
  <c r="I60" i="456"/>
  <c r="Y59" i="456"/>
  <c r="P59" i="456"/>
  <c r="I59" i="456"/>
  <c r="Y58" i="456"/>
  <c r="P58" i="456"/>
  <c r="I58" i="456"/>
  <c r="Y57" i="456"/>
  <c r="P57" i="456"/>
  <c r="Z57" i="456" s="1"/>
  <c r="I57" i="456"/>
  <c r="Y56" i="456"/>
  <c r="P56" i="456"/>
  <c r="Y55" i="456"/>
  <c r="P55" i="456"/>
  <c r="I55" i="456"/>
  <c r="Y54" i="456"/>
  <c r="P54" i="456"/>
  <c r="Y53" i="456"/>
  <c r="P53" i="456"/>
  <c r="I53" i="456"/>
  <c r="Y52" i="456"/>
  <c r="P52" i="456"/>
  <c r="Z52" i="456" s="1"/>
  <c r="AA52" i="456" s="1"/>
  <c r="I52" i="456"/>
  <c r="Y51" i="456"/>
  <c r="P51" i="456"/>
  <c r="I51" i="456"/>
  <c r="Y50" i="456"/>
  <c r="P50" i="456"/>
  <c r="I50" i="456"/>
  <c r="Y49" i="456"/>
  <c r="P49" i="456"/>
  <c r="Y48" i="456"/>
  <c r="P48" i="456"/>
  <c r="I48" i="456"/>
  <c r="Y47" i="456"/>
  <c r="P47" i="456"/>
  <c r="Y46" i="456"/>
  <c r="P46" i="456"/>
  <c r="Z46" i="456" s="1"/>
  <c r="AA46" i="456" s="1"/>
  <c r="I46" i="456"/>
  <c r="Y45" i="456"/>
  <c r="P45" i="456"/>
  <c r="Y44" i="456"/>
  <c r="Z44" i="456" s="1"/>
  <c r="P44" i="456"/>
  <c r="I44" i="456"/>
  <c r="Y43" i="456"/>
  <c r="P43" i="456"/>
  <c r="Y42" i="456"/>
  <c r="P42" i="456"/>
  <c r="I42" i="456"/>
  <c r="Y41" i="456"/>
  <c r="P41" i="456"/>
  <c r="Y40" i="456"/>
  <c r="P40" i="456"/>
  <c r="I40" i="456"/>
  <c r="Y39" i="456"/>
  <c r="P39" i="456"/>
  <c r="I39" i="456"/>
  <c r="Y38" i="456"/>
  <c r="Z38" i="456" s="1"/>
  <c r="P38" i="456"/>
  <c r="I38" i="456"/>
  <c r="Y37" i="456"/>
  <c r="P37" i="456"/>
  <c r="Z37" i="456" s="1"/>
  <c r="AA37" i="456" s="1"/>
  <c r="I37" i="456"/>
  <c r="Y36" i="456"/>
  <c r="P36" i="456"/>
  <c r="I36" i="456"/>
  <c r="Y35" i="456"/>
  <c r="Z35" i="456" s="1"/>
  <c r="P35" i="456"/>
  <c r="I35" i="456"/>
  <c r="Y34" i="456"/>
  <c r="P34" i="456"/>
  <c r="Y33" i="456"/>
  <c r="P33" i="456"/>
  <c r="Z33" i="456" s="1"/>
  <c r="I33" i="456"/>
  <c r="Y32" i="456"/>
  <c r="P32" i="456"/>
  <c r="Y31" i="456"/>
  <c r="P31" i="456"/>
  <c r="Z31" i="456" s="1"/>
  <c r="AA31" i="456" s="1"/>
  <c r="I31" i="456"/>
  <c r="Y30" i="456"/>
  <c r="P30" i="456"/>
  <c r="Y29" i="456"/>
  <c r="Z29" i="456" s="1"/>
  <c r="P29" i="456"/>
  <c r="I29" i="456"/>
  <c r="Y28" i="456"/>
  <c r="P28" i="456"/>
  <c r="I28" i="456"/>
  <c r="Y27" i="456"/>
  <c r="P27" i="456"/>
  <c r="I27" i="456"/>
  <c r="Y26" i="456"/>
  <c r="P26" i="456"/>
  <c r="I26" i="456"/>
  <c r="Y25" i="456"/>
  <c r="Z25" i="456" s="1"/>
  <c r="P25" i="456"/>
  <c r="I25" i="456"/>
  <c r="Y24" i="456"/>
  <c r="P24" i="456"/>
  <c r="I24" i="456"/>
  <c r="Y23" i="456"/>
  <c r="P23" i="456"/>
  <c r="Z23" i="456" s="1"/>
  <c r="I23" i="456"/>
  <c r="Y22" i="456"/>
  <c r="P22" i="456"/>
  <c r="I22" i="456"/>
  <c r="Y21" i="456"/>
  <c r="P21" i="456"/>
  <c r="I21" i="456"/>
  <c r="Y20" i="456"/>
  <c r="P20" i="456"/>
  <c r="Y19" i="456"/>
  <c r="P19" i="456"/>
  <c r="I19" i="456"/>
  <c r="Y18" i="456"/>
  <c r="P18" i="456"/>
  <c r="I18" i="456"/>
  <c r="Y17" i="456"/>
  <c r="P17" i="456"/>
  <c r="Y16" i="456"/>
  <c r="P16" i="456"/>
  <c r="Y15" i="456"/>
  <c r="P15" i="456"/>
  <c r="I15" i="456"/>
  <c r="Y14" i="456"/>
  <c r="P14" i="456"/>
  <c r="Z14" i="456" s="1"/>
  <c r="I14" i="456"/>
  <c r="Y13" i="456"/>
  <c r="Z13" i="456" s="1"/>
  <c r="P13" i="456"/>
  <c r="I13" i="456"/>
  <c r="Y12" i="456"/>
  <c r="P12" i="456"/>
  <c r="I12" i="456"/>
  <c r="Y11" i="456"/>
  <c r="P11" i="456"/>
  <c r="I11" i="456"/>
  <c r="Y10" i="456"/>
  <c r="P10" i="456"/>
  <c r="I10" i="456"/>
  <c r="Y9" i="456"/>
  <c r="P9" i="456"/>
  <c r="I9" i="456"/>
  <c r="Y8" i="456"/>
  <c r="P8" i="456"/>
  <c r="I8" i="456"/>
  <c r="Y7" i="456"/>
  <c r="P7" i="456"/>
  <c r="X6" i="456"/>
  <c r="X5" i="456" s="1"/>
  <c r="X119" i="456" s="1"/>
  <c r="W6" i="456"/>
  <c r="V6" i="456"/>
  <c r="V5" i="456" s="1"/>
  <c r="V119" i="456" s="1"/>
  <c r="V176" i="456" s="1"/>
  <c r="U6" i="456"/>
  <c r="U5" i="456" s="1"/>
  <c r="U119" i="456" s="1"/>
  <c r="T6" i="456"/>
  <c r="T5" i="456" s="1"/>
  <c r="T119" i="456" s="1"/>
  <c r="S6" i="456"/>
  <c r="R6" i="456"/>
  <c r="R5" i="456" s="1"/>
  <c r="R119" i="456" s="1"/>
  <c r="R176" i="456" s="1"/>
  <c r="Q6" i="456"/>
  <c r="Q5" i="456" s="1"/>
  <c r="O6" i="456"/>
  <c r="O5" i="456" s="1"/>
  <c r="O119" i="456" s="1"/>
  <c r="N6" i="456"/>
  <c r="N5" i="456" s="1"/>
  <c r="N119" i="456" s="1"/>
  <c r="M6" i="456"/>
  <c r="M5" i="456" s="1"/>
  <c r="M119" i="456" s="1"/>
  <c r="M176" i="456" s="1"/>
  <c r="L6" i="456"/>
  <c r="J6" i="456"/>
  <c r="H6" i="456"/>
  <c r="H5" i="456" s="1"/>
  <c r="H119" i="456" s="1"/>
  <c r="H176" i="456" s="1"/>
  <c r="G6" i="456"/>
  <c r="G5" i="456" s="1"/>
  <c r="G119" i="456" s="1"/>
  <c r="F6" i="456"/>
  <c r="F5" i="456" s="1"/>
  <c r="F119" i="456" s="1"/>
  <c r="E6" i="456"/>
  <c r="E5" i="456" s="1"/>
  <c r="E119" i="456" s="1"/>
  <c r="D6" i="456"/>
  <c r="C6" i="456"/>
  <c r="B6" i="456"/>
  <c r="B5" i="456" s="1"/>
  <c r="W5" i="456"/>
  <c r="W119" i="456" s="1"/>
  <c r="S5" i="456"/>
  <c r="S119" i="456" s="1"/>
  <c r="S176" i="456" s="1"/>
  <c r="L5" i="456"/>
  <c r="L119" i="456" s="1"/>
  <c r="L176" i="456" s="1"/>
  <c r="D5" i="456"/>
  <c r="D119" i="456" s="1"/>
  <c r="D176" i="456" s="1"/>
  <c r="C5" i="456"/>
  <c r="C119" i="456" s="1"/>
  <c r="E1117" i="454"/>
  <c r="K1117" i="454" s="1"/>
  <c r="E1119" i="454"/>
  <c r="K1119" i="454" s="1"/>
  <c r="E1124" i="454"/>
  <c r="K1124" i="454" s="1"/>
  <c r="E1126" i="454"/>
  <c r="K1126" i="454" s="1"/>
  <c r="E1128" i="454"/>
  <c r="K1128" i="454" s="1"/>
  <c r="E1129" i="454"/>
  <c r="K1129" i="454" s="1"/>
  <c r="E1130" i="454"/>
  <c r="K1130" i="454" s="1"/>
  <c r="E1131" i="454"/>
  <c r="K1131" i="454" s="1"/>
  <c r="E1133" i="454"/>
  <c r="K1133" i="454" s="1"/>
  <c r="E1134" i="454"/>
  <c r="K1134" i="454" s="1"/>
  <c r="E1107" i="454"/>
  <c r="E827" i="454"/>
  <c r="K827" i="454" s="1"/>
  <c r="E828" i="454"/>
  <c r="K828" i="454" s="1"/>
  <c r="E829" i="454"/>
  <c r="K829" i="454" s="1"/>
  <c r="E830" i="454"/>
  <c r="K830" i="454" s="1"/>
  <c r="E832" i="454"/>
  <c r="K832" i="454" s="1"/>
  <c r="E833" i="454"/>
  <c r="K833" i="454" s="1"/>
  <c r="E834" i="454"/>
  <c r="K834" i="454" s="1"/>
  <c r="E837" i="454"/>
  <c r="K837" i="454" s="1"/>
  <c r="E842" i="454"/>
  <c r="K842" i="454" s="1"/>
  <c r="E845" i="454"/>
  <c r="K845" i="454" s="1"/>
  <c r="E846" i="454"/>
  <c r="K846" i="454" s="1"/>
  <c r="E848" i="454"/>
  <c r="K848" i="454" s="1"/>
  <c r="E849" i="454"/>
  <c r="K849" i="454" s="1"/>
  <c r="E850" i="454"/>
  <c r="K850" i="454" s="1"/>
  <c r="E854" i="454"/>
  <c r="E855" i="454"/>
  <c r="K855" i="454" s="1"/>
  <c r="E856" i="454"/>
  <c r="K856" i="454" s="1"/>
  <c r="E857" i="454"/>
  <c r="K857" i="454" s="1"/>
  <c r="E859" i="454"/>
  <c r="K859" i="454" s="1"/>
  <c r="E860" i="454"/>
  <c r="K860" i="454" s="1"/>
  <c r="E863" i="454"/>
  <c r="K863" i="454" s="1"/>
  <c r="E864" i="454"/>
  <c r="K864" i="454" s="1"/>
  <c r="E865" i="454"/>
  <c r="K865" i="454" s="1"/>
  <c r="E866" i="454"/>
  <c r="K866" i="454" s="1"/>
  <c r="E867" i="454"/>
  <c r="K867" i="454" s="1"/>
  <c r="E868" i="454"/>
  <c r="K868" i="454" s="1"/>
  <c r="E870" i="454"/>
  <c r="K870" i="454" s="1"/>
  <c r="E871" i="454"/>
  <c r="K871" i="454" s="1"/>
  <c r="E872" i="454"/>
  <c r="K872" i="454" s="1"/>
  <c r="E874" i="454"/>
  <c r="K874" i="454" s="1"/>
  <c r="E875" i="454"/>
  <c r="K875" i="454" s="1"/>
  <c r="E876" i="454"/>
  <c r="K876" i="454" s="1"/>
  <c r="E877" i="454"/>
  <c r="K877" i="454" s="1"/>
  <c r="E878" i="454"/>
  <c r="K878" i="454" s="1"/>
  <c r="E879" i="454"/>
  <c r="K879" i="454" s="1"/>
  <c r="E881" i="454"/>
  <c r="K881" i="454" s="1"/>
  <c r="E882" i="454"/>
  <c r="K882" i="454" s="1"/>
  <c r="E883" i="454"/>
  <c r="K883" i="454" s="1"/>
  <c r="E886" i="454"/>
  <c r="K886" i="454" s="1"/>
  <c r="E893" i="454"/>
  <c r="K893" i="454" s="1"/>
  <c r="E894" i="454"/>
  <c r="K894" i="454" s="1"/>
  <c r="E895" i="454"/>
  <c r="K895" i="454" s="1"/>
  <c r="E897" i="454"/>
  <c r="K897" i="454" s="1"/>
  <c r="E898" i="454"/>
  <c r="K898" i="454" s="1"/>
  <c r="E900" i="454"/>
  <c r="K900" i="454" s="1"/>
  <c r="E904" i="454"/>
  <c r="K904" i="454" s="1"/>
  <c r="E906" i="454"/>
  <c r="K906" i="454" s="1"/>
  <c r="E908" i="454"/>
  <c r="K908" i="454" s="1"/>
  <c r="E912" i="454"/>
  <c r="K912" i="454" s="1"/>
  <c r="E913" i="454"/>
  <c r="K913" i="454" s="1"/>
  <c r="E914" i="454"/>
  <c r="K914" i="454" s="1"/>
  <c r="E915" i="454"/>
  <c r="K915" i="454" s="1"/>
  <c r="E919" i="454"/>
  <c r="K919" i="454" s="1"/>
  <c r="E923" i="454"/>
  <c r="K923" i="454" s="1"/>
  <c r="E924" i="454"/>
  <c r="K924" i="454" s="1"/>
  <c r="E925" i="454"/>
  <c r="K925" i="454" s="1"/>
  <c r="E926" i="454"/>
  <c r="K926" i="454" s="1"/>
  <c r="E930" i="454"/>
  <c r="K930" i="454" s="1"/>
  <c r="E931" i="454"/>
  <c r="K931" i="454" s="1"/>
  <c r="E932" i="454"/>
  <c r="K932" i="454" s="1"/>
  <c r="E934" i="454"/>
  <c r="K934" i="454" s="1"/>
  <c r="E935" i="454"/>
  <c r="K935" i="454" s="1"/>
  <c r="E936" i="454"/>
  <c r="K936" i="454" s="1"/>
  <c r="E939" i="454"/>
  <c r="K939" i="454" s="1"/>
  <c r="E942" i="454"/>
  <c r="K942" i="454" s="1"/>
  <c r="E944" i="454"/>
  <c r="K944" i="454" s="1"/>
  <c r="E945" i="454"/>
  <c r="K945" i="454" s="1"/>
  <c r="E946" i="454"/>
  <c r="K946" i="454" s="1"/>
  <c r="E947" i="454"/>
  <c r="K947" i="454" s="1"/>
  <c r="E948" i="454"/>
  <c r="K948" i="454" s="1"/>
  <c r="E950" i="454"/>
  <c r="K950" i="454" s="1"/>
  <c r="E952" i="454"/>
  <c r="K952" i="454" s="1"/>
  <c r="E956" i="454"/>
  <c r="K956" i="454" s="1"/>
  <c r="E957" i="454"/>
  <c r="K957" i="454" s="1"/>
  <c r="E958" i="454"/>
  <c r="K958" i="454" s="1"/>
  <c r="E959" i="454"/>
  <c r="K959" i="454" s="1"/>
  <c r="E960" i="454"/>
  <c r="K960" i="454" s="1"/>
  <c r="E961" i="454"/>
  <c r="K961" i="454" s="1"/>
  <c r="E962" i="454"/>
  <c r="K962" i="454" s="1"/>
  <c r="E964" i="454"/>
  <c r="K964" i="454" s="1"/>
  <c r="E965" i="454"/>
  <c r="K965" i="454" s="1"/>
  <c r="E966" i="454"/>
  <c r="K966" i="454" s="1"/>
  <c r="E967" i="454"/>
  <c r="K967" i="454" s="1"/>
  <c r="E970" i="454"/>
  <c r="K970" i="454" s="1"/>
  <c r="E971" i="454"/>
  <c r="K971" i="454" s="1"/>
  <c r="E978" i="454"/>
  <c r="K978" i="454" s="1"/>
  <c r="E979" i="454"/>
  <c r="K979" i="454" s="1"/>
  <c r="E983" i="454"/>
  <c r="K983" i="454" s="1"/>
  <c r="E984" i="454"/>
  <c r="K984" i="454" s="1"/>
  <c r="E986" i="454"/>
  <c r="K986" i="454" s="1"/>
  <c r="E988" i="454"/>
  <c r="K988" i="454" s="1"/>
  <c r="E989" i="454"/>
  <c r="K989" i="454" s="1"/>
  <c r="E991" i="454"/>
  <c r="K991" i="454" s="1"/>
  <c r="E993" i="454"/>
  <c r="K993" i="454" s="1"/>
  <c r="E998" i="454"/>
  <c r="K998" i="454" s="1"/>
  <c r="E1004" i="454"/>
  <c r="K1004" i="454" s="1"/>
  <c r="E1005" i="454"/>
  <c r="K1005" i="454" s="1"/>
  <c r="E1007" i="454"/>
  <c r="K1007" i="454" s="1"/>
  <c r="E1008" i="454"/>
  <c r="K1008" i="454" s="1"/>
  <c r="E1009" i="454"/>
  <c r="K1009" i="454" s="1"/>
  <c r="E1013" i="454"/>
  <c r="K1013" i="454" s="1"/>
  <c r="E1014" i="454"/>
  <c r="K1014" i="454" s="1"/>
  <c r="E1019" i="454"/>
  <c r="K1019" i="454" s="1"/>
  <c r="E1020" i="454"/>
  <c r="K1020" i="454" s="1"/>
  <c r="E1021" i="454"/>
  <c r="K1021" i="454" s="1"/>
  <c r="E1024" i="454"/>
  <c r="K1024" i="454" s="1"/>
  <c r="E1026" i="454"/>
  <c r="K1026" i="454" s="1"/>
  <c r="E1030" i="454"/>
  <c r="K1030" i="454" s="1"/>
  <c r="E1031" i="454"/>
  <c r="K1031" i="454" s="1"/>
  <c r="E1032" i="454"/>
  <c r="K1032" i="454" s="1"/>
  <c r="E1033" i="454"/>
  <c r="K1033" i="454" s="1"/>
  <c r="E1034" i="454"/>
  <c r="K1034" i="454" s="1"/>
  <c r="E1035" i="454"/>
  <c r="K1035" i="454" s="1"/>
  <c r="E1036" i="454"/>
  <c r="K1036" i="454" s="1"/>
  <c r="E1037" i="454"/>
  <c r="K1037" i="454" s="1"/>
  <c r="E1038" i="454"/>
  <c r="K1038" i="454" s="1"/>
  <c r="E1039" i="454"/>
  <c r="K1039" i="454" s="1"/>
  <c r="E1040" i="454"/>
  <c r="K1040" i="454" s="1"/>
  <c r="E1041" i="454"/>
  <c r="K1041" i="454" s="1"/>
  <c r="E1042" i="454"/>
  <c r="K1042" i="454" s="1"/>
  <c r="E1043" i="454"/>
  <c r="K1043" i="454" s="1"/>
  <c r="E1044" i="454"/>
  <c r="K1044" i="454" s="1"/>
  <c r="E1045" i="454"/>
  <c r="K1045" i="454" s="1"/>
  <c r="E1046" i="454"/>
  <c r="K1046" i="454" s="1"/>
  <c r="E1047" i="454"/>
  <c r="K1047" i="454" s="1"/>
  <c r="E1048" i="454"/>
  <c r="K1048" i="454" s="1"/>
  <c r="E1049" i="454"/>
  <c r="K1049" i="454" s="1"/>
  <c r="E1050" i="454"/>
  <c r="K1050" i="454" s="1"/>
  <c r="E1051" i="454"/>
  <c r="K1051" i="454" s="1"/>
  <c r="E1052" i="454"/>
  <c r="K1052" i="454" s="1"/>
  <c r="E1053" i="454"/>
  <c r="K1053" i="454" s="1"/>
  <c r="E1054" i="454"/>
  <c r="K1054" i="454" s="1"/>
  <c r="E1055" i="454"/>
  <c r="K1055" i="454" s="1"/>
  <c r="E1056" i="454"/>
  <c r="K1056" i="454" s="1"/>
  <c r="E1057" i="454"/>
  <c r="K1057" i="454" s="1"/>
  <c r="E1058" i="454"/>
  <c r="K1058" i="454" s="1"/>
  <c r="E1059" i="454"/>
  <c r="K1059" i="454" s="1"/>
  <c r="E1060" i="454"/>
  <c r="K1060" i="454" s="1"/>
  <c r="E1061" i="454"/>
  <c r="K1061" i="454" s="1"/>
  <c r="E1062" i="454"/>
  <c r="K1062" i="454" s="1"/>
  <c r="E1063" i="454"/>
  <c r="K1063" i="454" s="1"/>
  <c r="E1064" i="454"/>
  <c r="K1064" i="454" s="1"/>
  <c r="E1065" i="454"/>
  <c r="K1065" i="454" s="1"/>
  <c r="E1066" i="454"/>
  <c r="K1066" i="454" s="1"/>
  <c r="E1067" i="454"/>
  <c r="K1067" i="454" s="1"/>
  <c r="E1068" i="454"/>
  <c r="K1068" i="454" s="1"/>
  <c r="E1069" i="454"/>
  <c r="K1069" i="454" s="1"/>
  <c r="E1070" i="454"/>
  <c r="K1070" i="454" s="1"/>
  <c r="E1071" i="454"/>
  <c r="K1071" i="454" s="1"/>
  <c r="E1072" i="454"/>
  <c r="K1072" i="454" s="1"/>
  <c r="E1073" i="454"/>
  <c r="K1073" i="454" s="1"/>
  <c r="E1074" i="454"/>
  <c r="K1074" i="454" s="1"/>
  <c r="E1075" i="454"/>
  <c r="K1075" i="454" s="1"/>
  <c r="E1076" i="454"/>
  <c r="K1076" i="454" s="1"/>
  <c r="E1077" i="454"/>
  <c r="K1077" i="454" s="1"/>
  <c r="E1079" i="454"/>
  <c r="K1079" i="454" s="1"/>
  <c r="E1080" i="454"/>
  <c r="K1080" i="454" s="1"/>
  <c r="E1085" i="454"/>
  <c r="K1085" i="454" s="1"/>
  <c r="E1086" i="454"/>
  <c r="K1086" i="454" s="1"/>
  <c r="E1087" i="454"/>
  <c r="K1087" i="454" s="1"/>
  <c r="E1088" i="454"/>
  <c r="K1088" i="454" s="1"/>
  <c r="E1089" i="454"/>
  <c r="K1089" i="454" s="1"/>
  <c r="E1090" i="454"/>
  <c r="K1090" i="454" s="1"/>
  <c r="E1091" i="454"/>
  <c r="K1091" i="454" s="1"/>
  <c r="E1092" i="454"/>
  <c r="K1092" i="454" s="1"/>
  <c r="E1093" i="454"/>
  <c r="K1093" i="454" s="1"/>
  <c r="E1094" i="454"/>
  <c r="K1094" i="454" s="1"/>
  <c r="E1095" i="454"/>
  <c r="K1095" i="454" s="1"/>
  <c r="E1096" i="454"/>
  <c r="K1096" i="454" s="1"/>
  <c r="E1097" i="454"/>
  <c r="K1097" i="454" s="1"/>
  <c r="E1098" i="454"/>
  <c r="K1098" i="454" s="1"/>
  <c r="E1099" i="454"/>
  <c r="K1099" i="454" s="1"/>
  <c r="E1100" i="454"/>
  <c r="K1100" i="454" s="1"/>
  <c r="E1101" i="454"/>
  <c r="K1101" i="454" s="1"/>
  <c r="E1102" i="454"/>
  <c r="K1102" i="454" s="1"/>
  <c r="E1103" i="454"/>
  <c r="K1103" i="454" s="1"/>
  <c r="E826" i="454"/>
  <c r="K826" i="454" s="1"/>
  <c r="E825" i="454"/>
  <c r="K825" i="454" s="1"/>
  <c r="E23" i="454"/>
  <c r="E32" i="454"/>
  <c r="K32" i="454" s="1"/>
  <c r="E39" i="454"/>
  <c r="K39" i="454" s="1"/>
  <c r="E46" i="454"/>
  <c r="K46" i="454" s="1"/>
  <c r="E54" i="454"/>
  <c r="K54" i="454" s="1"/>
  <c r="E60" i="454"/>
  <c r="K60" i="454" s="1"/>
  <c r="E67" i="454"/>
  <c r="K67" i="454" s="1"/>
  <c r="E73" i="454"/>
  <c r="K73" i="454" s="1"/>
  <c r="E82" i="454"/>
  <c r="K82" i="454" s="1"/>
  <c r="E87" i="454"/>
  <c r="K87" i="454" s="1"/>
  <c r="E95" i="454"/>
  <c r="K95" i="454" s="1"/>
  <c r="E102" i="454"/>
  <c r="K102" i="454" s="1"/>
  <c r="E109" i="454"/>
  <c r="K109" i="454" s="1"/>
  <c r="E116" i="454"/>
  <c r="K116" i="454" s="1"/>
  <c r="E118" i="454"/>
  <c r="K118" i="454" s="1"/>
  <c r="E123" i="454"/>
  <c r="K123" i="454" s="1"/>
  <c r="E126" i="454"/>
  <c r="K126" i="454" s="1"/>
  <c r="E132" i="454"/>
  <c r="K132" i="454" s="1"/>
  <c r="E137" i="454"/>
  <c r="K137" i="454" s="1"/>
  <c r="E144" i="454"/>
  <c r="K144" i="454" s="1"/>
  <c r="E148" i="454"/>
  <c r="K148" i="454" s="1"/>
  <c r="E149" i="454"/>
  <c r="K149" i="454" s="1"/>
  <c r="E150" i="454"/>
  <c r="K150" i="454" s="1"/>
  <c r="E154" i="454"/>
  <c r="K154" i="454" s="1"/>
  <c r="E161" i="454"/>
  <c r="K161" i="454" s="1"/>
  <c r="E168" i="454"/>
  <c r="K168" i="454" s="1"/>
  <c r="E175" i="454"/>
  <c r="K175" i="454" s="1"/>
  <c r="E185" i="454"/>
  <c r="K185" i="454" s="1"/>
  <c r="E194" i="454"/>
  <c r="K194" i="454" s="1"/>
  <c r="E195" i="454"/>
  <c r="K195" i="454" s="1"/>
  <c r="E196" i="454"/>
  <c r="K196" i="454" s="1"/>
  <c r="E197" i="454"/>
  <c r="K197" i="454" s="1"/>
  <c r="E198" i="454"/>
  <c r="K198" i="454" s="1"/>
  <c r="E199" i="454"/>
  <c r="K199" i="454" s="1"/>
  <c r="E203" i="454"/>
  <c r="K203" i="454" s="1"/>
  <c r="E204" i="454"/>
  <c r="K204" i="454" s="1"/>
  <c r="E205" i="454"/>
  <c r="K205" i="454" s="1"/>
  <c r="E207" i="454"/>
  <c r="K207" i="454" s="1"/>
  <c r="E209" i="454"/>
  <c r="K209" i="454" s="1"/>
  <c r="E210" i="454"/>
  <c r="K210" i="454" s="1"/>
  <c r="E211" i="454"/>
  <c r="K211" i="454" s="1"/>
  <c r="E213" i="454"/>
  <c r="K213" i="454" s="1"/>
  <c r="E214" i="454"/>
  <c r="K214" i="454" s="1"/>
  <c r="E215" i="454"/>
  <c r="K215" i="454" s="1"/>
  <c r="E218" i="454"/>
  <c r="K218" i="454" s="1"/>
  <c r="E219" i="454"/>
  <c r="K219" i="454" s="1"/>
  <c r="E220" i="454"/>
  <c r="K220" i="454" s="1"/>
  <c r="E225" i="454"/>
  <c r="E236" i="454"/>
  <c r="E250" i="454"/>
  <c r="K250" i="454" s="1"/>
  <c r="E253" i="454"/>
  <c r="K253" i="454" s="1"/>
  <c r="E256" i="454"/>
  <c r="K256" i="454" s="1"/>
  <c r="E257" i="454"/>
  <c r="K257" i="454" s="1"/>
  <c r="E258" i="454"/>
  <c r="K258" i="454" s="1"/>
  <c r="E259" i="454"/>
  <c r="K259" i="454" s="1"/>
  <c r="E260" i="454"/>
  <c r="K260" i="454" s="1"/>
  <c r="E262" i="454"/>
  <c r="K262" i="454" s="1"/>
  <c r="E267" i="454"/>
  <c r="K267" i="454" s="1"/>
  <c r="E274" i="454"/>
  <c r="K274" i="454" s="1"/>
  <c r="E276" i="454"/>
  <c r="K276" i="454" s="1"/>
  <c r="E280" i="454"/>
  <c r="K280" i="454" s="1"/>
  <c r="E286" i="454"/>
  <c r="K286" i="454" s="1"/>
  <c r="E288" i="454"/>
  <c r="K288" i="454" s="1"/>
  <c r="E291" i="454"/>
  <c r="K291" i="454" s="1"/>
  <c r="E292" i="454"/>
  <c r="K292" i="454" s="1"/>
  <c r="E293" i="454"/>
  <c r="K293" i="454" s="1"/>
  <c r="E294" i="454"/>
  <c r="K294" i="454" s="1"/>
  <c r="E295" i="454"/>
  <c r="K295" i="454" s="1"/>
  <c r="E296" i="454"/>
  <c r="K296" i="454" s="1"/>
  <c r="E297" i="454"/>
  <c r="K297" i="454" s="1"/>
  <c r="E298" i="454"/>
  <c r="K298" i="454" s="1"/>
  <c r="E299" i="454"/>
  <c r="K299" i="454" s="1"/>
  <c r="E300" i="454"/>
  <c r="K300" i="454" s="1"/>
  <c r="E301" i="454"/>
  <c r="K301" i="454" s="1"/>
  <c r="E302" i="454"/>
  <c r="K302" i="454" s="1"/>
  <c r="E303" i="454"/>
  <c r="K303" i="454" s="1"/>
  <c r="E304" i="454"/>
  <c r="K304" i="454" s="1"/>
  <c r="E305" i="454"/>
  <c r="K305" i="454" s="1"/>
  <c r="E306" i="454"/>
  <c r="K306" i="454" s="1"/>
  <c r="E307" i="454"/>
  <c r="K307" i="454" s="1"/>
  <c r="E308" i="454"/>
  <c r="K308" i="454" s="1"/>
  <c r="E309" i="454"/>
  <c r="K309" i="454" s="1"/>
  <c r="E310" i="454"/>
  <c r="K310" i="454" s="1"/>
  <c r="E311" i="454"/>
  <c r="K311" i="454" s="1"/>
  <c r="E312" i="454"/>
  <c r="K312" i="454" s="1"/>
  <c r="E313" i="454"/>
  <c r="K313" i="454" s="1"/>
  <c r="E314" i="454"/>
  <c r="K314" i="454" s="1"/>
  <c r="E315" i="454"/>
  <c r="K315" i="454" s="1"/>
  <c r="E316" i="454"/>
  <c r="K316" i="454" s="1"/>
  <c r="E317" i="454"/>
  <c r="K317" i="454" s="1"/>
  <c r="E318" i="454"/>
  <c r="K318" i="454" s="1"/>
  <c r="E319" i="454"/>
  <c r="K319" i="454" s="1"/>
  <c r="E320" i="454"/>
  <c r="K320" i="454" s="1"/>
  <c r="E321" i="454"/>
  <c r="K321" i="454" s="1"/>
  <c r="E322" i="454"/>
  <c r="K322" i="454" s="1"/>
  <c r="E323" i="454"/>
  <c r="K323" i="454" s="1"/>
  <c r="E324" i="454"/>
  <c r="K324" i="454" s="1"/>
  <c r="E325" i="454"/>
  <c r="K325" i="454" s="1"/>
  <c r="E326" i="454"/>
  <c r="K326" i="454" s="1"/>
  <c r="E327" i="454"/>
  <c r="K327" i="454" s="1"/>
  <c r="E328" i="454"/>
  <c r="K328" i="454" s="1"/>
  <c r="E329" i="454"/>
  <c r="K329" i="454" s="1"/>
  <c r="E330" i="454"/>
  <c r="K330" i="454" s="1"/>
  <c r="E331" i="454"/>
  <c r="K331" i="454" s="1"/>
  <c r="E332" i="454"/>
  <c r="K332" i="454" s="1"/>
  <c r="E333" i="454"/>
  <c r="K333" i="454" s="1"/>
  <c r="E334" i="454"/>
  <c r="K334" i="454" s="1"/>
  <c r="E335" i="454"/>
  <c r="K335" i="454" s="1"/>
  <c r="E336" i="454"/>
  <c r="K336" i="454" s="1"/>
  <c r="E340" i="454"/>
  <c r="K340" i="454" s="1"/>
  <c r="E341" i="454"/>
  <c r="K341" i="454" s="1"/>
  <c r="E342" i="454"/>
  <c r="K342" i="454" s="1"/>
  <c r="E347" i="454"/>
  <c r="K347" i="454" s="1"/>
  <c r="E351" i="454"/>
  <c r="K351" i="454" s="1"/>
  <c r="E352" i="454"/>
  <c r="K352" i="454" s="1"/>
  <c r="E353" i="454"/>
  <c r="K353" i="454" s="1"/>
  <c r="E356" i="454"/>
  <c r="K356" i="454" s="1"/>
  <c r="E358" i="454"/>
  <c r="K358" i="454" s="1"/>
  <c r="E359" i="454"/>
  <c r="K359" i="454" s="1"/>
  <c r="E360" i="454"/>
  <c r="K360" i="454" s="1"/>
  <c r="E362" i="454"/>
  <c r="K362" i="454" s="1"/>
  <c r="E364" i="454"/>
  <c r="K364" i="454" s="1"/>
  <c r="E365" i="454"/>
  <c r="K365" i="454" s="1"/>
  <c r="E366" i="454"/>
  <c r="K366" i="454" s="1"/>
  <c r="E367" i="454"/>
  <c r="K367" i="454" s="1"/>
  <c r="E368" i="454"/>
  <c r="K368" i="454" s="1"/>
  <c r="E369" i="454"/>
  <c r="K369" i="454" s="1"/>
  <c r="E370" i="454"/>
  <c r="K370" i="454" s="1"/>
  <c r="E371" i="454"/>
  <c r="K371" i="454" s="1"/>
  <c r="E372" i="454"/>
  <c r="K372" i="454" s="1"/>
  <c r="E373" i="454"/>
  <c r="K373" i="454" s="1"/>
  <c r="E374" i="454"/>
  <c r="K374" i="454" s="1"/>
  <c r="E375" i="454"/>
  <c r="K375" i="454" s="1"/>
  <c r="E376" i="454"/>
  <c r="K376" i="454" s="1"/>
  <c r="E377" i="454"/>
  <c r="K377" i="454" s="1"/>
  <c r="E378" i="454"/>
  <c r="K378" i="454" s="1"/>
  <c r="E379" i="454"/>
  <c r="K379" i="454" s="1"/>
  <c r="E380" i="454"/>
  <c r="K380" i="454" s="1"/>
  <c r="E381" i="454"/>
  <c r="K381" i="454" s="1"/>
  <c r="E382" i="454"/>
  <c r="K382" i="454" s="1"/>
  <c r="E383" i="454"/>
  <c r="K383" i="454" s="1"/>
  <c r="E384" i="454"/>
  <c r="K384" i="454" s="1"/>
  <c r="E385" i="454"/>
  <c r="K385" i="454" s="1"/>
  <c r="E386" i="454"/>
  <c r="K386" i="454" s="1"/>
  <c r="E387" i="454"/>
  <c r="K387" i="454" s="1"/>
  <c r="E388" i="454"/>
  <c r="K388" i="454" s="1"/>
  <c r="E389" i="454"/>
  <c r="K389" i="454" s="1"/>
  <c r="E390" i="454"/>
  <c r="K390" i="454" s="1"/>
  <c r="E391" i="454"/>
  <c r="K391" i="454" s="1"/>
  <c r="E392" i="454"/>
  <c r="K392" i="454" s="1"/>
  <c r="E393" i="454"/>
  <c r="K393" i="454" s="1"/>
  <c r="E394" i="454"/>
  <c r="K394" i="454" s="1"/>
  <c r="E395" i="454"/>
  <c r="K395" i="454" s="1"/>
  <c r="E396" i="454"/>
  <c r="K396" i="454" s="1"/>
  <c r="E397" i="454"/>
  <c r="K397" i="454" s="1"/>
  <c r="E398" i="454"/>
  <c r="K398" i="454" s="1"/>
  <c r="E399" i="454"/>
  <c r="K399" i="454" s="1"/>
  <c r="E400" i="454"/>
  <c r="K400" i="454" s="1"/>
  <c r="E401" i="454"/>
  <c r="K401" i="454" s="1"/>
  <c r="E402" i="454"/>
  <c r="K402" i="454" s="1"/>
  <c r="E403" i="454"/>
  <c r="K403" i="454" s="1"/>
  <c r="E404" i="454"/>
  <c r="K404" i="454" s="1"/>
  <c r="E405" i="454"/>
  <c r="K405" i="454" s="1"/>
  <c r="E406" i="454"/>
  <c r="K406" i="454" s="1"/>
  <c r="E407" i="454"/>
  <c r="K407" i="454" s="1"/>
  <c r="E408" i="454"/>
  <c r="K408" i="454" s="1"/>
  <c r="E409" i="454"/>
  <c r="K409" i="454" s="1"/>
  <c r="E410" i="454"/>
  <c r="K410" i="454" s="1"/>
  <c r="E411" i="454"/>
  <c r="K411" i="454" s="1"/>
  <c r="E412" i="454"/>
  <c r="K412" i="454" s="1"/>
  <c r="E413" i="454"/>
  <c r="K413" i="454" s="1"/>
  <c r="E414" i="454"/>
  <c r="K414" i="454" s="1"/>
  <c r="E416" i="454"/>
  <c r="E417" i="454"/>
  <c r="K417" i="454" s="1"/>
  <c r="E418" i="454"/>
  <c r="K418" i="454" s="1"/>
  <c r="E420" i="454"/>
  <c r="K420" i="454" s="1"/>
  <c r="E421" i="454"/>
  <c r="K421" i="454" s="1"/>
  <c r="E422" i="454"/>
  <c r="K422" i="454" s="1"/>
  <c r="E424" i="454"/>
  <c r="K424" i="454" s="1"/>
  <c r="E425" i="454"/>
  <c r="K425" i="454" s="1"/>
  <c r="E426" i="454"/>
  <c r="K426" i="454" s="1"/>
  <c r="E427" i="454"/>
  <c r="K427" i="454" s="1"/>
  <c r="E428" i="454"/>
  <c r="K428" i="454" s="1"/>
  <c r="E429" i="454"/>
  <c r="K429" i="454" s="1"/>
  <c r="E430" i="454"/>
  <c r="K430" i="454" s="1"/>
  <c r="E431" i="454"/>
  <c r="K431" i="454" s="1"/>
  <c r="E433" i="454"/>
  <c r="K433" i="454" s="1"/>
  <c r="E434" i="454"/>
  <c r="K434" i="454" s="1"/>
  <c r="E435" i="454"/>
  <c r="K435" i="454" s="1"/>
  <c r="E436" i="454"/>
  <c r="K436" i="454" s="1"/>
  <c r="E437" i="454"/>
  <c r="K437" i="454" s="1"/>
  <c r="E438" i="454"/>
  <c r="K438" i="454" s="1"/>
  <c r="E439" i="454"/>
  <c r="K439" i="454" s="1"/>
  <c r="E440" i="454"/>
  <c r="K440" i="454" s="1"/>
  <c r="E441" i="454"/>
  <c r="K441" i="454" s="1"/>
  <c r="E442" i="454"/>
  <c r="K442" i="454" s="1"/>
  <c r="E443" i="454"/>
  <c r="K443" i="454" s="1"/>
  <c r="E444" i="454"/>
  <c r="K444" i="454" s="1"/>
  <c r="E445" i="454"/>
  <c r="K445" i="454" s="1"/>
  <c r="E446" i="454"/>
  <c r="K446" i="454" s="1"/>
  <c r="E447" i="454"/>
  <c r="K447" i="454" s="1"/>
  <c r="E448" i="454"/>
  <c r="K448" i="454" s="1"/>
  <c r="E449" i="454"/>
  <c r="K449" i="454" s="1"/>
  <c r="E450" i="454"/>
  <c r="K450" i="454" s="1"/>
  <c r="E451" i="454"/>
  <c r="K451" i="454" s="1"/>
  <c r="E452" i="454"/>
  <c r="K452" i="454" s="1"/>
  <c r="E453" i="454"/>
  <c r="K453" i="454" s="1"/>
  <c r="E454" i="454"/>
  <c r="K454" i="454" s="1"/>
  <c r="E455" i="454"/>
  <c r="K455" i="454" s="1"/>
  <c r="E456" i="454"/>
  <c r="K456" i="454" s="1"/>
  <c r="E457" i="454"/>
  <c r="K457" i="454" s="1"/>
  <c r="E458" i="454"/>
  <c r="K458" i="454" s="1"/>
  <c r="E459" i="454"/>
  <c r="K459" i="454" s="1"/>
  <c r="E460" i="454"/>
  <c r="K460" i="454" s="1"/>
  <c r="E461" i="454"/>
  <c r="K461" i="454" s="1"/>
  <c r="E462" i="454"/>
  <c r="K462" i="454" s="1"/>
  <c r="E463" i="454"/>
  <c r="K463" i="454" s="1"/>
  <c r="E464" i="454"/>
  <c r="K464" i="454" s="1"/>
  <c r="E465" i="454"/>
  <c r="K465" i="454" s="1"/>
  <c r="E466" i="454"/>
  <c r="K466" i="454" s="1"/>
  <c r="E467" i="454"/>
  <c r="K467" i="454" s="1"/>
  <c r="E468" i="454"/>
  <c r="K468" i="454" s="1"/>
  <c r="E469" i="454"/>
  <c r="K469" i="454" s="1"/>
  <c r="E470" i="454"/>
  <c r="K470" i="454" s="1"/>
  <c r="E471" i="454"/>
  <c r="K471" i="454" s="1"/>
  <c r="E472" i="454"/>
  <c r="K472" i="454" s="1"/>
  <c r="E474" i="454"/>
  <c r="K474" i="454" s="1"/>
  <c r="E475" i="454"/>
  <c r="K475" i="454" s="1"/>
  <c r="E476" i="454"/>
  <c r="K476" i="454" s="1"/>
  <c r="E477" i="454"/>
  <c r="K477" i="454" s="1"/>
  <c r="E478" i="454"/>
  <c r="K478" i="454" s="1"/>
  <c r="E479" i="454"/>
  <c r="K479" i="454" s="1"/>
  <c r="E482" i="454"/>
  <c r="K482" i="454" s="1"/>
  <c r="E484" i="454"/>
  <c r="K484" i="454" s="1"/>
  <c r="E485" i="454"/>
  <c r="K485" i="454" s="1"/>
  <c r="E486" i="454"/>
  <c r="K486" i="454" s="1"/>
  <c r="E488" i="454"/>
  <c r="K488" i="454" s="1"/>
  <c r="E489" i="454"/>
  <c r="K489" i="454" s="1"/>
  <c r="E491" i="454"/>
  <c r="K491" i="454" s="1"/>
  <c r="E492" i="454"/>
  <c r="K492" i="454" s="1"/>
  <c r="E493" i="454"/>
  <c r="K493" i="454" s="1"/>
  <c r="E494" i="454"/>
  <c r="K494" i="454" s="1"/>
  <c r="E495" i="454"/>
  <c r="K495" i="454" s="1"/>
  <c r="E497" i="454"/>
  <c r="K497" i="454" s="1"/>
  <c r="E498" i="454"/>
  <c r="K498" i="454" s="1"/>
  <c r="E499" i="454"/>
  <c r="K499" i="454" s="1"/>
  <c r="E500" i="454"/>
  <c r="K500" i="454" s="1"/>
  <c r="E502" i="454"/>
  <c r="K502" i="454" s="1"/>
  <c r="E503" i="454"/>
  <c r="K503" i="454" s="1"/>
  <c r="E504" i="454"/>
  <c r="K504" i="454" s="1"/>
  <c r="E505" i="454"/>
  <c r="K505" i="454" s="1"/>
  <c r="E506" i="454"/>
  <c r="K506" i="454" s="1"/>
  <c r="E508" i="454"/>
  <c r="K508" i="454" s="1"/>
  <c r="E509" i="454"/>
  <c r="K509" i="454" s="1"/>
  <c r="E511" i="454"/>
  <c r="K511" i="454" s="1"/>
  <c r="E512" i="454"/>
  <c r="K512" i="454" s="1"/>
  <c r="E514" i="454"/>
  <c r="K514" i="454" s="1"/>
  <c r="E516" i="454"/>
  <c r="K516" i="454" s="1"/>
  <c r="E518" i="454"/>
  <c r="K518" i="454" s="1"/>
  <c r="E520" i="454"/>
  <c r="K520" i="454" s="1"/>
  <c r="E522" i="454"/>
  <c r="K522" i="454" s="1"/>
  <c r="E523" i="454"/>
  <c r="K523" i="454" s="1"/>
  <c r="E525" i="454"/>
  <c r="K525" i="454" s="1"/>
  <c r="E527" i="454"/>
  <c r="K527" i="454" s="1"/>
  <c r="E529" i="454"/>
  <c r="K529" i="454" s="1"/>
  <c r="E531" i="454"/>
  <c r="K531" i="454" s="1"/>
  <c r="E533" i="454"/>
  <c r="K533" i="454" s="1"/>
  <c r="E535" i="454"/>
  <c r="K535" i="454" s="1"/>
  <c r="E537" i="454"/>
  <c r="K537" i="454" s="1"/>
  <c r="E539" i="454"/>
  <c r="K539" i="454" s="1"/>
  <c r="E541" i="454"/>
  <c r="K541" i="454" s="1"/>
  <c r="E543" i="454"/>
  <c r="K543" i="454" s="1"/>
  <c r="E545" i="454"/>
  <c r="K545" i="454" s="1"/>
  <c r="E547" i="454"/>
  <c r="K547" i="454" s="1"/>
  <c r="E548" i="454"/>
  <c r="K548" i="454" s="1"/>
  <c r="E550" i="454"/>
  <c r="K550" i="454" s="1"/>
  <c r="E552" i="454"/>
  <c r="K552" i="454" s="1"/>
  <c r="E554" i="454"/>
  <c r="K554" i="454" s="1"/>
  <c r="E556" i="454"/>
  <c r="K556" i="454" s="1"/>
  <c r="E558" i="454"/>
  <c r="K558" i="454" s="1"/>
  <c r="E560" i="454"/>
  <c r="K560" i="454" s="1"/>
  <c r="E562" i="454"/>
  <c r="K562" i="454" s="1"/>
  <c r="E564" i="454"/>
  <c r="K564" i="454" s="1"/>
  <c r="E566" i="454"/>
  <c r="K566" i="454" s="1"/>
  <c r="E568" i="454"/>
  <c r="K568" i="454" s="1"/>
  <c r="E570" i="454"/>
  <c r="K570" i="454" s="1"/>
  <c r="E572" i="454"/>
  <c r="K572" i="454" s="1"/>
  <c r="E574" i="454"/>
  <c r="K574" i="454" s="1"/>
  <c r="E576" i="454"/>
  <c r="K576" i="454" s="1"/>
  <c r="E579" i="454"/>
  <c r="K579" i="454" s="1"/>
  <c r="E581" i="454"/>
  <c r="K581" i="454" s="1"/>
  <c r="E583" i="454"/>
  <c r="K583" i="454" s="1"/>
  <c r="E585" i="454"/>
  <c r="K585" i="454" s="1"/>
  <c r="E588" i="454"/>
  <c r="K588" i="454" s="1"/>
  <c r="E590" i="454"/>
  <c r="K590" i="454" s="1"/>
  <c r="E591" i="454"/>
  <c r="K591" i="454" s="1"/>
  <c r="E593" i="454"/>
  <c r="K593" i="454" s="1"/>
  <c r="E595" i="454"/>
  <c r="K595" i="454" s="1"/>
  <c r="E596" i="454"/>
  <c r="K596" i="454" s="1"/>
  <c r="E598" i="454"/>
  <c r="K598" i="454" s="1"/>
  <c r="E600" i="454"/>
  <c r="K600" i="454" s="1"/>
  <c r="E602" i="454"/>
  <c r="K602" i="454" s="1"/>
  <c r="E604" i="454"/>
  <c r="K604" i="454" s="1"/>
  <c r="E607" i="454"/>
  <c r="K607" i="454" s="1"/>
  <c r="E608" i="454"/>
  <c r="K608" i="454" s="1"/>
  <c r="E610" i="454"/>
  <c r="K610" i="454" s="1"/>
  <c r="E613" i="454"/>
  <c r="K613" i="454" s="1"/>
  <c r="E614" i="454"/>
  <c r="K614" i="454" s="1"/>
  <c r="E615" i="454"/>
  <c r="K615" i="454" s="1"/>
  <c r="E616" i="454"/>
  <c r="K616" i="454" s="1"/>
  <c r="E619" i="454"/>
  <c r="K619" i="454" s="1"/>
  <c r="E620" i="454"/>
  <c r="K620" i="454" s="1"/>
  <c r="E622" i="454"/>
  <c r="K622" i="454" s="1"/>
  <c r="E624" i="454"/>
  <c r="K624" i="454" s="1"/>
  <c r="E626" i="454"/>
  <c r="K626" i="454" s="1"/>
  <c r="E628" i="454"/>
  <c r="K628" i="454" s="1"/>
  <c r="E629" i="454"/>
  <c r="K629" i="454" s="1"/>
  <c r="E631" i="454"/>
  <c r="K631" i="454" s="1"/>
  <c r="E633" i="454"/>
  <c r="K633" i="454" s="1"/>
  <c r="E634" i="454"/>
  <c r="K634" i="454" s="1"/>
  <c r="E635" i="454"/>
  <c r="K635" i="454" s="1"/>
  <c r="E636" i="454"/>
  <c r="K636" i="454" s="1"/>
  <c r="E637" i="454"/>
  <c r="K637" i="454" s="1"/>
  <c r="E638" i="454"/>
  <c r="K638" i="454" s="1"/>
  <c r="E639" i="454"/>
  <c r="K639" i="454" s="1"/>
  <c r="E640" i="454"/>
  <c r="K640" i="454" s="1"/>
  <c r="E641" i="454"/>
  <c r="K641" i="454" s="1"/>
  <c r="E642" i="454"/>
  <c r="K642" i="454" s="1"/>
  <c r="E643" i="454"/>
  <c r="K643" i="454" s="1"/>
  <c r="E644" i="454"/>
  <c r="K644" i="454" s="1"/>
  <c r="E645" i="454"/>
  <c r="K645" i="454" s="1"/>
  <c r="E646" i="454"/>
  <c r="K646" i="454" s="1"/>
  <c r="E647" i="454"/>
  <c r="K647" i="454" s="1"/>
  <c r="E648" i="454"/>
  <c r="K648" i="454" s="1"/>
  <c r="E649" i="454"/>
  <c r="K649" i="454" s="1"/>
  <c r="E650" i="454"/>
  <c r="K650" i="454" s="1"/>
  <c r="E651" i="454"/>
  <c r="K651" i="454" s="1"/>
  <c r="E652" i="454"/>
  <c r="K652" i="454" s="1"/>
  <c r="E653" i="454"/>
  <c r="K653" i="454" s="1"/>
  <c r="E654" i="454"/>
  <c r="K654" i="454" s="1"/>
  <c r="E655" i="454"/>
  <c r="K655" i="454" s="1"/>
  <c r="E656" i="454"/>
  <c r="K656" i="454" s="1"/>
  <c r="E657" i="454"/>
  <c r="K657" i="454" s="1"/>
  <c r="E658" i="454"/>
  <c r="K658" i="454" s="1"/>
  <c r="E659" i="454"/>
  <c r="K659" i="454" s="1"/>
  <c r="E660" i="454"/>
  <c r="K660" i="454" s="1"/>
  <c r="E661" i="454"/>
  <c r="K661" i="454" s="1"/>
  <c r="E662" i="454"/>
  <c r="K662" i="454" s="1"/>
  <c r="E663" i="454"/>
  <c r="K663" i="454" s="1"/>
  <c r="E664" i="454"/>
  <c r="K664" i="454" s="1"/>
  <c r="E665" i="454"/>
  <c r="K665" i="454" s="1"/>
  <c r="E666" i="454"/>
  <c r="K666" i="454" s="1"/>
  <c r="E667" i="454"/>
  <c r="K667" i="454" s="1"/>
  <c r="E668" i="454"/>
  <c r="K668" i="454" s="1"/>
  <c r="E669" i="454"/>
  <c r="K669" i="454" s="1"/>
  <c r="E670" i="454"/>
  <c r="K670" i="454" s="1"/>
  <c r="E671" i="454"/>
  <c r="K671" i="454" s="1"/>
  <c r="E672" i="454"/>
  <c r="K672" i="454" s="1"/>
  <c r="E673" i="454"/>
  <c r="K673" i="454" s="1"/>
  <c r="E674" i="454"/>
  <c r="K674" i="454" s="1"/>
  <c r="E675" i="454"/>
  <c r="K675" i="454" s="1"/>
  <c r="E676" i="454"/>
  <c r="K676" i="454" s="1"/>
  <c r="E677" i="454"/>
  <c r="K677" i="454" s="1"/>
  <c r="E678" i="454"/>
  <c r="K678" i="454" s="1"/>
  <c r="E679" i="454"/>
  <c r="K679" i="454" s="1"/>
  <c r="E680" i="454"/>
  <c r="K680" i="454" s="1"/>
  <c r="E681" i="454"/>
  <c r="K681" i="454" s="1"/>
  <c r="E682" i="454"/>
  <c r="K682" i="454" s="1"/>
  <c r="E683" i="454"/>
  <c r="K683" i="454" s="1"/>
  <c r="E684" i="454"/>
  <c r="K684" i="454" s="1"/>
  <c r="E685" i="454"/>
  <c r="K685" i="454" s="1"/>
  <c r="E686" i="454"/>
  <c r="K686" i="454" s="1"/>
  <c r="E687" i="454"/>
  <c r="K687" i="454" s="1"/>
  <c r="E688" i="454"/>
  <c r="K688" i="454" s="1"/>
  <c r="E689" i="454"/>
  <c r="K689" i="454" s="1"/>
  <c r="E690" i="454"/>
  <c r="K690" i="454" s="1"/>
  <c r="E691" i="454"/>
  <c r="K691" i="454" s="1"/>
  <c r="E692" i="454"/>
  <c r="K692" i="454" s="1"/>
  <c r="E693" i="454"/>
  <c r="K693" i="454" s="1"/>
  <c r="E694" i="454"/>
  <c r="K694" i="454" s="1"/>
  <c r="E695" i="454"/>
  <c r="K695" i="454" s="1"/>
  <c r="E699" i="454"/>
  <c r="K699" i="454" s="1"/>
  <c r="E700" i="454"/>
  <c r="K700" i="454" s="1"/>
  <c r="E701" i="454"/>
  <c r="K701" i="454" s="1"/>
  <c r="E702" i="454"/>
  <c r="K702" i="454" s="1"/>
  <c r="E709" i="454"/>
  <c r="K709" i="454" s="1"/>
  <c r="E710" i="454"/>
  <c r="K710" i="454" s="1"/>
  <c r="E711" i="454"/>
  <c r="K711" i="454" s="1"/>
  <c r="E712" i="454"/>
  <c r="K712" i="454" s="1"/>
  <c r="E714" i="454"/>
  <c r="K714" i="454" s="1"/>
  <c r="E715" i="454"/>
  <c r="K715" i="454" s="1"/>
  <c r="E716" i="454"/>
  <c r="K716" i="454" s="1"/>
  <c r="E717" i="454"/>
  <c r="K717" i="454" s="1"/>
  <c r="E718" i="454"/>
  <c r="K718" i="454" s="1"/>
  <c r="E726" i="454"/>
  <c r="K726" i="454" s="1"/>
  <c r="E727" i="454"/>
  <c r="K727" i="454" s="1"/>
  <c r="E728" i="454"/>
  <c r="K728" i="454" s="1"/>
  <c r="E730" i="454"/>
  <c r="K730" i="454" s="1"/>
  <c r="E732" i="454"/>
  <c r="K732" i="454" s="1"/>
  <c r="E734" i="454"/>
  <c r="K734" i="454" s="1"/>
  <c r="E736" i="454"/>
  <c r="K736" i="454" s="1"/>
  <c r="E738" i="454"/>
  <c r="K738" i="454" s="1"/>
  <c r="E740" i="454"/>
  <c r="K740" i="454" s="1"/>
  <c r="E742" i="454"/>
  <c r="K742" i="454" s="1"/>
  <c r="E744" i="454"/>
  <c r="K744" i="454" s="1"/>
  <c r="E747" i="454"/>
  <c r="K747" i="454" s="1"/>
  <c r="E748" i="454"/>
  <c r="K748" i="454" s="1"/>
  <c r="E750" i="454"/>
  <c r="K750" i="454" s="1"/>
  <c r="E752" i="454"/>
  <c r="K752" i="454" s="1"/>
  <c r="E754" i="454"/>
  <c r="K754" i="454" s="1"/>
  <c r="E755" i="454"/>
  <c r="K755" i="454" s="1"/>
  <c r="E756" i="454"/>
  <c r="K756" i="454" s="1"/>
  <c r="E757" i="454"/>
  <c r="K757" i="454" s="1"/>
  <c r="E760" i="454"/>
  <c r="K760" i="454" s="1"/>
  <c r="E762" i="454"/>
  <c r="K762" i="454" s="1"/>
  <c r="E764" i="454"/>
  <c r="K764" i="454" s="1"/>
  <c r="E766" i="454"/>
  <c r="K766" i="454" s="1"/>
  <c r="E768" i="454"/>
  <c r="K768" i="454" s="1"/>
  <c r="E770" i="454"/>
  <c r="K770" i="454" s="1"/>
  <c r="E772" i="454"/>
  <c r="K772" i="454" s="1"/>
  <c r="E773" i="454"/>
  <c r="K773" i="454" s="1"/>
  <c r="E774" i="454"/>
  <c r="K774" i="454" s="1"/>
  <c r="E775" i="454"/>
  <c r="K775" i="454" s="1"/>
  <c r="E776" i="454"/>
  <c r="K776" i="454" s="1"/>
  <c r="E777" i="454"/>
  <c r="K777" i="454" s="1"/>
  <c r="E778" i="454"/>
  <c r="K778" i="454" s="1"/>
  <c r="E779" i="454"/>
  <c r="K779" i="454" s="1"/>
  <c r="E780" i="454"/>
  <c r="K780" i="454" s="1"/>
  <c r="E781" i="454"/>
  <c r="K781" i="454" s="1"/>
  <c r="E782" i="454"/>
  <c r="K782" i="454" s="1"/>
  <c r="E783" i="454"/>
  <c r="K783" i="454" s="1"/>
  <c r="E784" i="454"/>
  <c r="K784" i="454" s="1"/>
  <c r="E785" i="454"/>
  <c r="K785" i="454" s="1"/>
  <c r="E786" i="454"/>
  <c r="K786" i="454" s="1"/>
  <c r="E787" i="454"/>
  <c r="K787" i="454" s="1"/>
  <c r="E788" i="454"/>
  <c r="K788" i="454" s="1"/>
  <c r="E789" i="454"/>
  <c r="K789" i="454" s="1"/>
  <c r="E790" i="454"/>
  <c r="K790" i="454" s="1"/>
  <c r="E791" i="454"/>
  <c r="K791" i="454" s="1"/>
  <c r="E792" i="454"/>
  <c r="K792" i="454" s="1"/>
  <c r="E793" i="454"/>
  <c r="K793" i="454" s="1"/>
  <c r="E794" i="454"/>
  <c r="K794" i="454" s="1"/>
  <c r="E795" i="454"/>
  <c r="K795" i="454" s="1"/>
  <c r="E796" i="454"/>
  <c r="K796" i="454" s="1"/>
  <c r="E797" i="454"/>
  <c r="K797" i="454" s="1"/>
  <c r="E798" i="454"/>
  <c r="K798" i="454" s="1"/>
  <c r="E799" i="454"/>
  <c r="K799" i="454" s="1"/>
  <c r="E800" i="454"/>
  <c r="K800" i="454" s="1"/>
  <c r="E801" i="454"/>
  <c r="K801" i="454" s="1"/>
  <c r="E802" i="454"/>
  <c r="K802" i="454" s="1"/>
  <c r="E803" i="454"/>
  <c r="K803" i="454" s="1"/>
  <c r="E804" i="454"/>
  <c r="K804" i="454" s="1"/>
  <c r="E805" i="454"/>
  <c r="K805" i="454" s="1"/>
  <c r="E806" i="454"/>
  <c r="K806" i="454" s="1"/>
  <c r="E807" i="454"/>
  <c r="K807" i="454" s="1"/>
  <c r="E808" i="454"/>
  <c r="K808" i="454" s="1"/>
  <c r="E809" i="454"/>
  <c r="K809" i="454" s="1"/>
  <c r="E810" i="454"/>
  <c r="K810" i="454" s="1"/>
  <c r="E811" i="454"/>
  <c r="K811" i="454" s="1"/>
  <c r="E812" i="454"/>
  <c r="K812" i="454" s="1"/>
  <c r="E813" i="454"/>
  <c r="K813" i="454" s="1"/>
  <c r="E814" i="454"/>
  <c r="K814" i="454" s="1"/>
  <c r="E815" i="454"/>
  <c r="K815" i="454" s="1"/>
  <c r="E816" i="454"/>
  <c r="K816" i="454" s="1"/>
  <c r="E16" i="454"/>
  <c r="K16" i="454" s="1"/>
  <c r="AA1134" i="454"/>
  <c r="R1134" i="454"/>
  <c r="AA1133" i="454"/>
  <c r="R1133" i="454"/>
  <c r="Z1132" i="454"/>
  <c r="Y1132" i="454"/>
  <c r="X1132" i="454"/>
  <c r="W1132" i="454"/>
  <c r="V1132" i="454"/>
  <c r="U1132" i="454"/>
  <c r="T1132" i="454"/>
  <c r="S1132" i="454"/>
  <c r="Q1132" i="454"/>
  <c r="P1132" i="454"/>
  <c r="O1132" i="454"/>
  <c r="N1132" i="454"/>
  <c r="M1132" i="454"/>
  <c r="L1132" i="454"/>
  <c r="J1132" i="454"/>
  <c r="I1132" i="454"/>
  <c r="H1132" i="454"/>
  <c r="G1132" i="454"/>
  <c r="F1132" i="454"/>
  <c r="D1132" i="454"/>
  <c r="AA1131" i="454"/>
  <c r="R1131" i="454"/>
  <c r="AA1130" i="454"/>
  <c r="R1130" i="454"/>
  <c r="AA1129" i="454"/>
  <c r="R1129" i="454"/>
  <c r="AA1128" i="454"/>
  <c r="R1128" i="454"/>
  <c r="Z1127" i="454"/>
  <c r="Z1125" i="454" s="1"/>
  <c r="Y1127" i="454"/>
  <c r="Y1125" i="454" s="1"/>
  <c r="X1127" i="454"/>
  <c r="X1125" i="454" s="1"/>
  <c r="W1127" i="454"/>
  <c r="W1125" i="454" s="1"/>
  <c r="V1127" i="454"/>
  <c r="V1125" i="454" s="1"/>
  <c r="U1127" i="454"/>
  <c r="U1125" i="454" s="1"/>
  <c r="T1127" i="454"/>
  <c r="S1127" i="454"/>
  <c r="S1125" i="454" s="1"/>
  <c r="Q1127" i="454"/>
  <c r="Q1125" i="454" s="1"/>
  <c r="P1127" i="454"/>
  <c r="P1125" i="454" s="1"/>
  <c r="O1127" i="454"/>
  <c r="O1125" i="454" s="1"/>
  <c r="N1127" i="454"/>
  <c r="N1125" i="454" s="1"/>
  <c r="M1127" i="454"/>
  <c r="M1125" i="454" s="1"/>
  <c r="L1127" i="454"/>
  <c r="L1125" i="454" s="1"/>
  <c r="J1127" i="454"/>
  <c r="J1125" i="454" s="1"/>
  <c r="I1127" i="454"/>
  <c r="I1125" i="454" s="1"/>
  <c r="H1127" i="454"/>
  <c r="H1125" i="454" s="1"/>
  <c r="G1127" i="454"/>
  <c r="G1125" i="454" s="1"/>
  <c r="F1127" i="454"/>
  <c r="D1127" i="454"/>
  <c r="D1125" i="454" s="1"/>
  <c r="AA1126" i="454"/>
  <c r="R1126" i="454"/>
  <c r="T1125" i="454"/>
  <c r="AA1124" i="454"/>
  <c r="R1124" i="454"/>
  <c r="Z1123" i="454"/>
  <c r="Y1123" i="454"/>
  <c r="X1123" i="454"/>
  <c r="X1122" i="454" s="1"/>
  <c r="X1121" i="454" s="1"/>
  <c r="W1123" i="454"/>
  <c r="W1122" i="454" s="1"/>
  <c r="W1121" i="454" s="1"/>
  <c r="V1123" i="454"/>
  <c r="V1122" i="454" s="1"/>
  <c r="V1121" i="454" s="1"/>
  <c r="U1123" i="454"/>
  <c r="U1122" i="454" s="1"/>
  <c r="U1121" i="454" s="1"/>
  <c r="T1123" i="454"/>
  <c r="T1122" i="454" s="1"/>
  <c r="T1121" i="454" s="1"/>
  <c r="S1123" i="454"/>
  <c r="S1122" i="454" s="1"/>
  <c r="S1121" i="454" s="1"/>
  <c r="Q1123" i="454"/>
  <c r="Q1122" i="454" s="1"/>
  <c r="Q1121" i="454" s="1"/>
  <c r="P1123" i="454"/>
  <c r="P1122" i="454" s="1"/>
  <c r="P1121" i="454" s="1"/>
  <c r="O1123" i="454"/>
  <c r="O1122" i="454" s="1"/>
  <c r="O1121" i="454" s="1"/>
  <c r="N1123" i="454"/>
  <c r="N1122" i="454" s="1"/>
  <c r="N1121" i="454" s="1"/>
  <c r="M1123" i="454"/>
  <c r="M1122" i="454" s="1"/>
  <c r="M1121" i="454" s="1"/>
  <c r="L1123" i="454"/>
  <c r="J1123" i="454"/>
  <c r="J1122" i="454" s="1"/>
  <c r="J1121" i="454" s="1"/>
  <c r="I1123" i="454"/>
  <c r="I1122" i="454" s="1"/>
  <c r="I1121" i="454" s="1"/>
  <c r="H1123" i="454"/>
  <c r="H1122" i="454" s="1"/>
  <c r="H1121" i="454" s="1"/>
  <c r="G1123" i="454"/>
  <c r="G1122" i="454" s="1"/>
  <c r="G1121" i="454" s="1"/>
  <c r="F1123" i="454"/>
  <c r="F1122" i="454" s="1"/>
  <c r="F1121" i="454" s="1"/>
  <c r="D1123" i="454"/>
  <c r="D1122" i="454" s="1"/>
  <c r="Z1122" i="454"/>
  <c r="Z1121" i="454" s="1"/>
  <c r="Y1122" i="454"/>
  <c r="Y1121" i="454" s="1"/>
  <c r="AA1119" i="454"/>
  <c r="R1119" i="454"/>
  <c r="Z1118" i="454"/>
  <c r="Z1116" i="454" s="1"/>
  <c r="Z1115" i="454" s="1"/>
  <c r="Z1114" i="454" s="1"/>
  <c r="Z1113" i="454" s="1"/>
  <c r="Z1112" i="454" s="1"/>
  <c r="Y1118" i="454"/>
  <c r="Y1116" i="454" s="1"/>
  <c r="Y1115" i="454" s="1"/>
  <c r="Y1114" i="454" s="1"/>
  <c r="Y1113" i="454" s="1"/>
  <c r="Y1112" i="454" s="1"/>
  <c r="X1118" i="454"/>
  <c r="X1116" i="454" s="1"/>
  <c r="X1115" i="454" s="1"/>
  <c r="X1114" i="454" s="1"/>
  <c r="X1113" i="454" s="1"/>
  <c r="X1112" i="454" s="1"/>
  <c r="W1118" i="454"/>
  <c r="W1116" i="454" s="1"/>
  <c r="W1115" i="454" s="1"/>
  <c r="W1114" i="454" s="1"/>
  <c r="W1113" i="454" s="1"/>
  <c r="W1112" i="454" s="1"/>
  <c r="V1118" i="454"/>
  <c r="V1116" i="454" s="1"/>
  <c r="V1115" i="454" s="1"/>
  <c r="V1114" i="454" s="1"/>
  <c r="V1113" i="454" s="1"/>
  <c r="V1112" i="454" s="1"/>
  <c r="U1118" i="454"/>
  <c r="U1116" i="454" s="1"/>
  <c r="U1115" i="454" s="1"/>
  <c r="U1114" i="454" s="1"/>
  <c r="U1113" i="454" s="1"/>
  <c r="U1112" i="454" s="1"/>
  <c r="T1118" i="454"/>
  <c r="T1116" i="454" s="1"/>
  <c r="T1115" i="454" s="1"/>
  <c r="T1114" i="454" s="1"/>
  <c r="T1113" i="454" s="1"/>
  <c r="T1112" i="454" s="1"/>
  <c r="S1118" i="454"/>
  <c r="Q1118" i="454"/>
  <c r="Q1116" i="454" s="1"/>
  <c r="Q1115" i="454" s="1"/>
  <c r="Q1114" i="454" s="1"/>
  <c r="Q1113" i="454" s="1"/>
  <c r="Q1112" i="454" s="1"/>
  <c r="P1118" i="454"/>
  <c r="N1118" i="454"/>
  <c r="N1116" i="454" s="1"/>
  <c r="N1115" i="454" s="1"/>
  <c r="N1114" i="454" s="1"/>
  <c r="N1113" i="454" s="1"/>
  <c r="N1112" i="454" s="1"/>
  <c r="M1118" i="454"/>
  <c r="M1116" i="454" s="1"/>
  <c r="M1115" i="454" s="1"/>
  <c r="M1114" i="454" s="1"/>
  <c r="M1113" i="454" s="1"/>
  <c r="M1112" i="454" s="1"/>
  <c r="L1118" i="454"/>
  <c r="J1118" i="454"/>
  <c r="J1116" i="454" s="1"/>
  <c r="J1115" i="454" s="1"/>
  <c r="J1114" i="454" s="1"/>
  <c r="J1113" i="454" s="1"/>
  <c r="J1112" i="454" s="1"/>
  <c r="I1118" i="454"/>
  <c r="I1116" i="454" s="1"/>
  <c r="I1115" i="454" s="1"/>
  <c r="I1114" i="454" s="1"/>
  <c r="I1113" i="454" s="1"/>
  <c r="I1112" i="454" s="1"/>
  <c r="H1118" i="454"/>
  <c r="H1116" i="454" s="1"/>
  <c r="H1115" i="454" s="1"/>
  <c r="H1114" i="454" s="1"/>
  <c r="H1113" i="454" s="1"/>
  <c r="H1112" i="454" s="1"/>
  <c r="G1118" i="454"/>
  <c r="G1116" i="454" s="1"/>
  <c r="G1115" i="454" s="1"/>
  <c r="G1114" i="454" s="1"/>
  <c r="G1113" i="454" s="1"/>
  <c r="G1112" i="454" s="1"/>
  <c r="F1118" i="454"/>
  <c r="F1116" i="454" s="1"/>
  <c r="F1115" i="454" s="1"/>
  <c r="F1114" i="454" s="1"/>
  <c r="F1113" i="454" s="1"/>
  <c r="F1112" i="454" s="1"/>
  <c r="D1118" i="454"/>
  <c r="AA1117" i="454"/>
  <c r="R1117" i="454"/>
  <c r="P1116" i="454"/>
  <c r="P1115" i="454" s="1"/>
  <c r="P1114" i="454" s="1"/>
  <c r="P1113" i="454" s="1"/>
  <c r="P1112" i="454" s="1"/>
  <c r="O1116" i="454"/>
  <c r="O1115" i="454" s="1"/>
  <c r="O1114" i="454" s="1"/>
  <c r="O1113" i="454" s="1"/>
  <c r="O1112" i="454" s="1"/>
  <c r="Z1108" i="454"/>
  <c r="Y1108" i="454"/>
  <c r="X1108" i="454"/>
  <c r="W1108" i="454"/>
  <c r="V1108" i="454"/>
  <c r="U1108" i="454"/>
  <c r="T1108" i="454"/>
  <c r="S1108" i="454"/>
  <c r="Q1108" i="454"/>
  <c r="P1108" i="454"/>
  <c r="O1108" i="454"/>
  <c r="N1108" i="454"/>
  <c r="M1108" i="454"/>
  <c r="L1108" i="454"/>
  <c r="J1108" i="454"/>
  <c r="I1108" i="454"/>
  <c r="H1108" i="454"/>
  <c r="G1108" i="454"/>
  <c r="F1108" i="454"/>
  <c r="D1108" i="454"/>
  <c r="AA1107" i="454"/>
  <c r="AA1108" i="454" s="1"/>
  <c r="R1107" i="454"/>
  <c r="R1108" i="454" s="1"/>
  <c r="AA1103" i="454"/>
  <c r="R1103" i="454"/>
  <c r="AA1102" i="454"/>
  <c r="R1102" i="454"/>
  <c r="AA1101" i="454"/>
  <c r="R1101" i="454"/>
  <c r="AA1100" i="454"/>
  <c r="R1100" i="454"/>
  <c r="AA1099" i="454"/>
  <c r="R1099" i="454"/>
  <c r="AA1098" i="454"/>
  <c r="R1098" i="454"/>
  <c r="AA1097" i="454"/>
  <c r="R1097" i="454"/>
  <c r="AA1096" i="454"/>
  <c r="R1096" i="454"/>
  <c r="AA1095" i="454"/>
  <c r="R1095" i="454"/>
  <c r="AA1094" i="454"/>
  <c r="R1094" i="454"/>
  <c r="AA1093" i="454"/>
  <c r="R1093" i="454"/>
  <c r="AA1092" i="454"/>
  <c r="R1092" i="454"/>
  <c r="AA1091" i="454"/>
  <c r="R1091" i="454"/>
  <c r="AA1090" i="454"/>
  <c r="R1090" i="454"/>
  <c r="AA1089" i="454"/>
  <c r="R1089" i="454"/>
  <c r="AA1088" i="454"/>
  <c r="R1088" i="454"/>
  <c r="AA1087" i="454"/>
  <c r="R1087" i="454"/>
  <c r="AA1086" i="454"/>
  <c r="R1086" i="454"/>
  <c r="AA1085" i="454"/>
  <c r="R1085" i="454"/>
  <c r="Z1084" i="454"/>
  <c r="Z1083" i="454" s="1"/>
  <c r="Z1082" i="454" s="1"/>
  <c r="Z1081" i="454" s="1"/>
  <c r="Y1084" i="454"/>
  <c r="Y1083" i="454" s="1"/>
  <c r="Y1082" i="454" s="1"/>
  <c r="Y1081" i="454" s="1"/>
  <c r="X1084" i="454"/>
  <c r="X1083" i="454" s="1"/>
  <c r="X1082" i="454" s="1"/>
  <c r="X1081" i="454" s="1"/>
  <c r="W1084" i="454"/>
  <c r="W1083" i="454" s="1"/>
  <c r="W1082" i="454" s="1"/>
  <c r="W1081" i="454" s="1"/>
  <c r="V1084" i="454"/>
  <c r="V1083" i="454" s="1"/>
  <c r="V1082" i="454" s="1"/>
  <c r="V1081" i="454" s="1"/>
  <c r="U1084" i="454"/>
  <c r="U1083" i="454" s="1"/>
  <c r="U1082" i="454" s="1"/>
  <c r="U1081" i="454" s="1"/>
  <c r="T1084" i="454"/>
  <c r="T1083" i="454" s="1"/>
  <c r="T1082" i="454" s="1"/>
  <c r="T1081" i="454" s="1"/>
  <c r="S1084" i="454"/>
  <c r="S1083" i="454" s="1"/>
  <c r="S1082" i="454" s="1"/>
  <c r="S1081" i="454" s="1"/>
  <c r="Q1084" i="454"/>
  <c r="Q1083" i="454" s="1"/>
  <c r="Q1082" i="454" s="1"/>
  <c r="Q1081" i="454" s="1"/>
  <c r="P1084" i="454"/>
  <c r="P1083" i="454" s="1"/>
  <c r="P1082" i="454" s="1"/>
  <c r="P1081" i="454" s="1"/>
  <c r="O1084" i="454"/>
  <c r="O1083" i="454" s="1"/>
  <c r="O1082" i="454" s="1"/>
  <c r="O1081" i="454" s="1"/>
  <c r="N1084" i="454"/>
  <c r="N1083" i="454" s="1"/>
  <c r="N1082" i="454" s="1"/>
  <c r="N1081" i="454" s="1"/>
  <c r="M1084" i="454"/>
  <c r="M1083" i="454" s="1"/>
  <c r="M1082" i="454" s="1"/>
  <c r="M1081" i="454" s="1"/>
  <c r="L1084" i="454"/>
  <c r="L1083" i="454" s="1"/>
  <c r="L1082" i="454" s="1"/>
  <c r="L1081" i="454" s="1"/>
  <c r="J1084" i="454"/>
  <c r="J1083" i="454" s="1"/>
  <c r="J1082" i="454" s="1"/>
  <c r="J1081" i="454" s="1"/>
  <c r="I1084" i="454"/>
  <c r="I1083" i="454" s="1"/>
  <c r="I1082" i="454" s="1"/>
  <c r="I1081" i="454" s="1"/>
  <c r="H1084" i="454"/>
  <c r="H1083" i="454" s="1"/>
  <c r="H1082" i="454" s="1"/>
  <c r="H1081" i="454" s="1"/>
  <c r="G1084" i="454"/>
  <c r="G1083" i="454" s="1"/>
  <c r="G1082" i="454" s="1"/>
  <c r="G1081" i="454" s="1"/>
  <c r="F1084" i="454"/>
  <c r="F1083" i="454" s="1"/>
  <c r="D1084" i="454"/>
  <c r="D1083" i="454" s="1"/>
  <c r="D1082" i="454" s="1"/>
  <c r="D1081" i="454" s="1"/>
  <c r="AA1080" i="454"/>
  <c r="R1080" i="454"/>
  <c r="AA1079" i="454"/>
  <c r="R1079" i="454"/>
  <c r="Z1078" i="454"/>
  <c r="Y1078" i="454"/>
  <c r="X1078" i="454"/>
  <c r="W1078" i="454"/>
  <c r="V1078" i="454"/>
  <c r="U1078" i="454"/>
  <c r="T1078" i="454"/>
  <c r="S1078" i="454"/>
  <c r="Q1078" i="454"/>
  <c r="P1078" i="454"/>
  <c r="O1078" i="454"/>
  <c r="N1078" i="454"/>
  <c r="M1078" i="454"/>
  <c r="L1078" i="454"/>
  <c r="J1078" i="454"/>
  <c r="I1078" i="454"/>
  <c r="H1078" i="454"/>
  <c r="G1078" i="454"/>
  <c r="F1078" i="454"/>
  <c r="D1078" i="454"/>
  <c r="AA1077" i="454"/>
  <c r="R1077" i="454"/>
  <c r="AA1076" i="454"/>
  <c r="R1076" i="454"/>
  <c r="AA1075" i="454"/>
  <c r="R1075" i="454"/>
  <c r="AA1074" i="454"/>
  <c r="R1074" i="454"/>
  <c r="AA1073" i="454"/>
  <c r="R1073" i="454"/>
  <c r="AA1072" i="454"/>
  <c r="R1072" i="454"/>
  <c r="AA1071" i="454"/>
  <c r="R1071" i="454"/>
  <c r="AA1070" i="454"/>
  <c r="R1070" i="454"/>
  <c r="AA1069" i="454"/>
  <c r="R1069" i="454"/>
  <c r="AA1068" i="454"/>
  <c r="R1068" i="454"/>
  <c r="AA1067" i="454"/>
  <c r="R1067" i="454"/>
  <c r="AA1066" i="454"/>
  <c r="R1066" i="454"/>
  <c r="AA1065" i="454"/>
  <c r="R1065" i="454"/>
  <c r="AA1064" i="454"/>
  <c r="R1064" i="454"/>
  <c r="AA1063" i="454"/>
  <c r="R1063" i="454"/>
  <c r="AA1062" i="454"/>
  <c r="R1062" i="454"/>
  <c r="AA1061" i="454"/>
  <c r="R1061" i="454"/>
  <c r="AA1060" i="454"/>
  <c r="R1060" i="454"/>
  <c r="AA1059" i="454"/>
  <c r="R1059" i="454"/>
  <c r="AA1058" i="454"/>
  <c r="R1058" i="454"/>
  <c r="AA1057" i="454"/>
  <c r="R1057" i="454"/>
  <c r="AA1056" i="454"/>
  <c r="R1056" i="454"/>
  <c r="AA1055" i="454"/>
  <c r="R1055" i="454"/>
  <c r="AA1054" i="454"/>
  <c r="R1054" i="454"/>
  <c r="AA1053" i="454"/>
  <c r="R1053" i="454"/>
  <c r="AA1052" i="454"/>
  <c r="R1052" i="454"/>
  <c r="AA1051" i="454"/>
  <c r="R1051" i="454"/>
  <c r="AA1050" i="454"/>
  <c r="R1050" i="454"/>
  <c r="AA1049" i="454"/>
  <c r="R1049" i="454"/>
  <c r="AA1048" i="454"/>
  <c r="R1048" i="454"/>
  <c r="AA1047" i="454"/>
  <c r="R1047" i="454"/>
  <c r="AA1046" i="454"/>
  <c r="R1046" i="454"/>
  <c r="AA1045" i="454"/>
  <c r="R1045" i="454"/>
  <c r="AA1044" i="454"/>
  <c r="R1044" i="454"/>
  <c r="AA1043" i="454"/>
  <c r="R1043" i="454"/>
  <c r="AA1042" i="454"/>
  <c r="R1042" i="454"/>
  <c r="AA1041" i="454"/>
  <c r="R1041" i="454"/>
  <c r="AA1040" i="454"/>
  <c r="R1040" i="454"/>
  <c r="AA1039" i="454"/>
  <c r="R1039" i="454"/>
  <c r="AA1038" i="454"/>
  <c r="R1038" i="454"/>
  <c r="AA1037" i="454"/>
  <c r="R1037" i="454"/>
  <c r="AA1036" i="454"/>
  <c r="R1036" i="454"/>
  <c r="AA1035" i="454"/>
  <c r="R1035" i="454"/>
  <c r="AA1034" i="454"/>
  <c r="R1034" i="454"/>
  <c r="AA1033" i="454"/>
  <c r="R1033" i="454"/>
  <c r="AA1032" i="454"/>
  <c r="R1032" i="454"/>
  <c r="AA1031" i="454"/>
  <c r="R1031" i="454"/>
  <c r="AA1030" i="454"/>
  <c r="R1030" i="454"/>
  <c r="Z1029" i="454"/>
  <c r="Z1028" i="454" s="1"/>
  <c r="Z1027" i="454" s="1"/>
  <c r="Y1029" i="454"/>
  <c r="Y1028" i="454" s="1"/>
  <c r="Y1027" i="454" s="1"/>
  <c r="X1029" i="454"/>
  <c r="X1028" i="454" s="1"/>
  <c r="X1027" i="454" s="1"/>
  <c r="W1029" i="454"/>
  <c r="W1028" i="454" s="1"/>
  <c r="W1027" i="454" s="1"/>
  <c r="V1029" i="454"/>
  <c r="V1028" i="454" s="1"/>
  <c r="V1027" i="454" s="1"/>
  <c r="U1029" i="454"/>
  <c r="U1028" i="454" s="1"/>
  <c r="U1027" i="454" s="1"/>
  <c r="T1029" i="454"/>
  <c r="T1028" i="454" s="1"/>
  <c r="T1027" i="454" s="1"/>
  <c r="S1029" i="454"/>
  <c r="S1028" i="454" s="1"/>
  <c r="S1027" i="454" s="1"/>
  <c r="Q1029" i="454"/>
  <c r="Q1028" i="454" s="1"/>
  <c r="Q1027" i="454" s="1"/>
  <c r="P1029" i="454"/>
  <c r="P1028" i="454" s="1"/>
  <c r="P1027" i="454" s="1"/>
  <c r="O1029" i="454"/>
  <c r="O1028" i="454" s="1"/>
  <c r="O1027" i="454" s="1"/>
  <c r="N1029" i="454"/>
  <c r="N1028" i="454" s="1"/>
  <c r="N1027" i="454" s="1"/>
  <c r="M1029" i="454"/>
  <c r="M1028" i="454" s="1"/>
  <c r="M1027" i="454" s="1"/>
  <c r="L1029" i="454"/>
  <c r="J1029" i="454"/>
  <c r="J1028" i="454" s="1"/>
  <c r="J1027" i="454" s="1"/>
  <c r="I1029" i="454"/>
  <c r="I1028" i="454" s="1"/>
  <c r="I1027" i="454" s="1"/>
  <c r="H1029" i="454"/>
  <c r="H1028" i="454" s="1"/>
  <c r="H1027" i="454" s="1"/>
  <c r="G1029" i="454"/>
  <c r="G1028" i="454" s="1"/>
  <c r="G1027" i="454" s="1"/>
  <c r="F1029" i="454"/>
  <c r="F1028" i="454" s="1"/>
  <c r="F1027" i="454" s="1"/>
  <c r="D1029" i="454"/>
  <c r="AA1026" i="454"/>
  <c r="R1026" i="454"/>
  <c r="AA1024" i="454"/>
  <c r="R1024" i="454"/>
  <c r="Z1023" i="454"/>
  <c r="Z1022" i="454" s="1"/>
  <c r="Y1023" i="454"/>
  <c r="Y1022" i="454" s="1"/>
  <c r="X1023" i="454"/>
  <c r="X1022" i="454" s="1"/>
  <c r="W1023" i="454"/>
  <c r="W1022" i="454" s="1"/>
  <c r="V1023" i="454"/>
  <c r="U1023" i="454"/>
  <c r="U1022" i="454" s="1"/>
  <c r="T1023" i="454"/>
  <c r="T1022" i="454" s="1"/>
  <c r="S1023" i="454"/>
  <c r="S1022" i="454" s="1"/>
  <c r="Q1023" i="454"/>
  <c r="Q1022" i="454" s="1"/>
  <c r="P1023" i="454"/>
  <c r="P1022" i="454" s="1"/>
  <c r="O1023" i="454"/>
  <c r="O1022" i="454" s="1"/>
  <c r="N1023" i="454"/>
  <c r="N1022" i="454" s="1"/>
  <c r="M1023" i="454"/>
  <c r="M1022" i="454" s="1"/>
  <c r="L1023" i="454"/>
  <c r="L1022" i="454" s="1"/>
  <c r="J1023" i="454"/>
  <c r="J1022" i="454" s="1"/>
  <c r="I1023" i="454"/>
  <c r="I1022" i="454" s="1"/>
  <c r="H1023" i="454"/>
  <c r="H1022" i="454" s="1"/>
  <c r="G1023" i="454"/>
  <c r="G1022" i="454" s="1"/>
  <c r="F1023" i="454"/>
  <c r="D1023" i="454"/>
  <c r="D1022" i="454" s="1"/>
  <c r="V1022" i="454"/>
  <c r="AA1021" i="454"/>
  <c r="R1021" i="454"/>
  <c r="AA1020" i="454"/>
  <c r="R1020" i="454"/>
  <c r="AA1019" i="454"/>
  <c r="R1019" i="454"/>
  <c r="Z1018" i="454"/>
  <c r="Z1017" i="454" s="1"/>
  <c r="Y1018" i="454"/>
  <c r="Y1017" i="454" s="1"/>
  <c r="X1018" i="454"/>
  <c r="X1017" i="454" s="1"/>
  <c r="W1018" i="454"/>
  <c r="W1017" i="454" s="1"/>
  <c r="V1018" i="454"/>
  <c r="V1017" i="454" s="1"/>
  <c r="U1018" i="454"/>
  <c r="U1017" i="454" s="1"/>
  <c r="T1018" i="454"/>
  <c r="T1017" i="454" s="1"/>
  <c r="S1018" i="454"/>
  <c r="S1017" i="454" s="1"/>
  <c r="Q1018" i="454"/>
  <c r="P1018" i="454"/>
  <c r="P1017" i="454" s="1"/>
  <c r="O1018" i="454"/>
  <c r="O1017" i="454" s="1"/>
  <c r="N1018" i="454"/>
  <c r="N1017" i="454" s="1"/>
  <c r="M1018" i="454"/>
  <c r="M1017" i="454" s="1"/>
  <c r="L1018" i="454"/>
  <c r="L1017" i="454" s="1"/>
  <c r="J1018" i="454"/>
  <c r="J1017" i="454" s="1"/>
  <c r="I1018" i="454"/>
  <c r="I1017" i="454" s="1"/>
  <c r="H1018" i="454"/>
  <c r="H1017" i="454" s="1"/>
  <c r="G1018" i="454"/>
  <c r="G1017" i="454" s="1"/>
  <c r="F1018" i="454"/>
  <c r="D1018" i="454"/>
  <c r="D1017" i="454" s="1"/>
  <c r="Q1017" i="454"/>
  <c r="AA1014" i="454"/>
  <c r="R1014" i="454"/>
  <c r="AA1013" i="454"/>
  <c r="R1013" i="454"/>
  <c r="Z1012" i="454"/>
  <c r="Y1012" i="454"/>
  <c r="X1012" i="454"/>
  <c r="X1011" i="454" s="1"/>
  <c r="X1010" i="454" s="1"/>
  <c r="W1012" i="454"/>
  <c r="W1011" i="454" s="1"/>
  <c r="W1010" i="454" s="1"/>
  <c r="V1012" i="454"/>
  <c r="V1011" i="454" s="1"/>
  <c r="V1010" i="454" s="1"/>
  <c r="U1012" i="454"/>
  <c r="U1011" i="454" s="1"/>
  <c r="U1010" i="454" s="1"/>
  <c r="T1012" i="454"/>
  <c r="T1011" i="454" s="1"/>
  <c r="T1010" i="454" s="1"/>
  <c r="S1012" i="454"/>
  <c r="S1011" i="454" s="1"/>
  <c r="Q1012" i="454"/>
  <c r="Q1011" i="454" s="1"/>
  <c r="Q1010" i="454" s="1"/>
  <c r="P1012" i="454"/>
  <c r="P1011" i="454" s="1"/>
  <c r="P1010" i="454" s="1"/>
  <c r="O1012" i="454"/>
  <c r="O1011" i="454" s="1"/>
  <c r="O1010" i="454" s="1"/>
  <c r="N1012" i="454"/>
  <c r="N1011" i="454" s="1"/>
  <c r="N1010" i="454" s="1"/>
  <c r="M1012" i="454"/>
  <c r="M1011" i="454" s="1"/>
  <c r="M1010" i="454" s="1"/>
  <c r="L1012" i="454"/>
  <c r="J1012" i="454"/>
  <c r="J1011" i="454" s="1"/>
  <c r="J1010" i="454" s="1"/>
  <c r="I1012" i="454"/>
  <c r="I1011" i="454" s="1"/>
  <c r="I1010" i="454" s="1"/>
  <c r="H1012" i="454"/>
  <c r="H1011" i="454" s="1"/>
  <c r="H1010" i="454" s="1"/>
  <c r="G1012" i="454"/>
  <c r="G1011" i="454" s="1"/>
  <c r="G1010" i="454" s="1"/>
  <c r="F1012" i="454"/>
  <c r="F1011" i="454" s="1"/>
  <c r="F1010" i="454" s="1"/>
  <c r="D1012" i="454"/>
  <c r="Z1011" i="454"/>
  <c r="Z1010" i="454" s="1"/>
  <c r="Y1011" i="454"/>
  <c r="Y1010" i="454" s="1"/>
  <c r="AA1009" i="454"/>
  <c r="R1009" i="454"/>
  <c r="AA1008" i="454"/>
  <c r="R1008" i="454"/>
  <c r="AA1007" i="454"/>
  <c r="R1007" i="454"/>
  <c r="Z1006" i="454"/>
  <c r="Y1006" i="454"/>
  <c r="X1006" i="454"/>
  <c r="W1006" i="454"/>
  <c r="V1006" i="454"/>
  <c r="U1006" i="454"/>
  <c r="T1006" i="454"/>
  <c r="S1006" i="454"/>
  <c r="Q1006" i="454"/>
  <c r="P1006" i="454"/>
  <c r="O1006" i="454"/>
  <c r="N1006" i="454"/>
  <c r="M1006" i="454"/>
  <c r="L1006" i="454"/>
  <c r="J1006" i="454"/>
  <c r="I1006" i="454"/>
  <c r="H1006" i="454"/>
  <c r="G1006" i="454"/>
  <c r="D1006" i="454"/>
  <c r="AA1005" i="454"/>
  <c r="R1005" i="454"/>
  <c r="AA1004" i="454"/>
  <c r="R1004" i="454"/>
  <c r="Z1003" i="454"/>
  <c r="Y1003" i="454"/>
  <c r="X1003" i="454"/>
  <c r="W1003" i="454"/>
  <c r="V1003" i="454"/>
  <c r="U1003" i="454"/>
  <c r="T1003" i="454"/>
  <c r="S1003" i="454"/>
  <c r="Q1003" i="454"/>
  <c r="P1003" i="454"/>
  <c r="O1003" i="454"/>
  <c r="N1003" i="454"/>
  <c r="M1003" i="454"/>
  <c r="L1003" i="454"/>
  <c r="J1003" i="454"/>
  <c r="I1003" i="454"/>
  <c r="H1003" i="454"/>
  <c r="G1003" i="454"/>
  <c r="D1003" i="454"/>
  <c r="AA998" i="454"/>
  <c r="R998" i="454"/>
  <c r="Z992" i="454"/>
  <c r="Y992" i="454"/>
  <c r="X992" i="454"/>
  <c r="W992" i="454"/>
  <c r="V992" i="454"/>
  <c r="U992" i="454"/>
  <c r="T992" i="454"/>
  <c r="S992" i="454"/>
  <c r="Q992" i="454"/>
  <c r="P992" i="454"/>
  <c r="O992" i="454"/>
  <c r="N992" i="454"/>
  <c r="M992" i="454"/>
  <c r="L992" i="454"/>
  <c r="J992" i="454"/>
  <c r="I992" i="454"/>
  <c r="H992" i="454"/>
  <c r="G992" i="454"/>
  <c r="D992" i="454"/>
  <c r="AA993" i="454"/>
  <c r="R993" i="454"/>
  <c r="AA991" i="454"/>
  <c r="R991" i="454"/>
  <c r="Z990" i="454"/>
  <c r="Z987" i="454" s="1"/>
  <c r="Y990" i="454"/>
  <c r="Y987" i="454" s="1"/>
  <c r="X990" i="454"/>
  <c r="X987" i="454" s="1"/>
  <c r="W990" i="454"/>
  <c r="W987" i="454" s="1"/>
  <c r="V990" i="454"/>
  <c r="V987" i="454" s="1"/>
  <c r="U990" i="454"/>
  <c r="U987" i="454" s="1"/>
  <c r="T990" i="454"/>
  <c r="T987" i="454" s="1"/>
  <c r="S990" i="454"/>
  <c r="S987" i="454" s="1"/>
  <c r="Q990" i="454"/>
  <c r="Q987" i="454" s="1"/>
  <c r="P990" i="454"/>
  <c r="P987" i="454" s="1"/>
  <c r="O990" i="454"/>
  <c r="O987" i="454" s="1"/>
  <c r="N990" i="454"/>
  <c r="N987" i="454" s="1"/>
  <c r="M990" i="454"/>
  <c r="M987" i="454" s="1"/>
  <c r="L990" i="454"/>
  <c r="L987" i="454" s="1"/>
  <c r="J990" i="454"/>
  <c r="J987" i="454" s="1"/>
  <c r="I990" i="454"/>
  <c r="I987" i="454" s="1"/>
  <c r="H990" i="454"/>
  <c r="H987" i="454" s="1"/>
  <c r="G990" i="454"/>
  <c r="G987" i="454" s="1"/>
  <c r="D990" i="454"/>
  <c r="D987" i="454" s="1"/>
  <c r="AA989" i="454"/>
  <c r="R989" i="454"/>
  <c r="AA988" i="454"/>
  <c r="R988" i="454"/>
  <c r="AA986" i="454"/>
  <c r="R986" i="454"/>
  <c r="Z985" i="454"/>
  <c r="Z982" i="454" s="1"/>
  <c r="Y985" i="454"/>
  <c r="Y982" i="454" s="1"/>
  <c r="X985" i="454"/>
  <c r="X982" i="454" s="1"/>
  <c r="W985" i="454"/>
  <c r="W982" i="454" s="1"/>
  <c r="V985" i="454"/>
  <c r="V982" i="454" s="1"/>
  <c r="U985" i="454"/>
  <c r="U982" i="454" s="1"/>
  <c r="T985" i="454"/>
  <c r="T982" i="454" s="1"/>
  <c r="S985" i="454"/>
  <c r="S982" i="454" s="1"/>
  <c r="Q985" i="454"/>
  <c r="Q982" i="454" s="1"/>
  <c r="P985" i="454"/>
  <c r="P982" i="454" s="1"/>
  <c r="O985" i="454"/>
  <c r="O982" i="454" s="1"/>
  <c r="N985" i="454"/>
  <c r="N982" i="454" s="1"/>
  <c r="M985" i="454"/>
  <c r="M982" i="454" s="1"/>
  <c r="L985" i="454"/>
  <c r="L982" i="454" s="1"/>
  <c r="J985" i="454"/>
  <c r="J982" i="454" s="1"/>
  <c r="I985" i="454"/>
  <c r="I982" i="454" s="1"/>
  <c r="H985" i="454"/>
  <c r="H982" i="454" s="1"/>
  <c r="G985" i="454"/>
  <c r="G982" i="454" s="1"/>
  <c r="D985" i="454"/>
  <c r="D982" i="454" s="1"/>
  <c r="AA984" i="454"/>
  <c r="R984" i="454"/>
  <c r="AA983" i="454"/>
  <c r="R983" i="454"/>
  <c r="AA979" i="454"/>
  <c r="R979" i="454"/>
  <c r="AA978" i="454"/>
  <c r="R978" i="454"/>
  <c r="Z977" i="454"/>
  <c r="Z976" i="454" s="1"/>
  <c r="Z975" i="454" s="1"/>
  <c r="Y977" i="454"/>
  <c r="Y976" i="454" s="1"/>
  <c r="Y975" i="454" s="1"/>
  <c r="X977" i="454"/>
  <c r="X976" i="454" s="1"/>
  <c r="X975" i="454" s="1"/>
  <c r="W977" i="454"/>
  <c r="W976" i="454" s="1"/>
  <c r="W975" i="454" s="1"/>
  <c r="V977" i="454"/>
  <c r="V976" i="454" s="1"/>
  <c r="V975" i="454" s="1"/>
  <c r="U977" i="454"/>
  <c r="U976" i="454" s="1"/>
  <c r="U975" i="454" s="1"/>
  <c r="T977" i="454"/>
  <c r="T976" i="454" s="1"/>
  <c r="T975" i="454" s="1"/>
  <c r="S977" i="454"/>
  <c r="Q977" i="454"/>
  <c r="P977" i="454"/>
  <c r="P976" i="454" s="1"/>
  <c r="P975" i="454" s="1"/>
  <c r="O977" i="454"/>
  <c r="O976" i="454" s="1"/>
  <c r="O975" i="454" s="1"/>
  <c r="N977" i="454"/>
  <c r="N976" i="454" s="1"/>
  <c r="N975" i="454" s="1"/>
  <c r="M977" i="454"/>
  <c r="M976" i="454" s="1"/>
  <c r="M975" i="454" s="1"/>
  <c r="L977" i="454"/>
  <c r="J977" i="454"/>
  <c r="J976" i="454" s="1"/>
  <c r="J975" i="454" s="1"/>
  <c r="I977" i="454"/>
  <c r="I976" i="454" s="1"/>
  <c r="I975" i="454" s="1"/>
  <c r="H977" i="454"/>
  <c r="H976" i="454" s="1"/>
  <c r="H975" i="454" s="1"/>
  <c r="G977" i="454"/>
  <c r="G976" i="454" s="1"/>
  <c r="G975" i="454" s="1"/>
  <c r="F977" i="454"/>
  <c r="F976" i="454" s="1"/>
  <c r="F975" i="454" s="1"/>
  <c r="D977" i="454"/>
  <c r="Q976" i="454"/>
  <c r="Q975" i="454" s="1"/>
  <c r="AA971" i="454"/>
  <c r="R971" i="454"/>
  <c r="W970" i="454"/>
  <c r="V970" i="454"/>
  <c r="U970" i="454"/>
  <c r="T970" i="454"/>
  <c r="S970" i="454"/>
  <c r="Q970" i="454"/>
  <c r="P970" i="454"/>
  <c r="O970" i="454"/>
  <c r="N970" i="454"/>
  <c r="M970" i="454"/>
  <c r="L970" i="454"/>
  <c r="AA967" i="454"/>
  <c r="R967" i="454"/>
  <c r="AA966" i="454"/>
  <c r="R966" i="454"/>
  <c r="W965" i="454"/>
  <c r="V965" i="454"/>
  <c r="U965" i="454"/>
  <c r="T965" i="454"/>
  <c r="S965" i="454"/>
  <c r="Q965" i="454"/>
  <c r="P965" i="454"/>
  <c r="O965" i="454"/>
  <c r="N965" i="454"/>
  <c r="M965" i="454"/>
  <c r="L965" i="454"/>
  <c r="W964" i="454"/>
  <c r="V964" i="454"/>
  <c r="U964" i="454"/>
  <c r="T964" i="454"/>
  <c r="S964" i="454"/>
  <c r="Q964" i="454"/>
  <c r="P964" i="454"/>
  <c r="O964" i="454"/>
  <c r="N964" i="454"/>
  <c r="M964" i="454"/>
  <c r="L964" i="454"/>
  <c r="AA962" i="454"/>
  <c r="R962" i="454"/>
  <c r="AA961" i="454"/>
  <c r="R961" i="454"/>
  <c r="AA960" i="454"/>
  <c r="R960" i="454"/>
  <c r="AA959" i="454"/>
  <c r="R959" i="454"/>
  <c r="AA958" i="454"/>
  <c r="R958" i="454"/>
  <c r="AA957" i="454"/>
  <c r="R957" i="454"/>
  <c r="AA956" i="454"/>
  <c r="R956" i="454"/>
  <c r="D954" i="454"/>
  <c r="D953" i="454" s="1"/>
  <c r="AA952" i="454"/>
  <c r="R952" i="454"/>
  <c r="AA950" i="454"/>
  <c r="R950" i="454"/>
  <c r="Z949" i="454"/>
  <c r="Y949" i="454"/>
  <c r="X949" i="454"/>
  <c r="W949" i="454"/>
  <c r="V949" i="454"/>
  <c r="U949" i="454"/>
  <c r="T949" i="454"/>
  <c r="S949" i="454"/>
  <c r="Q949" i="454"/>
  <c r="P949" i="454"/>
  <c r="O949" i="454"/>
  <c r="N949" i="454"/>
  <c r="M949" i="454"/>
  <c r="L949" i="454"/>
  <c r="J949" i="454"/>
  <c r="I949" i="454"/>
  <c r="H949" i="454"/>
  <c r="G949" i="454"/>
  <c r="F949" i="454"/>
  <c r="AA948" i="454"/>
  <c r="R948" i="454"/>
  <c r="AA947" i="454"/>
  <c r="R947" i="454"/>
  <c r="AA946" i="454"/>
  <c r="R946" i="454"/>
  <c r="AA945" i="454"/>
  <c r="AA944" i="454"/>
  <c r="AA942" i="454"/>
  <c r="R942" i="454"/>
  <c r="Z941" i="454"/>
  <c r="Z940" i="454" s="1"/>
  <c r="Y941" i="454"/>
  <c r="Y940" i="454" s="1"/>
  <c r="X941" i="454"/>
  <c r="X940" i="454" s="1"/>
  <c r="W941" i="454"/>
  <c r="W940" i="454" s="1"/>
  <c r="V941" i="454"/>
  <c r="V940" i="454" s="1"/>
  <c r="U941" i="454"/>
  <c r="U940" i="454" s="1"/>
  <c r="T941" i="454"/>
  <c r="T940" i="454" s="1"/>
  <c r="S941" i="454"/>
  <c r="S940" i="454" s="1"/>
  <c r="Q941" i="454"/>
  <c r="Q940" i="454" s="1"/>
  <c r="P941" i="454"/>
  <c r="P940" i="454" s="1"/>
  <c r="O941" i="454"/>
  <c r="O940" i="454" s="1"/>
  <c r="N941" i="454"/>
  <c r="N940" i="454" s="1"/>
  <c r="M941" i="454"/>
  <c r="M940" i="454" s="1"/>
  <c r="L941" i="454"/>
  <c r="L940" i="454" s="1"/>
  <c r="J941" i="454"/>
  <c r="J940" i="454" s="1"/>
  <c r="I941" i="454"/>
  <c r="I940" i="454" s="1"/>
  <c r="H941" i="454"/>
  <c r="H940" i="454" s="1"/>
  <c r="G941" i="454"/>
  <c r="G940" i="454" s="1"/>
  <c r="F941" i="454"/>
  <c r="F940" i="454" s="1"/>
  <c r="D941" i="454"/>
  <c r="D940" i="454" s="1"/>
  <c r="AA939" i="454"/>
  <c r="R939" i="454"/>
  <c r="AA936" i="454"/>
  <c r="R936" i="454"/>
  <c r="AA935" i="454"/>
  <c r="R935" i="454"/>
  <c r="AA934" i="454"/>
  <c r="R934" i="454"/>
  <c r="Z933" i="454"/>
  <c r="Y933" i="454"/>
  <c r="X933" i="454"/>
  <c r="W933" i="454"/>
  <c r="V933" i="454"/>
  <c r="U933" i="454"/>
  <c r="T933" i="454"/>
  <c r="S933" i="454"/>
  <c r="Q933" i="454"/>
  <c r="P933" i="454"/>
  <c r="O933" i="454"/>
  <c r="N933" i="454"/>
  <c r="M933" i="454"/>
  <c r="L933" i="454"/>
  <c r="J933" i="454"/>
  <c r="I933" i="454"/>
  <c r="H933" i="454"/>
  <c r="G933" i="454"/>
  <c r="F933" i="454"/>
  <c r="D933" i="454"/>
  <c r="AA932" i="454"/>
  <c r="R932" i="454"/>
  <c r="AA931" i="454"/>
  <c r="R931" i="454"/>
  <c r="AA930" i="454"/>
  <c r="R930" i="454"/>
  <c r="Z929" i="454"/>
  <c r="Y929" i="454"/>
  <c r="X929" i="454"/>
  <c r="W929" i="454"/>
  <c r="V929" i="454"/>
  <c r="U929" i="454"/>
  <c r="T929" i="454"/>
  <c r="S929" i="454"/>
  <c r="Q929" i="454"/>
  <c r="P929" i="454"/>
  <c r="O929" i="454"/>
  <c r="N929" i="454"/>
  <c r="M929" i="454"/>
  <c r="L929" i="454"/>
  <c r="J929" i="454"/>
  <c r="I929" i="454"/>
  <c r="H929" i="454"/>
  <c r="D929" i="454"/>
  <c r="AA926" i="454"/>
  <c r="R926" i="454"/>
  <c r="AA925" i="454"/>
  <c r="R925" i="454"/>
  <c r="AA924" i="454"/>
  <c r="R924" i="454"/>
  <c r="AA923" i="454"/>
  <c r="R923" i="454"/>
  <c r="Z922" i="454"/>
  <c r="Z921" i="454" s="1"/>
  <c r="Y922" i="454"/>
  <c r="Y921" i="454" s="1"/>
  <c r="X922" i="454"/>
  <c r="X921" i="454" s="1"/>
  <c r="W922" i="454"/>
  <c r="W921" i="454" s="1"/>
  <c r="V922" i="454"/>
  <c r="V921" i="454" s="1"/>
  <c r="U922" i="454"/>
  <c r="U921" i="454" s="1"/>
  <c r="T922" i="454"/>
  <c r="T921" i="454" s="1"/>
  <c r="S922" i="454"/>
  <c r="S921" i="454" s="1"/>
  <c r="Q922" i="454"/>
  <c r="Q921" i="454" s="1"/>
  <c r="P922" i="454"/>
  <c r="P921" i="454" s="1"/>
  <c r="O922" i="454"/>
  <c r="O921" i="454" s="1"/>
  <c r="N922" i="454"/>
  <c r="N921" i="454" s="1"/>
  <c r="M922" i="454"/>
  <c r="M921" i="454" s="1"/>
  <c r="L922" i="454"/>
  <c r="J922" i="454"/>
  <c r="J921" i="454" s="1"/>
  <c r="I922" i="454"/>
  <c r="H922" i="454"/>
  <c r="H921" i="454" s="1"/>
  <c r="G922" i="454"/>
  <c r="G921" i="454" s="1"/>
  <c r="D922" i="454"/>
  <c r="D921" i="454" s="1"/>
  <c r="I921" i="454"/>
  <c r="AA919" i="454"/>
  <c r="R919" i="454"/>
  <c r="Z918" i="454"/>
  <c r="Z917" i="454" s="1"/>
  <c r="Z916" i="454" s="1"/>
  <c r="Y918" i="454"/>
  <c r="Y917" i="454" s="1"/>
  <c r="Y916" i="454" s="1"/>
  <c r="X918" i="454"/>
  <c r="X917" i="454" s="1"/>
  <c r="X916" i="454" s="1"/>
  <c r="W918" i="454"/>
  <c r="W917" i="454" s="1"/>
  <c r="W916" i="454" s="1"/>
  <c r="V918" i="454"/>
  <c r="V917" i="454" s="1"/>
  <c r="V916" i="454" s="1"/>
  <c r="U918" i="454"/>
  <c r="U917" i="454" s="1"/>
  <c r="U916" i="454" s="1"/>
  <c r="T918" i="454"/>
  <c r="T917" i="454" s="1"/>
  <c r="T916" i="454" s="1"/>
  <c r="S918" i="454"/>
  <c r="S917" i="454" s="1"/>
  <c r="Q918" i="454"/>
  <c r="Q917" i="454" s="1"/>
  <c r="Q916" i="454" s="1"/>
  <c r="P918" i="454"/>
  <c r="P917" i="454" s="1"/>
  <c r="P916" i="454" s="1"/>
  <c r="O918" i="454"/>
  <c r="O917" i="454" s="1"/>
  <c r="O916" i="454" s="1"/>
  <c r="N918" i="454"/>
  <c r="N917" i="454" s="1"/>
  <c r="N916" i="454" s="1"/>
  <c r="M918" i="454"/>
  <c r="M917" i="454" s="1"/>
  <c r="M916" i="454" s="1"/>
  <c r="L918" i="454"/>
  <c r="L917" i="454" s="1"/>
  <c r="L916" i="454" s="1"/>
  <c r="J918" i="454"/>
  <c r="J917" i="454" s="1"/>
  <c r="J916" i="454" s="1"/>
  <c r="I918" i="454"/>
  <c r="I917" i="454" s="1"/>
  <c r="I916" i="454" s="1"/>
  <c r="H918" i="454"/>
  <c r="H917" i="454" s="1"/>
  <c r="H916" i="454" s="1"/>
  <c r="G918" i="454"/>
  <c r="G917" i="454" s="1"/>
  <c r="G916" i="454" s="1"/>
  <c r="D918" i="454"/>
  <c r="D917" i="454" s="1"/>
  <c r="D916" i="454" s="1"/>
  <c r="AA915" i="454"/>
  <c r="R915" i="454"/>
  <c r="AA914" i="454"/>
  <c r="R914" i="454"/>
  <c r="AA913" i="454"/>
  <c r="R913" i="454"/>
  <c r="AA912" i="454"/>
  <c r="R912" i="454"/>
  <c r="Z911" i="454"/>
  <c r="Z910" i="454" s="1"/>
  <c r="Y911" i="454"/>
  <c r="Y910" i="454" s="1"/>
  <c r="X911" i="454"/>
  <c r="X910" i="454" s="1"/>
  <c r="W911" i="454"/>
  <c r="W910" i="454" s="1"/>
  <c r="V911" i="454"/>
  <c r="V910" i="454" s="1"/>
  <c r="U911" i="454"/>
  <c r="U910" i="454" s="1"/>
  <c r="T911" i="454"/>
  <c r="T910" i="454" s="1"/>
  <c r="S911" i="454"/>
  <c r="S910" i="454" s="1"/>
  <c r="Q911" i="454"/>
  <c r="Q910" i="454" s="1"/>
  <c r="P911" i="454"/>
  <c r="P910" i="454" s="1"/>
  <c r="O911" i="454"/>
  <c r="O910" i="454" s="1"/>
  <c r="N911" i="454"/>
  <c r="N910" i="454" s="1"/>
  <c r="M911" i="454"/>
  <c r="L911" i="454"/>
  <c r="L910" i="454" s="1"/>
  <c r="J911" i="454"/>
  <c r="J910" i="454" s="1"/>
  <c r="I911" i="454"/>
  <c r="I910" i="454" s="1"/>
  <c r="H911" i="454"/>
  <c r="H910" i="454" s="1"/>
  <c r="G911" i="454"/>
  <c r="G910" i="454" s="1"/>
  <c r="D911" i="454"/>
  <c r="AA908" i="454"/>
  <c r="R908" i="454"/>
  <c r="AA906" i="454"/>
  <c r="R906" i="454"/>
  <c r="Z905" i="454"/>
  <c r="Y905" i="454"/>
  <c r="X905" i="454"/>
  <c r="W905" i="454"/>
  <c r="V905" i="454"/>
  <c r="U905" i="454"/>
  <c r="T905" i="454"/>
  <c r="S905" i="454"/>
  <c r="Q905" i="454"/>
  <c r="P905" i="454"/>
  <c r="O905" i="454"/>
  <c r="N905" i="454"/>
  <c r="M905" i="454"/>
  <c r="L905" i="454"/>
  <c r="J905" i="454"/>
  <c r="I905" i="454"/>
  <c r="H905" i="454"/>
  <c r="G905" i="454"/>
  <c r="F905" i="454"/>
  <c r="AA904" i="454"/>
  <c r="R904" i="454"/>
  <c r="Z903" i="454"/>
  <c r="Y903" i="454"/>
  <c r="X903" i="454"/>
  <c r="W903" i="454"/>
  <c r="V903" i="454"/>
  <c r="U903" i="454"/>
  <c r="T903" i="454"/>
  <c r="S903" i="454"/>
  <c r="Q903" i="454"/>
  <c r="P903" i="454"/>
  <c r="O903" i="454"/>
  <c r="N903" i="454"/>
  <c r="M903" i="454"/>
  <c r="L903" i="454"/>
  <c r="J903" i="454"/>
  <c r="I903" i="454"/>
  <c r="H903" i="454"/>
  <c r="G903" i="454"/>
  <c r="D903" i="454"/>
  <c r="AA900" i="454"/>
  <c r="R900" i="454"/>
  <c r="Z899" i="454"/>
  <c r="Z896" i="454" s="1"/>
  <c r="Y899" i="454"/>
  <c r="Y896" i="454" s="1"/>
  <c r="X899" i="454"/>
  <c r="X896" i="454" s="1"/>
  <c r="W899" i="454"/>
  <c r="W896" i="454" s="1"/>
  <c r="V899" i="454"/>
  <c r="V896" i="454" s="1"/>
  <c r="U899" i="454"/>
  <c r="U896" i="454" s="1"/>
  <c r="T899" i="454"/>
  <c r="T896" i="454" s="1"/>
  <c r="S899" i="454"/>
  <c r="S896" i="454" s="1"/>
  <c r="Q899" i="454"/>
  <c r="Q896" i="454" s="1"/>
  <c r="P899" i="454"/>
  <c r="P896" i="454" s="1"/>
  <c r="O899" i="454"/>
  <c r="O896" i="454" s="1"/>
  <c r="N899" i="454"/>
  <c r="N896" i="454" s="1"/>
  <c r="M899" i="454"/>
  <c r="M896" i="454" s="1"/>
  <c r="L899" i="454"/>
  <c r="L896" i="454" s="1"/>
  <c r="J899" i="454"/>
  <c r="J896" i="454" s="1"/>
  <c r="I899" i="454"/>
  <c r="I896" i="454" s="1"/>
  <c r="H899" i="454"/>
  <c r="H896" i="454" s="1"/>
  <c r="G899" i="454"/>
  <c r="G896" i="454" s="1"/>
  <c r="D899" i="454"/>
  <c r="D896" i="454" s="1"/>
  <c r="AA898" i="454"/>
  <c r="R898" i="454"/>
  <c r="AA897" i="454"/>
  <c r="R897" i="454"/>
  <c r="AA895" i="454"/>
  <c r="R895" i="454"/>
  <c r="AA894" i="454"/>
  <c r="R894" i="454"/>
  <c r="AA893" i="454"/>
  <c r="R893" i="454"/>
  <c r="Z892" i="454"/>
  <c r="Z885" i="454" s="1"/>
  <c r="Y892" i="454"/>
  <c r="Y885" i="454" s="1"/>
  <c r="X892" i="454"/>
  <c r="X885" i="454" s="1"/>
  <c r="W892" i="454"/>
  <c r="W885" i="454" s="1"/>
  <c r="V892" i="454"/>
  <c r="V885" i="454" s="1"/>
  <c r="U892" i="454"/>
  <c r="U885" i="454" s="1"/>
  <c r="T892" i="454"/>
  <c r="T885" i="454" s="1"/>
  <c r="S892" i="454"/>
  <c r="S885" i="454" s="1"/>
  <c r="Q892" i="454"/>
  <c r="Q885" i="454" s="1"/>
  <c r="P892" i="454"/>
  <c r="P885" i="454" s="1"/>
  <c r="O892" i="454"/>
  <c r="O885" i="454" s="1"/>
  <c r="N892" i="454"/>
  <c r="N885" i="454" s="1"/>
  <c r="M892" i="454"/>
  <c r="M885" i="454" s="1"/>
  <c r="L892" i="454"/>
  <c r="L885" i="454" s="1"/>
  <c r="J892" i="454"/>
  <c r="J885" i="454" s="1"/>
  <c r="I892" i="454"/>
  <c r="I885" i="454" s="1"/>
  <c r="H892" i="454"/>
  <c r="H885" i="454" s="1"/>
  <c r="G892" i="454"/>
  <c r="G885" i="454" s="1"/>
  <c r="F892" i="454"/>
  <c r="F885" i="454" s="1"/>
  <c r="D892" i="454"/>
  <c r="D885" i="454" s="1"/>
  <c r="AA886" i="454"/>
  <c r="R886" i="454"/>
  <c r="AA883" i="454"/>
  <c r="R883" i="454"/>
  <c r="AA882" i="454"/>
  <c r="R882" i="454"/>
  <c r="AA881" i="454"/>
  <c r="R881" i="454"/>
  <c r="Z880" i="454"/>
  <c r="Z873" i="454" s="1"/>
  <c r="Y880" i="454"/>
  <c r="Y873" i="454" s="1"/>
  <c r="X880" i="454"/>
  <c r="X873" i="454" s="1"/>
  <c r="W880" i="454"/>
  <c r="W873" i="454" s="1"/>
  <c r="V880" i="454"/>
  <c r="V873" i="454" s="1"/>
  <c r="U880" i="454"/>
  <c r="U873" i="454" s="1"/>
  <c r="T880" i="454"/>
  <c r="T873" i="454" s="1"/>
  <c r="S880" i="454"/>
  <c r="S873" i="454" s="1"/>
  <c r="Q880" i="454"/>
  <c r="Q873" i="454" s="1"/>
  <c r="P880" i="454"/>
  <c r="P873" i="454" s="1"/>
  <c r="O880" i="454"/>
  <c r="O873" i="454" s="1"/>
  <c r="N880" i="454"/>
  <c r="N873" i="454" s="1"/>
  <c r="M880" i="454"/>
  <c r="M873" i="454" s="1"/>
  <c r="L880" i="454"/>
  <c r="J880" i="454"/>
  <c r="J873" i="454" s="1"/>
  <c r="I880" i="454"/>
  <c r="I873" i="454" s="1"/>
  <c r="H880" i="454"/>
  <c r="H873" i="454" s="1"/>
  <c r="G880" i="454"/>
  <c r="G873" i="454" s="1"/>
  <c r="F880" i="454"/>
  <c r="D880" i="454"/>
  <c r="D873" i="454" s="1"/>
  <c r="AA879" i="454"/>
  <c r="R879" i="454"/>
  <c r="AA878" i="454"/>
  <c r="R878" i="454"/>
  <c r="AA877" i="454"/>
  <c r="R877" i="454"/>
  <c r="AA876" i="454"/>
  <c r="R876" i="454"/>
  <c r="AA875" i="454"/>
  <c r="R875" i="454"/>
  <c r="AA874" i="454"/>
  <c r="R874" i="454"/>
  <c r="AA872" i="454"/>
  <c r="R872" i="454"/>
  <c r="AA871" i="454"/>
  <c r="R871" i="454"/>
  <c r="AA870" i="454"/>
  <c r="R870" i="454"/>
  <c r="Z869" i="454"/>
  <c r="Z862" i="454" s="1"/>
  <c r="Y869" i="454"/>
  <c r="Y862" i="454" s="1"/>
  <c r="X869" i="454"/>
  <c r="X862" i="454" s="1"/>
  <c r="W869" i="454"/>
  <c r="W862" i="454" s="1"/>
  <c r="V869" i="454"/>
  <c r="V862" i="454" s="1"/>
  <c r="U869" i="454"/>
  <c r="U862" i="454" s="1"/>
  <c r="T869" i="454"/>
  <c r="T862" i="454" s="1"/>
  <c r="S869" i="454"/>
  <c r="Q869" i="454"/>
  <c r="Q862" i="454" s="1"/>
  <c r="P869" i="454"/>
  <c r="P862" i="454" s="1"/>
  <c r="O869" i="454"/>
  <c r="O862" i="454" s="1"/>
  <c r="N869" i="454"/>
  <c r="N862" i="454" s="1"/>
  <c r="M869" i="454"/>
  <c r="M862" i="454" s="1"/>
  <c r="L869" i="454"/>
  <c r="L862" i="454" s="1"/>
  <c r="J869" i="454"/>
  <c r="J862" i="454" s="1"/>
  <c r="I869" i="454"/>
  <c r="I862" i="454" s="1"/>
  <c r="H869" i="454"/>
  <c r="H862" i="454" s="1"/>
  <c r="G869" i="454"/>
  <c r="G862" i="454" s="1"/>
  <c r="F869" i="454"/>
  <c r="D869" i="454"/>
  <c r="D862" i="454" s="1"/>
  <c r="AA868" i="454"/>
  <c r="R868" i="454"/>
  <c r="AA867" i="454"/>
  <c r="R867" i="454"/>
  <c r="AA866" i="454"/>
  <c r="R866" i="454"/>
  <c r="AA865" i="454"/>
  <c r="R865" i="454"/>
  <c r="AA864" i="454"/>
  <c r="R864" i="454"/>
  <c r="AA863" i="454"/>
  <c r="R863" i="454"/>
  <c r="AA860" i="454"/>
  <c r="R860" i="454"/>
  <c r="AA859" i="454"/>
  <c r="R859" i="454"/>
  <c r="Z858" i="454"/>
  <c r="Z853" i="454" s="1"/>
  <c r="Z852" i="454" s="1"/>
  <c r="Y858" i="454"/>
  <c r="Y853" i="454" s="1"/>
  <c r="Y852" i="454" s="1"/>
  <c r="X858" i="454"/>
  <c r="X853" i="454" s="1"/>
  <c r="X852" i="454" s="1"/>
  <c r="W858" i="454"/>
  <c r="W853" i="454" s="1"/>
  <c r="W852" i="454" s="1"/>
  <c r="V858" i="454"/>
  <c r="V853" i="454" s="1"/>
  <c r="V852" i="454" s="1"/>
  <c r="U858" i="454"/>
  <c r="U853" i="454" s="1"/>
  <c r="U852" i="454" s="1"/>
  <c r="T858" i="454"/>
  <c r="T853" i="454" s="1"/>
  <c r="T852" i="454" s="1"/>
  <c r="S858" i="454"/>
  <c r="S853" i="454" s="1"/>
  <c r="S852" i="454" s="1"/>
  <c r="Q858" i="454"/>
  <c r="Q853" i="454" s="1"/>
  <c r="Q852" i="454" s="1"/>
  <c r="P858" i="454"/>
  <c r="P853" i="454" s="1"/>
  <c r="P852" i="454" s="1"/>
  <c r="O858" i="454"/>
  <c r="O853" i="454" s="1"/>
  <c r="O852" i="454" s="1"/>
  <c r="N858" i="454"/>
  <c r="N853" i="454" s="1"/>
  <c r="N852" i="454" s="1"/>
  <c r="M858" i="454"/>
  <c r="M853" i="454" s="1"/>
  <c r="M852" i="454" s="1"/>
  <c r="L858" i="454"/>
  <c r="J858" i="454"/>
  <c r="J853" i="454" s="1"/>
  <c r="J852" i="454" s="1"/>
  <c r="I858" i="454"/>
  <c r="I853" i="454" s="1"/>
  <c r="I852" i="454" s="1"/>
  <c r="H858" i="454"/>
  <c r="H853" i="454" s="1"/>
  <c r="H852" i="454" s="1"/>
  <c r="G858" i="454"/>
  <c r="G853" i="454" s="1"/>
  <c r="G852" i="454" s="1"/>
  <c r="F858" i="454"/>
  <c r="D858" i="454"/>
  <c r="AA857" i="454"/>
  <c r="R857" i="454"/>
  <c r="AA856" i="454"/>
  <c r="R856" i="454"/>
  <c r="AA855" i="454"/>
  <c r="R855" i="454"/>
  <c r="AA854" i="454"/>
  <c r="R854" i="454"/>
  <c r="D854" i="454"/>
  <c r="AA850" i="454"/>
  <c r="R850" i="454"/>
  <c r="AA849" i="454"/>
  <c r="R849" i="454"/>
  <c r="AA848" i="454"/>
  <c r="R848" i="454"/>
  <c r="Z847" i="454"/>
  <c r="Z844" i="454" s="1"/>
  <c r="Y847" i="454"/>
  <c r="Y844" i="454" s="1"/>
  <c r="X847" i="454"/>
  <c r="X844" i="454" s="1"/>
  <c r="W847" i="454"/>
  <c r="W844" i="454" s="1"/>
  <c r="V847" i="454"/>
  <c r="V844" i="454" s="1"/>
  <c r="U847" i="454"/>
  <c r="U844" i="454" s="1"/>
  <c r="T847" i="454"/>
  <c r="T844" i="454" s="1"/>
  <c r="S847" i="454"/>
  <c r="S844" i="454" s="1"/>
  <c r="Q847" i="454"/>
  <c r="P847" i="454"/>
  <c r="P844" i="454" s="1"/>
  <c r="O847" i="454"/>
  <c r="O844" i="454" s="1"/>
  <c r="N847" i="454"/>
  <c r="N844" i="454" s="1"/>
  <c r="M847" i="454"/>
  <c r="M844" i="454" s="1"/>
  <c r="L847" i="454"/>
  <c r="L844" i="454" s="1"/>
  <c r="J847" i="454"/>
  <c r="J844" i="454" s="1"/>
  <c r="I847" i="454"/>
  <c r="I844" i="454" s="1"/>
  <c r="H847" i="454"/>
  <c r="H844" i="454" s="1"/>
  <c r="G847" i="454"/>
  <c r="G844" i="454" s="1"/>
  <c r="F847" i="454"/>
  <c r="D847" i="454"/>
  <c r="D844" i="454" s="1"/>
  <c r="AA846" i="454"/>
  <c r="R846" i="454"/>
  <c r="AA845" i="454"/>
  <c r="R845" i="454"/>
  <c r="Q844" i="454"/>
  <c r="AA842" i="454"/>
  <c r="R842" i="454"/>
  <c r="Z836" i="454"/>
  <c r="Y836" i="454"/>
  <c r="X836" i="454"/>
  <c r="V836" i="454"/>
  <c r="U836" i="454"/>
  <c r="T836" i="454"/>
  <c r="S836" i="454"/>
  <c r="P836" i="454"/>
  <c r="O836" i="454"/>
  <c r="N836" i="454"/>
  <c r="M836" i="454"/>
  <c r="J836" i="454"/>
  <c r="I836" i="454"/>
  <c r="H836" i="454"/>
  <c r="D836" i="454"/>
  <c r="AA837" i="454"/>
  <c r="R837" i="454"/>
  <c r="W836" i="454"/>
  <c r="Q836" i="454"/>
  <c r="G836" i="454"/>
  <c r="F835" i="454"/>
  <c r="AA834" i="454"/>
  <c r="R834" i="454"/>
  <c r="AA833" i="454"/>
  <c r="R833" i="454"/>
  <c r="AA832" i="454"/>
  <c r="R832" i="454"/>
  <c r="Z831" i="454"/>
  <c r="Z824" i="454" s="1"/>
  <c r="Z823" i="454" s="1"/>
  <c r="Y831" i="454"/>
  <c r="Y824" i="454" s="1"/>
  <c r="Y823" i="454" s="1"/>
  <c r="X831" i="454"/>
  <c r="X824" i="454" s="1"/>
  <c r="X823" i="454" s="1"/>
  <c r="W831" i="454"/>
  <c r="W824" i="454" s="1"/>
  <c r="W823" i="454" s="1"/>
  <c r="V831" i="454"/>
  <c r="V824" i="454" s="1"/>
  <c r="V823" i="454" s="1"/>
  <c r="U831" i="454"/>
  <c r="U824" i="454" s="1"/>
  <c r="U823" i="454" s="1"/>
  <c r="T831" i="454"/>
  <c r="T824" i="454" s="1"/>
  <c r="T823" i="454" s="1"/>
  <c r="S831" i="454"/>
  <c r="Q831" i="454"/>
  <c r="Q824" i="454" s="1"/>
  <c r="Q823" i="454" s="1"/>
  <c r="P831" i="454"/>
  <c r="P824" i="454" s="1"/>
  <c r="P823" i="454" s="1"/>
  <c r="O831" i="454"/>
  <c r="O824" i="454" s="1"/>
  <c r="O823" i="454" s="1"/>
  <c r="N831" i="454"/>
  <c r="N824" i="454" s="1"/>
  <c r="N823" i="454" s="1"/>
  <c r="M831" i="454"/>
  <c r="M824" i="454" s="1"/>
  <c r="M823" i="454" s="1"/>
  <c r="L831" i="454"/>
  <c r="L824" i="454" s="1"/>
  <c r="J831" i="454"/>
  <c r="J824" i="454" s="1"/>
  <c r="J823" i="454" s="1"/>
  <c r="I831" i="454"/>
  <c r="I824" i="454" s="1"/>
  <c r="I823" i="454" s="1"/>
  <c r="H831" i="454"/>
  <c r="H824" i="454" s="1"/>
  <c r="H823" i="454" s="1"/>
  <c r="G831" i="454"/>
  <c r="G824" i="454" s="1"/>
  <c r="G823" i="454" s="1"/>
  <c r="F831" i="454"/>
  <c r="F824" i="454" s="1"/>
  <c r="F823" i="454" s="1"/>
  <c r="D831" i="454"/>
  <c r="D824" i="454" s="1"/>
  <c r="D823" i="454" s="1"/>
  <c r="AA830" i="454"/>
  <c r="R830" i="454"/>
  <c r="AA829" i="454"/>
  <c r="R829" i="454"/>
  <c r="AA828" i="454"/>
  <c r="R828" i="454"/>
  <c r="AA827" i="454"/>
  <c r="R827" i="454"/>
  <c r="AA826" i="454"/>
  <c r="R826" i="454"/>
  <c r="AA825" i="454"/>
  <c r="R825" i="454"/>
  <c r="AA816" i="454"/>
  <c r="R816" i="454"/>
  <c r="AA815" i="454"/>
  <c r="R815" i="454"/>
  <c r="AA814" i="454"/>
  <c r="R814" i="454"/>
  <c r="AA813" i="454"/>
  <c r="R813" i="454"/>
  <c r="AA812" i="454"/>
  <c r="R812" i="454"/>
  <c r="AA811" i="454"/>
  <c r="R811" i="454"/>
  <c r="AA810" i="454"/>
  <c r="R810" i="454"/>
  <c r="AA809" i="454"/>
  <c r="R809" i="454"/>
  <c r="AA808" i="454"/>
  <c r="R808" i="454"/>
  <c r="AA807" i="454"/>
  <c r="R807" i="454"/>
  <c r="AA806" i="454"/>
  <c r="R806" i="454"/>
  <c r="AA805" i="454"/>
  <c r="R805" i="454"/>
  <c r="AA804" i="454"/>
  <c r="R804" i="454"/>
  <c r="AA803" i="454"/>
  <c r="R803" i="454"/>
  <c r="AA802" i="454"/>
  <c r="R802" i="454"/>
  <c r="AA801" i="454"/>
  <c r="R801" i="454"/>
  <c r="AA800" i="454"/>
  <c r="R800" i="454"/>
  <c r="AA799" i="454"/>
  <c r="R799" i="454"/>
  <c r="AA798" i="454"/>
  <c r="R798" i="454"/>
  <c r="AA797" i="454"/>
  <c r="R797" i="454"/>
  <c r="AA796" i="454"/>
  <c r="R796" i="454"/>
  <c r="AA795" i="454"/>
  <c r="R795" i="454"/>
  <c r="AA794" i="454"/>
  <c r="R794" i="454"/>
  <c r="AA793" i="454"/>
  <c r="R793" i="454"/>
  <c r="AA792" i="454"/>
  <c r="R792" i="454"/>
  <c r="AA791" i="454"/>
  <c r="R791" i="454"/>
  <c r="AA790" i="454"/>
  <c r="R790" i="454"/>
  <c r="AA789" i="454"/>
  <c r="R789" i="454"/>
  <c r="AA788" i="454"/>
  <c r="R788" i="454"/>
  <c r="AA787" i="454"/>
  <c r="R787" i="454"/>
  <c r="AA786" i="454"/>
  <c r="R786" i="454"/>
  <c r="AA785" i="454"/>
  <c r="R785" i="454"/>
  <c r="AA784" i="454"/>
  <c r="R784" i="454"/>
  <c r="AA783" i="454"/>
  <c r="R783" i="454"/>
  <c r="AA782" i="454"/>
  <c r="R782" i="454"/>
  <c r="AA781" i="454"/>
  <c r="R781" i="454"/>
  <c r="AA780" i="454"/>
  <c r="R780" i="454"/>
  <c r="AA779" i="454"/>
  <c r="R779" i="454"/>
  <c r="AA778" i="454"/>
  <c r="R778" i="454"/>
  <c r="AA777" i="454"/>
  <c r="R777" i="454"/>
  <c r="AA776" i="454"/>
  <c r="R776" i="454"/>
  <c r="AA775" i="454"/>
  <c r="R775" i="454"/>
  <c r="AA774" i="454"/>
  <c r="R774" i="454"/>
  <c r="AA773" i="454"/>
  <c r="R773" i="454"/>
  <c r="AA772" i="454"/>
  <c r="R772" i="454"/>
  <c r="Z771" i="454"/>
  <c r="Y771" i="454"/>
  <c r="X771" i="454"/>
  <c r="W771" i="454"/>
  <c r="V771" i="454"/>
  <c r="U771" i="454"/>
  <c r="T771" i="454"/>
  <c r="S771" i="454"/>
  <c r="Q771" i="454"/>
  <c r="P771" i="454"/>
  <c r="O771" i="454"/>
  <c r="N771" i="454"/>
  <c r="M771" i="454"/>
  <c r="L771" i="454"/>
  <c r="J771" i="454"/>
  <c r="I771" i="454"/>
  <c r="H771" i="454"/>
  <c r="G771" i="454"/>
  <c r="F771" i="454"/>
  <c r="D771" i="454"/>
  <c r="AA770" i="454"/>
  <c r="R770" i="454"/>
  <c r="Z769" i="454"/>
  <c r="Y769" i="454"/>
  <c r="X769" i="454"/>
  <c r="W769" i="454"/>
  <c r="V769" i="454"/>
  <c r="U769" i="454"/>
  <c r="T769" i="454"/>
  <c r="S769" i="454"/>
  <c r="Q769" i="454"/>
  <c r="P769" i="454"/>
  <c r="O769" i="454"/>
  <c r="N769" i="454"/>
  <c r="M769" i="454"/>
  <c r="L769" i="454"/>
  <c r="J769" i="454"/>
  <c r="I769" i="454"/>
  <c r="H769" i="454"/>
  <c r="G769" i="454"/>
  <c r="F769" i="454"/>
  <c r="D769" i="454"/>
  <c r="AA768" i="454"/>
  <c r="R768" i="454"/>
  <c r="Z767" i="454"/>
  <c r="Y767" i="454"/>
  <c r="X767" i="454"/>
  <c r="W767" i="454"/>
  <c r="V767" i="454"/>
  <c r="U767" i="454"/>
  <c r="T767" i="454"/>
  <c r="S767" i="454"/>
  <c r="Q767" i="454"/>
  <c r="P767" i="454"/>
  <c r="O767" i="454"/>
  <c r="N767" i="454"/>
  <c r="M767" i="454"/>
  <c r="L767" i="454"/>
  <c r="J767" i="454"/>
  <c r="I767" i="454"/>
  <c r="H767" i="454"/>
  <c r="G767" i="454"/>
  <c r="F767" i="454"/>
  <c r="D767" i="454"/>
  <c r="AA766" i="454"/>
  <c r="R766" i="454"/>
  <c r="Z765" i="454"/>
  <c r="Y765" i="454"/>
  <c r="X765" i="454"/>
  <c r="W765" i="454"/>
  <c r="V765" i="454"/>
  <c r="U765" i="454"/>
  <c r="T765" i="454"/>
  <c r="S765" i="454"/>
  <c r="Q765" i="454"/>
  <c r="P765" i="454"/>
  <c r="O765" i="454"/>
  <c r="N765" i="454"/>
  <c r="M765" i="454"/>
  <c r="L765" i="454"/>
  <c r="J765" i="454"/>
  <c r="I765" i="454"/>
  <c r="H765" i="454"/>
  <c r="G765" i="454"/>
  <c r="F765" i="454"/>
  <c r="D765" i="454"/>
  <c r="AA764" i="454"/>
  <c r="R764" i="454"/>
  <c r="Z763" i="454"/>
  <c r="Y763" i="454"/>
  <c r="X763" i="454"/>
  <c r="W763" i="454"/>
  <c r="V763" i="454"/>
  <c r="U763" i="454"/>
  <c r="T763" i="454"/>
  <c r="S763" i="454"/>
  <c r="Q763" i="454"/>
  <c r="P763" i="454"/>
  <c r="O763" i="454"/>
  <c r="N763" i="454"/>
  <c r="M763" i="454"/>
  <c r="L763" i="454"/>
  <c r="J763" i="454"/>
  <c r="I763" i="454"/>
  <c r="H763" i="454"/>
  <c r="G763" i="454"/>
  <c r="F763" i="454"/>
  <c r="D763" i="454"/>
  <c r="AA762" i="454"/>
  <c r="R762" i="454"/>
  <c r="Z761" i="454"/>
  <c r="Y761" i="454"/>
  <c r="X761" i="454"/>
  <c r="W761" i="454"/>
  <c r="V761" i="454"/>
  <c r="U761" i="454"/>
  <c r="T761" i="454"/>
  <c r="S761" i="454"/>
  <c r="Q761" i="454"/>
  <c r="P761" i="454"/>
  <c r="O761" i="454"/>
  <c r="N761" i="454"/>
  <c r="M761" i="454"/>
  <c r="L761" i="454"/>
  <c r="J761" i="454"/>
  <c r="I761" i="454"/>
  <c r="H761" i="454"/>
  <c r="G761" i="454"/>
  <c r="F761" i="454"/>
  <c r="D761" i="454"/>
  <c r="AA760" i="454"/>
  <c r="R760" i="454"/>
  <c r="Z759" i="454"/>
  <c r="Y759" i="454"/>
  <c r="X759" i="454"/>
  <c r="W759" i="454"/>
  <c r="V759" i="454"/>
  <c r="U759" i="454"/>
  <c r="T759" i="454"/>
  <c r="S759" i="454"/>
  <c r="Q759" i="454"/>
  <c r="P759" i="454"/>
  <c r="O759" i="454"/>
  <c r="N759" i="454"/>
  <c r="M759" i="454"/>
  <c r="L759" i="454"/>
  <c r="J759" i="454"/>
  <c r="I759" i="454"/>
  <c r="H759" i="454"/>
  <c r="G759" i="454"/>
  <c r="F759" i="454"/>
  <c r="D759" i="454"/>
  <c r="AA757" i="454"/>
  <c r="R757" i="454"/>
  <c r="AA756" i="454"/>
  <c r="R756" i="454"/>
  <c r="AA755" i="454"/>
  <c r="R755" i="454"/>
  <c r="AA754" i="454"/>
  <c r="R754" i="454"/>
  <c r="Z753" i="454"/>
  <c r="Y753" i="454"/>
  <c r="X753" i="454"/>
  <c r="W753" i="454"/>
  <c r="V753" i="454"/>
  <c r="U753" i="454"/>
  <c r="T753" i="454"/>
  <c r="S753" i="454"/>
  <c r="Q753" i="454"/>
  <c r="P753" i="454"/>
  <c r="O753" i="454"/>
  <c r="N753" i="454"/>
  <c r="M753" i="454"/>
  <c r="L753" i="454"/>
  <c r="J753" i="454"/>
  <c r="I753" i="454"/>
  <c r="H753" i="454"/>
  <c r="G753" i="454"/>
  <c r="F753" i="454"/>
  <c r="D753" i="454"/>
  <c r="AA752" i="454"/>
  <c r="R752" i="454"/>
  <c r="Z751" i="454"/>
  <c r="Y751" i="454"/>
  <c r="X751" i="454"/>
  <c r="W751" i="454"/>
  <c r="V751" i="454"/>
  <c r="U751" i="454"/>
  <c r="T751" i="454"/>
  <c r="S751" i="454"/>
  <c r="Q751" i="454"/>
  <c r="P751" i="454"/>
  <c r="O751" i="454"/>
  <c r="N751" i="454"/>
  <c r="M751" i="454"/>
  <c r="L751" i="454"/>
  <c r="J751" i="454"/>
  <c r="I751" i="454"/>
  <c r="H751" i="454"/>
  <c r="G751" i="454"/>
  <c r="F751" i="454"/>
  <c r="D751" i="454"/>
  <c r="AA750" i="454"/>
  <c r="R750" i="454"/>
  <c r="Z749" i="454"/>
  <c r="Y749" i="454"/>
  <c r="X749" i="454"/>
  <c r="W749" i="454"/>
  <c r="V749" i="454"/>
  <c r="U749" i="454"/>
  <c r="T749" i="454"/>
  <c r="S749" i="454"/>
  <c r="Q749" i="454"/>
  <c r="P749" i="454"/>
  <c r="O749" i="454"/>
  <c r="N749" i="454"/>
  <c r="M749" i="454"/>
  <c r="L749" i="454"/>
  <c r="J749" i="454"/>
  <c r="I749" i="454"/>
  <c r="H749" i="454"/>
  <c r="G749" i="454"/>
  <c r="F749" i="454"/>
  <c r="D749" i="454"/>
  <c r="AA748" i="454"/>
  <c r="R748" i="454"/>
  <c r="AA747" i="454"/>
  <c r="R747" i="454"/>
  <c r="Z746" i="454"/>
  <c r="Y746" i="454"/>
  <c r="X746" i="454"/>
  <c r="W746" i="454"/>
  <c r="V746" i="454"/>
  <c r="U746" i="454"/>
  <c r="T746" i="454"/>
  <c r="S746" i="454"/>
  <c r="Q746" i="454"/>
  <c r="P746" i="454"/>
  <c r="O746" i="454"/>
  <c r="N746" i="454"/>
  <c r="M746" i="454"/>
  <c r="L746" i="454"/>
  <c r="J746" i="454"/>
  <c r="I746" i="454"/>
  <c r="H746" i="454"/>
  <c r="G746" i="454"/>
  <c r="F746" i="454"/>
  <c r="D746" i="454"/>
  <c r="AA744" i="454"/>
  <c r="R744" i="454"/>
  <c r="Z743" i="454"/>
  <c r="Y743" i="454"/>
  <c r="X743" i="454"/>
  <c r="W743" i="454"/>
  <c r="V743" i="454"/>
  <c r="U743" i="454"/>
  <c r="T743" i="454"/>
  <c r="S743" i="454"/>
  <c r="Q743" i="454"/>
  <c r="P743" i="454"/>
  <c r="O743" i="454"/>
  <c r="N743" i="454"/>
  <c r="M743" i="454"/>
  <c r="L743" i="454"/>
  <c r="J743" i="454"/>
  <c r="I743" i="454"/>
  <c r="H743" i="454"/>
  <c r="G743" i="454"/>
  <c r="F743" i="454"/>
  <c r="D743" i="454"/>
  <c r="AA742" i="454"/>
  <c r="R742" i="454"/>
  <c r="Z741" i="454"/>
  <c r="Y741" i="454"/>
  <c r="X741" i="454"/>
  <c r="W741" i="454"/>
  <c r="V741" i="454"/>
  <c r="U741" i="454"/>
  <c r="T741" i="454"/>
  <c r="S741" i="454"/>
  <c r="Q741" i="454"/>
  <c r="P741" i="454"/>
  <c r="O741" i="454"/>
  <c r="N741" i="454"/>
  <c r="M741" i="454"/>
  <c r="L741" i="454"/>
  <c r="J741" i="454"/>
  <c r="I741" i="454"/>
  <c r="H741" i="454"/>
  <c r="G741" i="454"/>
  <c r="F741" i="454"/>
  <c r="D741" i="454"/>
  <c r="AA740" i="454"/>
  <c r="R740" i="454"/>
  <c r="Z739" i="454"/>
  <c r="Y739" i="454"/>
  <c r="X739" i="454"/>
  <c r="W739" i="454"/>
  <c r="V739" i="454"/>
  <c r="U739" i="454"/>
  <c r="T739" i="454"/>
  <c r="S739" i="454"/>
  <c r="Q739" i="454"/>
  <c r="P739" i="454"/>
  <c r="O739" i="454"/>
  <c r="N739" i="454"/>
  <c r="M739" i="454"/>
  <c r="L739" i="454"/>
  <c r="J739" i="454"/>
  <c r="I739" i="454"/>
  <c r="H739" i="454"/>
  <c r="G739" i="454"/>
  <c r="F739" i="454"/>
  <c r="D739" i="454"/>
  <c r="AA738" i="454"/>
  <c r="R738" i="454"/>
  <c r="Z737" i="454"/>
  <c r="Y737" i="454"/>
  <c r="X737" i="454"/>
  <c r="W737" i="454"/>
  <c r="V737" i="454"/>
  <c r="U737" i="454"/>
  <c r="T737" i="454"/>
  <c r="S737" i="454"/>
  <c r="Q737" i="454"/>
  <c r="P737" i="454"/>
  <c r="O737" i="454"/>
  <c r="N737" i="454"/>
  <c r="M737" i="454"/>
  <c r="L737" i="454"/>
  <c r="J737" i="454"/>
  <c r="I737" i="454"/>
  <c r="H737" i="454"/>
  <c r="G737" i="454"/>
  <c r="F737" i="454"/>
  <c r="D737" i="454"/>
  <c r="AA736" i="454"/>
  <c r="R736" i="454"/>
  <c r="Z735" i="454"/>
  <c r="Y735" i="454"/>
  <c r="X735" i="454"/>
  <c r="W735" i="454"/>
  <c r="V735" i="454"/>
  <c r="U735" i="454"/>
  <c r="T735" i="454"/>
  <c r="S735" i="454"/>
  <c r="Q735" i="454"/>
  <c r="P735" i="454"/>
  <c r="O735" i="454"/>
  <c r="N735" i="454"/>
  <c r="M735" i="454"/>
  <c r="L735" i="454"/>
  <c r="J735" i="454"/>
  <c r="I735" i="454"/>
  <c r="H735" i="454"/>
  <c r="G735" i="454"/>
  <c r="F735" i="454"/>
  <c r="D735" i="454"/>
  <c r="AA734" i="454"/>
  <c r="R734" i="454"/>
  <c r="Z733" i="454"/>
  <c r="Y733" i="454"/>
  <c r="X733" i="454"/>
  <c r="W733" i="454"/>
  <c r="V733" i="454"/>
  <c r="U733" i="454"/>
  <c r="T733" i="454"/>
  <c r="S733" i="454"/>
  <c r="Q733" i="454"/>
  <c r="P733" i="454"/>
  <c r="O733" i="454"/>
  <c r="N733" i="454"/>
  <c r="M733" i="454"/>
  <c r="L733" i="454"/>
  <c r="J733" i="454"/>
  <c r="I733" i="454"/>
  <c r="H733" i="454"/>
  <c r="G733" i="454"/>
  <c r="F733" i="454"/>
  <c r="D733" i="454"/>
  <c r="AA732" i="454"/>
  <c r="R732" i="454"/>
  <c r="Z731" i="454"/>
  <c r="Y731" i="454"/>
  <c r="X731" i="454"/>
  <c r="W731" i="454"/>
  <c r="V731" i="454"/>
  <c r="U731" i="454"/>
  <c r="T731" i="454"/>
  <c r="S731" i="454"/>
  <c r="Q731" i="454"/>
  <c r="P731" i="454"/>
  <c r="O731" i="454"/>
  <c r="N731" i="454"/>
  <c r="M731" i="454"/>
  <c r="L731" i="454"/>
  <c r="J731" i="454"/>
  <c r="I731" i="454"/>
  <c r="H731" i="454"/>
  <c r="G731" i="454"/>
  <c r="F731" i="454"/>
  <c r="D731" i="454"/>
  <c r="AA730" i="454"/>
  <c r="R730" i="454"/>
  <c r="Z729" i="454"/>
  <c r="Y729" i="454"/>
  <c r="X729" i="454"/>
  <c r="W729" i="454"/>
  <c r="V729" i="454"/>
  <c r="U729" i="454"/>
  <c r="T729" i="454"/>
  <c r="S729" i="454"/>
  <c r="Q729" i="454"/>
  <c r="P729" i="454"/>
  <c r="O729" i="454"/>
  <c r="N729" i="454"/>
  <c r="M729" i="454"/>
  <c r="L729" i="454"/>
  <c r="J729" i="454"/>
  <c r="I729" i="454"/>
  <c r="H729" i="454"/>
  <c r="G729" i="454"/>
  <c r="F729" i="454"/>
  <c r="D729" i="454"/>
  <c r="AA728" i="454"/>
  <c r="R728" i="454"/>
  <c r="AA727" i="454"/>
  <c r="R727" i="454"/>
  <c r="AA726" i="454"/>
  <c r="R726" i="454"/>
  <c r="Z725" i="454"/>
  <c r="Y725" i="454"/>
  <c r="X725" i="454"/>
  <c r="X724" i="454" s="1"/>
  <c r="W725" i="454"/>
  <c r="W724" i="454" s="1"/>
  <c r="V725" i="454"/>
  <c r="V724" i="454" s="1"/>
  <c r="U725" i="454"/>
  <c r="U724" i="454" s="1"/>
  <c r="T725" i="454"/>
  <c r="T724" i="454" s="1"/>
  <c r="S725" i="454"/>
  <c r="S724" i="454" s="1"/>
  <c r="Q725" i="454"/>
  <c r="Q724" i="454" s="1"/>
  <c r="P725" i="454"/>
  <c r="P724" i="454" s="1"/>
  <c r="O725" i="454"/>
  <c r="O724" i="454" s="1"/>
  <c r="N725" i="454"/>
  <c r="N724" i="454" s="1"/>
  <c r="M725" i="454"/>
  <c r="M724" i="454" s="1"/>
  <c r="L725" i="454"/>
  <c r="L724" i="454" s="1"/>
  <c r="J725" i="454"/>
  <c r="J724" i="454" s="1"/>
  <c r="I725" i="454"/>
  <c r="I724" i="454" s="1"/>
  <c r="H725" i="454"/>
  <c r="H724" i="454" s="1"/>
  <c r="G725" i="454"/>
  <c r="G724" i="454" s="1"/>
  <c r="F725" i="454"/>
  <c r="F724" i="454" s="1"/>
  <c r="D725" i="454"/>
  <c r="D724" i="454" s="1"/>
  <c r="Z724" i="454"/>
  <c r="Y724" i="454"/>
  <c r="AA718" i="454"/>
  <c r="R718" i="454"/>
  <c r="AA717" i="454"/>
  <c r="R717" i="454"/>
  <c r="AA716" i="454"/>
  <c r="R716" i="454"/>
  <c r="AA715" i="454"/>
  <c r="R715" i="454"/>
  <c r="AA714" i="454"/>
  <c r="R714" i="454"/>
  <c r="Z713" i="454"/>
  <c r="Y713" i="454"/>
  <c r="X713" i="454"/>
  <c r="W713" i="454"/>
  <c r="V713" i="454"/>
  <c r="U713" i="454"/>
  <c r="T713" i="454"/>
  <c r="S713" i="454"/>
  <c r="Q713" i="454"/>
  <c r="P713" i="454"/>
  <c r="O713" i="454"/>
  <c r="N713" i="454"/>
  <c r="M713" i="454"/>
  <c r="L713" i="454"/>
  <c r="J713" i="454"/>
  <c r="I713" i="454"/>
  <c r="H713" i="454"/>
  <c r="G713" i="454"/>
  <c r="F713" i="454"/>
  <c r="D713" i="454"/>
  <c r="AA712" i="454"/>
  <c r="R712" i="454"/>
  <c r="AA711" i="454"/>
  <c r="R711" i="454"/>
  <c r="AA710" i="454"/>
  <c r="R710" i="454"/>
  <c r="AA709" i="454"/>
  <c r="R709" i="454"/>
  <c r="Z708" i="454"/>
  <c r="Y708" i="454"/>
  <c r="X708" i="454"/>
  <c r="W708" i="454"/>
  <c r="V708" i="454"/>
  <c r="U708" i="454"/>
  <c r="T708" i="454"/>
  <c r="S708" i="454"/>
  <c r="Q708" i="454"/>
  <c r="P708" i="454"/>
  <c r="O708" i="454"/>
  <c r="N708" i="454"/>
  <c r="M708" i="454"/>
  <c r="L708" i="454"/>
  <c r="J708" i="454"/>
  <c r="I708" i="454"/>
  <c r="H708" i="454"/>
  <c r="G708" i="454"/>
  <c r="F708" i="454"/>
  <c r="D708" i="454"/>
  <c r="AA702" i="454"/>
  <c r="R702" i="454"/>
  <c r="AA701" i="454"/>
  <c r="R701" i="454"/>
  <c r="AA700" i="454"/>
  <c r="R700" i="454"/>
  <c r="AA699" i="454"/>
  <c r="R699" i="454"/>
  <c r="AA695" i="454"/>
  <c r="R695" i="454"/>
  <c r="AA694" i="454"/>
  <c r="R694" i="454"/>
  <c r="AA693" i="454"/>
  <c r="R693" i="454"/>
  <c r="AA692" i="454"/>
  <c r="R692" i="454"/>
  <c r="AA691" i="454"/>
  <c r="R691" i="454"/>
  <c r="AA690" i="454"/>
  <c r="R690" i="454"/>
  <c r="AA689" i="454"/>
  <c r="R689" i="454"/>
  <c r="AA688" i="454"/>
  <c r="R688" i="454"/>
  <c r="AA687" i="454"/>
  <c r="R687" i="454"/>
  <c r="AA686" i="454"/>
  <c r="R686" i="454"/>
  <c r="AA685" i="454"/>
  <c r="R685" i="454"/>
  <c r="AA684" i="454"/>
  <c r="R684" i="454"/>
  <c r="AA683" i="454"/>
  <c r="R683" i="454"/>
  <c r="AA682" i="454"/>
  <c r="R682" i="454"/>
  <c r="AA681" i="454"/>
  <c r="R681" i="454"/>
  <c r="AA680" i="454"/>
  <c r="R680" i="454"/>
  <c r="AA679" i="454"/>
  <c r="R679" i="454"/>
  <c r="AA678" i="454"/>
  <c r="R678" i="454"/>
  <c r="AA677" i="454"/>
  <c r="R677" i="454"/>
  <c r="AA676" i="454"/>
  <c r="R676" i="454"/>
  <c r="AA675" i="454"/>
  <c r="R675" i="454"/>
  <c r="AA674" i="454"/>
  <c r="R674" i="454"/>
  <c r="AA673" i="454"/>
  <c r="R673" i="454"/>
  <c r="AA672" i="454"/>
  <c r="R672" i="454"/>
  <c r="AA671" i="454"/>
  <c r="R671" i="454"/>
  <c r="AA670" i="454"/>
  <c r="R670" i="454"/>
  <c r="AA669" i="454"/>
  <c r="R669" i="454"/>
  <c r="AA668" i="454"/>
  <c r="R668" i="454"/>
  <c r="AA667" i="454"/>
  <c r="R667" i="454"/>
  <c r="AA666" i="454"/>
  <c r="R666" i="454"/>
  <c r="AA665" i="454"/>
  <c r="R665" i="454"/>
  <c r="AA664" i="454"/>
  <c r="R664" i="454"/>
  <c r="AA663" i="454"/>
  <c r="R663" i="454"/>
  <c r="AA662" i="454"/>
  <c r="R662" i="454"/>
  <c r="AA661" i="454"/>
  <c r="R661" i="454"/>
  <c r="AA660" i="454"/>
  <c r="R660" i="454"/>
  <c r="AA659" i="454"/>
  <c r="R659" i="454"/>
  <c r="AA658" i="454"/>
  <c r="R658" i="454"/>
  <c r="AA657" i="454"/>
  <c r="R657" i="454"/>
  <c r="AA656" i="454"/>
  <c r="R656" i="454"/>
  <c r="AA655" i="454"/>
  <c r="R655" i="454"/>
  <c r="AA654" i="454"/>
  <c r="R654" i="454"/>
  <c r="AA653" i="454"/>
  <c r="R653" i="454"/>
  <c r="AA652" i="454"/>
  <c r="R652" i="454"/>
  <c r="AA651" i="454"/>
  <c r="R651" i="454"/>
  <c r="AA650" i="454"/>
  <c r="R650" i="454"/>
  <c r="AA649" i="454"/>
  <c r="R649" i="454"/>
  <c r="AA648" i="454"/>
  <c r="R648" i="454"/>
  <c r="AA647" i="454"/>
  <c r="R647" i="454"/>
  <c r="AA646" i="454"/>
  <c r="R646" i="454"/>
  <c r="AA645" i="454"/>
  <c r="R645" i="454"/>
  <c r="AA644" i="454"/>
  <c r="R644" i="454"/>
  <c r="AA643" i="454"/>
  <c r="R643" i="454"/>
  <c r="AA642" i="454"/>
  <c r="R642" i="454"/>
  <c r="AA641" i="454"/>
  <c r="R641" i="454"/>
  <c r="AA640" i="454"/>
  <c r="R640" i="454"/>
  <c r="AA639" i="454"/>
  <c r="R639" i="454"/>
  <c r="AA638" i="454"/>
  <c r="R638" i="454"/>
  <c r="AA637" i="454"/>
  <c r="R637" i="454"/>
  <c r="AA636" i="454"/>
  <c r="R636" i="454"/>
  <c r="AA635" i="454"/>
  <c r="R635" i="454"/>
  <c r="AA634" i="454"/>
  <c r="R634" i="454"/>
  <c r="AA633" i="454"/>
  <c r="R633" i="454"/>
  <c r="Z632" i="454"/>
  <c r="Y632" i="454"/>
  <c r="X632" i="454"/>
  <c r="W632" i="454"/>
  <c r="V632" i="454"/>
  <c r="U632" i="454"/>
  <c r="T632" i="454"/>
  <c r="S632" i="454"/>
  <c r="Q632" i="454"/>
  <c r="P632" i="454"/>
  <c r="O632" i="454"/>
  <c r="N632" i="454"/>
  <c r="M632" i="454"/>
  <c r="L632" i="454"/>
  <c r="J632" i="454"/>
  <c r="I632" i="454"/>
  <c r="H632" i="454"/>
  <c r="G632" i="454"/>
  <c r="F632" i="454"/>
  <c r="D632" i="454"/>
  <c r="AA631" i="454"/>
  <c r="R631" i="454"/>
  <c r="Z630" i="454"/>
  <c r="Y630" i="454"/>
  <c r="X630" i="454"/>
  <c r="W630" i="454"/>
  <c r="V630" i="454"/>
  <c r="U630" i="454"/>
  <c r="T630" i="454"/>
  <c r="S630" i="454"/>
  <c r="Q630" i="454"/>
  <c r="P630" i="454"/>
  <c r="O630" i="454"/>
  <c r="N630" i="454"/>
  <c r="M630" i="454"/>
  <c r="L630" i="454"/>
  <c r="J630" i="454"/>
  <c r="I630" i="454"/>
  <c r="H630" i="454"/>
  <c r="G630" i="454"/>
  <c r="F630" i="454"/>
  <c r="D630" i="454"/>
  <c r="AA629" i="454"/>
  <c r="R629" i="454"/>
  <c r="AA628" i="454"/>
  <c r="R628" i="454"/>
  <c r="Z627" i="454"/>
  <c r="Y627" i="454"/>
  <c r="X627" i="454"/>
  <c r="W627" i="454"/>
  <c r="V627" i="454"/>
  <c r="U627" i="454"/>
  <c r="T627" i="454"/>
  <c r="S627" i="454"/>
  <c r="Q627" i="454"/>
  <c r="P627" i="454"/>
  <c r="O627" i="454"/>
  <c r="N627" i="454"/>
  <c r="M627" i="454"/>
  <c r="L627" i="454"/>
  <c r="J627" i="454"/>
  <c r="I627" i="454"/>
  <c r="H627" i="454"/>
  <c r="G627" i="454"/>
  <c r="F627" i="454"/>
  <c r="D627" i="454"/>
  <c r="AA626" i="454"/>
  <c r="R626" i="454"/>
  <c r="Z625" i="454"/>
  <c r="Y625" i="454"/>
  <c r="X625" i="454"/>
  <c r="W625" i="454"/>
  <c r="V625" i="454"/>
  <c r="U625" i="454"/>
  <c r="T625" i="454"/>
  <c r="S625" i="454"/>
  <c r="Q625" i="454"/>
  <c r="P625" i="454"/>
  <c r="O625" i="454"/>
  <c r="N625" i="454"/>
  <c r="M625" i="454"/>
  <c r="L625" i="454"/>
  <c r="J625" i="454"/>
  <c r="I625" i="454"/>
  <c r="H625" i="454"/>
  <c r="G625" i="454"/>
  <c r="F625" i="454"/>
  <c r="D625" i="454"/>
  <c r="AA624" i="454"/>
  <c r="R624" i="454"/>
  <c r="Z623" i="454"/>
  <c r="Y623" i="454"/>
  <c r="X623" i="454"/>
  <c r="W623" i="454"/>
  <c r="V623" i="454"/>
  <c r="U623" i="454"/>
  <c r="T623" i="454"/>
  <c r="S623" i="454"/>
  <c r="Q623" i="454"/>
  <c r="P623" i="454"/>
  <c r="O623" i="454"/>
  <c r="N623" i="454"/>
  <c r="M623" i="454"/>
  <c r="L623" i="454"/>
  <c r="J623" i="454"/>
  <c r="I623" i="454"/>
  <c r="H623" i="454"/>
  <c r="G623" i="454"/>
  <c r="F623" i="454"/>
  <c r="D623" i="454"/>
  <c r="AA622" i="454"/>
  <c r="R622" i="454"/>
  <c r="Z621" i="454"/>
  <c r="Y621" i="454"/>
  <c r="X621" i="454"/>
  <c r="W621" i="454"/>
  <c r="V621" i="454"/>
  <c r="U621" i="454"/>
  <c r="T621" i="454"/>
  <c r="S621" i="454"/>
  <c r="Q621" i="454"/>
  <c r="P621" i="454"/>
  <c r="O621" i="454"/>
  <c r="N621" i="454"/>
  <c r="M621" i="454"/>
  <c r="L621" i="454"/>
  <c r="J621" i="454"/>
  <c r="I621" i="454"/>
  <c r="H621" i="454"/>
  <c r="G621" i="454"/>
  <c r="F621" i="454"/>
  <c r="D621" i="454"/>
  <c r="AA620" i="454"/>
  <c r="R620" i="454"/>
  <c r="AA619" i="454"/>
  <c r="R619" i="454"/>
  <c r="Z618" i="454"/>
  <c r="Y618" i="454"/>
  <c r="X618" i="454"/>
  <c r="W618" i="454"/>
  <c r="V618" i="454"/>
  <c r="U618" i="454"/>
  <c r="T618" i="454"/>
  <c r="S618" i="454"/>
  <c r="Q618" i="454"/>
  <c r="P618" i="454"/>
  <c r="O618" i="454"/>
  <c r="N618" i="454"/>
  <c r="M618" i="454"/>
  <c r="L618" i="454"/>
  <c r="J618" i="454"/>
  <c r="I618" i="454"/>
  <c r="H618" i="454"/>
  <c r="G618" i="454"/>
  <c r="F618" i="454"/>
  <c r="D618" i="454"/>
  <c r="AA616" i="454"/>
  <c r="R616" i="454"/>
  <c r="AA615" i="454"/>
  <c r="R615" i="454"/>
  <c r="AA614" i="454"/>
  <c r="R614" i="454"/>
  <c r="AA613" i="454"/>
  <c r="R613" i="454"/>
  <c r="AA610" i="454"/>
  <c r="R610" i="454"/>
  <c r="Z609" i="454"/>
  <c r="Y609" i="454"/>
  <c r="X609" i="454"/>
  <c r="W609" i="454"/>
  <c r="V609" i="454"/>
  <c r="U609" i="454"/>
  <c r="T609" i="454"/>
  <c r="S609" i="454"/>
  <c r="Q609" i="454"/>
  <c r="P609" i="454"/>
  <c r="O609" i="454"/>
  <c r="N609" i="454"/>
  <c r="M609" i="454"/>
  <c r="L609" i="454"/>
  <c r="J609" i="454"/>
  <c r="I609" i="454"/>
  <c r="H609" i="454"/>
  <c r="G609" i="454"/>
  <c r="F609" i="454"/>
  <c r="D609" i="454"/>
  <c r="AA608" i="454"/>
  <c r="R608" i="454"/>
  <c r="AA607" i="454"/>
  <c r="R607" i="454"/>
  <c r="Z606" i="454"/>
  <c r="Z605" i="454" s="1"/>
  <c r="Y606" i="454"/>
  <c r="X606" i="454"/>
  <c r="X605" i="454" s="1"/>
  <c r="W606" i="454"/>
  <c r="V606" i="454"/>
  <c r="V605" i="454" s="1"/>
  <c r="U606" i="454"/>
  <c r="T606" i="454"/>
  <c r="T605" i="454" s="1"/>
  <c r="S606" i="454"/>
  <c r="Q606" i="454"/>
  <c r="P606" i="454"/>
  <c r="O606" i="454"/>
  <c r="N606" i="454"/>
  <c r="M606" i="454"/>
  <c r="L606" i="454"/>
  <c r="J606" i="454"/>
  <c r="J605" i="454" s="1"/>
  <c r="I606" i="454"/>
  <c r="H606" i="454"/>
  <c r="H605" i="454" s="1"/>
  <c r="G606" i="454"/>
  <c r="F606" i="454"/>
  <c r="F605" i="454" s="1"/>
  <c r="D606" i="454"/>
  <c r="AA604" i="454"/>
  <c r="R604" i="454"/>
  <c r="Z603" i="454"/>
  <c r="Y603" i="454"/>
  <c r="X603" i="454"/>
  <c r="W603" i="454"/>
  <c r="V603" i="454"/>
  <c r="U603" i="454"/>
  <c r="T603" i="454"/>
  <c r="S603" i="454"/>
  <c r="Q603" i="454"/>
  <c r="P603" i="454"/>
  <c r="O603" i="454"/>
  <c r="N603" i="454"/>
  <c r="M603" i="454"/>
  <c r="L603" i="454"/>
  <c r="J603" i="454"/>
  <c r="I603" i="454"/>
  <c r="H603" i="454"/>
  <c r="G603" i="454"/>
  <c r="F603" i="454"/>
  <c r="D603" i="454"/>
  <c r="AA602" i="454"/>
  <c r="R602" i="454"/>
  <c r="Z601" i="454"/>
  <c r="Y601" i="454"/>
  <c r="X601" i="454"/>
  <c r="W601" i="454"/>
  <c r="V601" i="454"/>
  <c r="U601" i="454"/>
  <c r="T601" i="454"/>
  <c r="S601" i="454"/>
  <c r="Q601" i="454"/>
  <c r="P601" i="454"/>
  <c r="O601" i="454"/>
  <c r="N601" i="454"/>
  <c r="M601" i="454"/>
  <c r="L601" i="454"/>
  <c r="J601" i="454"/>
  <c r="I601" i="454"/>
  <c r="H601" i="454"/>
  <c r="G601" i="454"/>
  <c r="F601" i="454"/>
  <c r="D601" i="454"/>
  <c r="AA600" i="454"/>
  <c r="R600" i="454"/>
  <c r="Z599" i="454"/>
  <c r="Y599" i="454"/>
  <c r="X599" i="454"/>
  <c r="W599" i="454"/>
  <c r="V599" i="454"/>
  <c r="U599" i="454"/>
  <c r="T599" i="454"/>
  <c r="S599" i="454"/>
  <c r="Q599" i="454"/>
  <c r="P599" i="454"/>
  <c r="O599" i="454"/>
  <c r="N599" i="454"/>
  <c r="M599" i="454"/>
  <c r="L599" i="454"/>
  <c r="J599" i="454"/>
  <c r="I599" i="454"/>
  <c r="H599" i="454"/>
  <c r="G599" i="454"/>
  <c r="F599" i="454"/>
  <c r="D599" i="454"/>
  <c r="AA598" i="454"/>
  <c r="R598" i="454"/>
  <c r="Z597" i="454"/>
  <c r="Y597" i="454"/>
  <c r="X597" i="454"/>
  <c r="W597" i="454"/>
  <c r="V597" i="454"/>
  <c r="U597" i="454"/>
  <c r="T597" i="454"/>
  <c r="S597" i="454"/>
  <c r="Q597" i="454"/>
  <c r="P597" i="454"/>
  <c r="O597" i="454"/>
  <c r="N597" i="454"/>
  <c r="M597" i="454"/>
  <c r="L597" i="454"/>
  <c r="J597" i="454"/>
  <c r="I597" i="454"/>
  <c r="H597" i="454"/>
  <c r="G597" i="454"/>
  <c r="F597" i="454"/>
  <c r="D597" i="454"/>
  <c r="AA596" i="454"/>
  <c r="R596" i="454"/>
  <c r="AA595" i="454"/>
  <c r="R595" i="454"/>
  <c r="Z594" i="454"/>
  <c r="Y594" i="454"/>
  <c r="X594" i="454"/>
  <c r="W594" i="454"/>
  <c r="V594" i="454"/>
  <c r="U594" i="454"/>
  <c r="T594" i="454"/>
  <c r="S594" i="454"/>
  <c r="Q594" i="454"/>
  <c r="P594" i="454"/>
  <c r="O594" i="454"/>
  <c r="N594" i="454"/>
  <c r="M594" i="454"/>
  <c r="L594" i="454"/>
  <c r="J594" i="454"/>
  <c r="I594" i="454"/>
  <c r="H594" i="454"/>
  <c r="G594" i="454"/>
  <c r="F594" i="454"/>
  <c r="D594" i="454"/>
  <c r="AA593" i="454"/>
  <c r="R593" i="454"/>
  <c r="Z592" i="454"/>
  <c r="Y592" i="454"/>
  <c r="X592" i="454"/>
  <c r="W592" i="454"/>
  <c r="V592" i="454"/>
  <c r="U592" i="454"/>
  <c r="T592" i="454"/>
  <c r="S592" i="454"/>
  <c r="Q592" i="454"/>
  <c r="P592" i="454"/>
  <c r="O592" i="454"/>
  <c r="N592" i="454"/>
  <c r="M592" i="454"/>
  <c r="L592" i="454"/>
  <c r="J592" i="454"/>
  <c r="I592" i="454"/>
  <c r="H592" i="454"/>
  <c r="G592" i="454"/>
  <c r="F592" i="454"/>
  <c r="D592" i="454"/>
  <c r="AA591" i="454"/>
  <c r="R591" i="454"/>
  <c r="AA590" i="454"/>
  <c r="R590" i="454"/>
  <c r="Z589" i="454"/>
  <c r="Y589" i="454"/>
  <c r="X589" i="454"/>
  <c r="W589" i="454"/>
  <c r="V589" i="454"/>
  <c r="U589" i="454"/>
  <c r="T589" i="454"/>
  <c r="S589" i="454"/>
  <c r="Q589" i="454"/>
  <c r="P589" i="454"/>
  <c r="O589" i="454"/>
  <c r="N589" i="454"/>
  <c r="M589" i="454"/>
  <c r="L589" i="454"/>
  <c r="J589" i="454"/>
  <c r="I589" i="454"/>
  <c r="H589" i="454"/>
  <c r="G589" i="454"/>
  <c r="F589" i="454"/>
  <c r="D589" i="454"/>
  <c r="AA588" i="454"/>
  <c r="R588" i="454"/>
  <c r="Z587" i="454"/>
  <c r="Z586" i="454" s="1"/>
  <c r="Y587" i="454"/>
  <c r="Y586" i="454" s="1"/>
  <c r="X587" i="454"/>
  <c r="X586" i="454" s="1"/>
  <c r="W587" i="454"/>
  <c r="W586" i="454" s="1"/>
  <c r="V587" i="454"/>
  <c r="V586" i="454" s="1"/>
  <c r="U587" i="454"/>
  <c r="U586" i="454" s="1"/>
  <c r="T587" i="454"/>
  <c r="T586" i="454" s="1"/>
  <c r="S587" i="454"/>
  <c r="S586" i="454" s="1"/>
  <c r="Q587" i="454"/>
  <c r="Q586" i="454" s="1"/>
  <c r="P587" i="454"/>
  <c r="P586" i="454" s="1"/>
  <c r="O587" i="454"/>
  <c r="O586" i="454" s="1"/>
  <c r="N587" i="454"/>
  <c r="N586" i="454" s="1"/>
  <c r="M587" i="454"/>
  <c r="M586" i="454" s="1"/>
  <c r="L587" i="454"/>
  <c r="L586" i="454" s="1"/>
  <c r="J587" i="454"/>
  <c r="J586" i="454" s="1"/>
  <c r="I587" i="454"/>
  <c r="I586" i="454" s="1"/>
  <c r="H587" i="454"/>
  <c r="H586" i="454" s="1"/>
  <c r="G587" i="454"/>
  <c r="G586" i="454" s="1"/>
  <c r="F587" i="454"/>
  <c r="F586" i="454" s="1"/>
  <c r="D587" i="454"/>
  <c r="D586" i="454" s="1"/>
  <c r="AA585" i="454"/>
  <c r="R585" i="454"/>
  <c r="Z584" i="454"/>
  <c r="Y584" i="454"/>
  <c r="X584" i="454"/>
  <c r="W584" i="454"/>
  <c r="V584" i="454"/>
  <c r="U584" i="454"/>
  <c r="T584" i="454"/>
  <c r="S584" i="454"/>
  <c r="Q584" i="454"/>
  <c r="P584" i="454"/>
  <c r="O584" i="454"/>
  <c r="N584" i="454"/>
  <c r="M584" i="454"/>
  <c r="L584" i="454"/>
  <c r="J584" i="454"/>
  <c r="I584" i="454"/>
  <c r="H584" i="454"/>
  <c r="G584" i="454"/>
  <c r="F584" i="454"/>
  <c r="D584" i="454"/>
  <c r="AA583" i="454"/>
  <c r="R583" i="454"/>
  <c r="Z582" i="454"/>
  <c r="Y582" i="454"/>
  <c r="X582" i="454"/>
  <c r="W582" i="454"/>
  <c r="V582" i="454"/>
  <c r="U582" i="454"/>
  <c r="T582" i="454"/>
  <c r="S582" i="454"/>
  <c r="Q582" i="454"/>
  <c r="P582" i="454"/>
  <c r="O582" i="454"/>
  <c r="N582" i="454"/>
  <c r="M582" i="454"/>
  <c r="L582" i="454"/>
  <c r="J582" i="454"/>
  <c r="I582" i="454"/>
  <c r="H582" i="454"/>
  <c r="G582" i="454"/>
  <c r="F582" i="454"/>
  <c r="D582" i="454"/>
  <c r="AA581" i="454"/>
  <c r="R581" i="454"/>
  <c r="Z580" i="454"/>
  <c r="Y580" i="454"/>
  <c r="X580" i="454"/>
  <c r="W580" i="454"/>
  <c r="V580" i="454"/>
  <c r="U580" i="454"/>
  <c r="T580" i="454"/>
  <c r="S580" i="454"/>
  <c r="Q580" i="454"/>
  <c r="P580" i="454"/>
  <c r="O580" i="454"/>
  <c r="N580" i="454"/>
  <c r="M580" i="454"/>
  <c r="L580" i="454"/>
  <c r="J580" i="454"/>
  <c r="I580" i="454"/>
  <c r="H580" i="454"/>
  <c r="G580" i="454"/>
  <c r="F580" i="454"/>
  <c r="D580" i="454"/>
  <c r="AA579" i="454"/>
  <c r="R579" i="454"/>
  <c r="Z578" i="454"/>
  <c r="Y578" i="454"/>
  <c r="X578" i="454"/>
  <c r="W578" i="454"/>
  <c r="V578" i="454"/>
  <c r="U578" i="454"/>
  <c r="T578" i="454"/>
  <c r="S578" i="454"/>
  <c r="Q578" i="454"/>
  <c r="P578" i="454"/>
  <c r="O578" i="454"/>
  <c r="N578" i="454"/>
  <c r="M578" i="454"/>
  <c r="L578" i="454"/>
  <c r="J578" i="454"/>
  <c r="I578" i="454"/>
  <c r="H578" i="454"/>
  <c r="G578" i="454"/>
  <c r="F578" i="454"/>
  <c r="D578" i="454"/>
  <c r="AA576" i="454"/>
  <c r="R576" i="454"/>
  <c r="Z575" i="454"/>
  <c r="Y575" i="454"/>
  <c r="X575" i="454"/>
  <c r="W575" i="454"/>
  <c r="V575" i="454"/>
  <c r="U575" i="454"/>
  <c r="T575" i="454"/>
  <c r="S575" i="454"/>
  <c r="Q575" i="454"/>
  <c r="P575" i="454"/>
  <c r="O575" i="454"/>
  <c r="N575" i="454"/>
  <c r="M575" i="454"/>
  <c r="L575" i="454"/>
  <c r="J575" i="454"/>
  <c r="I575" i="454"/>
  <c r="H575" i="454"/>
  <c r="G575" i="454"/>
  <c r="F575" i="454"/>
  <c r="D575" i="454"/>
  <c r="AA574" i="454"/>
  <c r="R574" i="454"/>
  <c r="Z573" i="454"/>
  <c r="Y573" i="454"/>
  <c r="X573" i="454"/>
  <c r="W573" i="454"/>
  <c r="V573" i="454"/>
  <c r="U573" i="454"/>
  <c r="T573" i="454"/>
  <c r="S573" i="454"/>
  <c r="Q573" i="454"/>
  <c r="P573" i="454"/>
  <c r="O573" i="454"/>
  <c r="N573" i="454"/>
  <c r="M573" i="454"/>
  <c r="L573" i="454"/>
  <c r="J573" i="454"/>
  <c r="I573" i="454"/>
  <c r="H573" i="454"/>
  <c r="G573" i="454"/>
  <c r="F573" i="454"/>
  <c r="D573" i="454"/>
  <c r="AA572" i="454"/>
  <c r="R572" i="454"/>
  <c r="Z571" i="454"/>
  <c r="Y571" i="454"/>
  <c r="X571" i="454"/>
  <c r="W571" i="454"/>
  <c r="V571" i="454"/>
  <c r="U571" i="454"/>
  <c r="T571" i="454"/>
  <c r="S571" i="454"/>
  <c r="Q571" i="454"/>
  <c r="P571" i="454"/>
  <c r="O571" i="454"/>
  <c r="N571" i="454"/>
  <c r="M571" i="454"/>
  <c r="L571" i="454"/>
  <c r="J571" i="454"/>
  <c r="I571" i="454"/>
  <c r="H571" i="454"/>
  <c r="G571" i="454"/>
  <c r="F571" i="454"/>
  <c r="D571" i="454"/>
  <c r="AA570" i="454"/>
  <c r="R570" i="454"/>
  <c r="Z569" i="454"/>
  <c r="Y569" i="454"/>
  <c r="X569" i="454"/>
  <c r="W569" i="454"/>
  <c r="V569" i="454"/>
  <c r="U569" i="454"/>
  <c r="T569" i="454"/>
  <c r="S569" i="454"/>
  <c r="Q569" i="454"/>
  <c r="P569" i="454"/>
  <c r="O569" i="454"/>
  <c r="N569" i="454"/>
  <c r="M569" i="454"/>
  <c r="L569" i="454"/>
  <c r="J569" i="454"/>
  <c r="I569" i="454"/>
  <c r="H569" i="454"/>
  <c r="G569" i="454"/>
  <c r="F569" i="454"/>
  <c r="D569" i="454"/>
  <c r="AA568" i="454"/>
  <c r="R568" i="454"/>
  <c r="Z567" i="454"/>
  <c r="Y567" i="454"/>
  <c r="X567" i="454"/>
  <c r="W567" i="454"/>
  <c r="V567" i="454"/>
  <c r="U567" i="454"/>
  <c r="T567" i="454"/>
  <c r="S567" i="454"/>
  <c r="Q567" i="454"/>
  <c r="P567" i="454"/>
  <c r="O567" i="454"/>
  <c r="N567" i="454"/>
  <c r="M567" i="454"/>
  <c r="L567" i="454"/>
  <c r="J567" i="454"/>
  <c r="I567" i="454"/>
  <c r="H567" i="454"/>
  <c r="G567" i="454"/>
  <c r="F567" i="454"/>
  <c r="D567" i="454"/>
  <c r="AA566" i="454"/>
  <c r="R566" i="454"/>
  <c r="Z565" i="454"/>
  <c r="Y565" i="454"/>
  <c r="X565" i="454"/>
  <c r="W565" i="454"/>
  <c r="V565" i="454"/>
  <c r="U565" i="454"/>
  <c r="T565" i="454"/>
  <c r="S565" i="454"/>
  <c r="Q565" i="454"/>
  <c r="P565" i="454"/>
  <c r="O565" i="454"/>
  <c r="N565" i="454"/>
  <c r="M565" i="454"/>
  <c r="L565" i="454"/>
  <c r="J565" i="454"/>
  <c r="I565" i="454"/>
  <c r="H565" i="454"/>
  <c r="G565" i="454"/>
  <c r="F565" i="454"/>
  <c r="D565" i="454"/>
  <c r="AA564" i="454"/>
  <c r="R564" i="454"/>
  <c r="Z563" i="454"/>
  <c r="Y563" i="454"/>
  <c r="X563" i="454"/>
  <c r="W563" i="454"/>
  <c r="V563" i="454"/>
  <c r="U563" i="454"/>
  <c r="T563" i="454"/>
  <c r="S563" i="454"/>
  <c r="Q563" i="454"/>
  <c r="P563" i="454"/>
  <c r="O563" i="454"/>
  <c r="N563" i="454"/>
  <c r="M563" i="454"/>
  <c r="L563" i="454"/>
  <c r="J563" i="454"/>
  <c r="I563" i="454"/>
  <c r="H563" i="454"/>
  <c r="G563" i="454"/>
  <c r="F563" i="454"/>
  <c r="D563" i="454"/>
  <c r="AA562" i="454"/>
  <c r="R562" i="454"/>
  <c r="Z561" i="454"/>
  <c r="Y561" i="454"/>
  <c r="X561" i="454"/>
  <c r="W561" i="454"/>
  <c r="V561" i="454"/>
  <c r="U561" i="454"/>
  <c r="T561" i="454"/>
  <c r="S561" i="454"/>
  <c r="Q561" i="454"/>
  <c r="P561" i="454"/>
  <c r="O561" i="454"/>
  <c r="N561" i="454"/>
  <c r="M561" i="454"/>
  <c r="L561" i="454"/>
  <c r="J561" i="454"/>
  <c r="I561" i="454"/>
  <c r="H561" i="454"/>
  <c r="G561" i="454"/>
  <c r="F561" i="454"/>
  <c r="D561" i="454"/>
  <c r="AA560" i="454"/>
  <c r="R560" i="454"/>
  <c r="Z559" i="454"/>
  <c r="Y559" i="454"/>
  <c r="X559" i="454"/>
  <c r="W559" i="454"/>
  <c r="V559" i="454"/>
  <c r="U559" i="454"/>
  <c r="T559" i="454"/>
  <c r="S559" i="454"/>
  <c r="Q559" i="454"/>
  <c r="P559" i="454"/>
  <c r="O559" i="454"/>
  <c r="N559" i="454"/>
  <c r="M559" i="454"/>
  <c r="L559" i="454"/>
  <c r="J559" i="454"/>
  <c r="I559" i="454"/>
  <c r="H559" i="454"/>
  <c r="G559" i="454"/>
  <c r="F559" i="454"/>
  <c r="D559" i="454"/>
  <c r="AA558" i="454"/>
  <c r="R558" i="454"/>
  <c r="Z557" i="454"/>
  <c r="Y557" i="454"/>
  <c r="X557" i="454"/>
  <c r="W557" i="454"/>
  <c r="V557" i="454"/>
  <c r="U557" i="454"/>
  <c r="T557" i="454"/>
  <c r="S557" i="454"/>
  <c r="Q557" i="454"/>
  <c r="P557" i="454"/>
  <c r="O557" i="454"/>
  <c r="N557" i="454"/>
  <c r="M557" i="454"/>
  <c r="L557" i="454"/>
  <c r="J557" i="454"/>
  <c r="I557" i="454"/>
  <c r="H557" i="454"/>
  <c r="G557" i="454"/>
  <c r="F557" i="454"/>
  <c r="D557" i="454"/>
  <c r="AA556" i="454"/>
  <c r="R556" i="454"/>
  <c r="Z555" i="454"/>
  <c r="Y555" i="454"/>
  <c r="X555" i="454"/>
  <c r="W555" i="454"/>
  <c r="V555" i="454"/>
  <c r="U555" i="454"/>
  <c r="T555" i="454"/>
  <c r="S555" i="454"/>
  <c r="Q555" i="454"/>
  <c r="P555" i="454"/>
  <c r="O555" i="454"/>
  <c r="N555" i="454"/>
  <c r="M555" i="454"/>
  <c r="L555" i="454"/>
  <c r="J555" i="454"/>
  <c r="I555" i="454"/>
  <c r="H555" i="454"/>
  <c r="G555" i="454"/>
  <c r="F555" i="454"/>
  <c r="D555" i="454"/>
  <c r="AA554" i="454"/>
  <c r="R554" i="454"/>
  <c r="Z553" i="454"/>
  <c r="Y553" i="454"/>
  <c r="X553" i="454"/>
  <c r="W553" i="454"/>
  <c r="V553" i="454"/>
  <c r="U553" i="454"/>
  <c r="T553" i="454"/>
  <c r="S553" i="454"/>
  <c r="Q553" i="454"/>
  <c r="P553" i="454"/>
  <c r="O553" i="454"/>
  <c r="N553" i="454"/>
  <c r="M553" i="454"/>
  <c r="L553" i="454"/>
  <c r="J553" i="454"/>
  <c r="I553" i="454"/>
  <c r="H553" i="454"/>
  <c r="G553" i="454"/>
  <c r="F553" i="454"/>
  <c r="D553" i="454"/>
  <c r="AA552" i="454"/>
  <c r="R552" i="454"/>
  <c r="Z551" i="454"/>
  <c r="Y551" i="454"/>
  <c r="X551" i="454"/>
  <c r="W551" i="454"/>
  <c r="V551" i="454"/>
  <c r="U551" i="454"/>
  <c r="T551" i="454"/>
  <c r="S551" i="454"/>
  <c r="Q551" i="454"/>
  <c r="P551" i="454"/>
  <c r="O551" i="454"/>
  <c r="N551" i="454"/>
  <c r="M551" i="454"/>
  <c r="L551" i="454"/>
  <c r="J551" i="454"/>
  <c r="I551" i="454"/>
  <c r="H551" i="454"/>
  <c r="G551" i="454"/>
  <c r="F551" i="454"/>
  <c r="D551" i="454"/>
  <c r="AA550" i="454"/>
  <c r="R550" i="454"/>
  <c r="Z549" i="454"/>
  <c r="Y549" i="454"/>
  <c r="X549" i="454"/>
  <c r="W549" i="454"/>
  <c r="V549" i="454"/>
  <c r="U549" i="454"/>
  <c r="T549" i="454"/>
  <c r="S549" i="454"/>
  <c r="Q549" i="454"/>
  <c r="P549" i="454"/>
  <c r="O549" i="454"/>
  <c r="N549" i="454"/>
  <c r="M549" i="454"/>
  <c r="L549" i="454"/>
  <c r="J549" i="454"/>
  <c r="I549" i="454"/>
  <c r="H549" i="454"/>
  <c r="G549" i="454"/>
  <c r="F549" i="454"/>
  <c r="D549" i="454"/>
  <c r="AA548" i="454"/>
  <c r="R548" i="454"/>
  <c r="AA547" i="454"/>
  <c r="R547" i="454"/>
  <c r="Z546" i="454"/>
  <c r="Y546" i="454"/>
  <c r="X546" i="454"/>
  <c r="W546" i="454"/>
  <c r="V546" i="454"/>
  <c r="U546" i="454"/>
  <c r="T546" i="454"/>
  <c r="S546" i="454"/>
  <c r="Q546" i="454"/>
  <c r="P546" i="454"/>
  <c r="O546" i="454"/>
  <c r="N546" i="454"/>
  <c r="M546" i="454"/>
  <c r="L546" i="454"/>
  <c r="J546" i="454"/>
  <c r="I546" i="454"/>
  <c r="H546" i="454"/>
  <c r="G546" i="454"/>
  <c r="F546" i="454"/>
  <c r="D546" i="454"/>
  <c r="AA545" i="454"/>
  <c r="R545" i="454"/>
  <c r="Z544" i="454"/>
  <c r="Y544" i="454"/>
  <c r="X544" i="454"/>
  <c r="W544" i="454"/>
  <c r="V544" i="454"/>
  <c r="U544" i="454"/>
  <c r="T544" i="454"/>
  <c r="S544" i="454"/>
  <c r="Q544" i="454"/>
  <c r="P544" i="454"/>
  <c r="O544" i="454"/>
  <c r="N544" i="454"/>
  <c r="M544" i="454"/>
  <c r="L544" i="454"/>
  <c r="J544" i="454"/>
  <c r="I544" i="454"/>
  <c r="H544" i="454"/>
  <c r="G544" i="454"/>
  <c r="F544" i="454"/>
  <c r="D544" i="454"/>
  <c r="AA543" i="454"/>
  <c r="R543" i="454"/>
  <c r="Z542" i="454"/>
  <c r="Y542" i="454"/>
  <c r="X542" i="454"/>
  <c r="W542" i="454"/>
  <c r="V542" i="454"/>
  <c r="U542" i="454"/>
  <c r="T542" i="454"/>
  <c r="S542" i="454"/>
  <c r="Q542" i="454"/>
  <c r="P542" i="454"/>
  <c r="O542" i="454"/>
  <c r="N542" i="454"/>
  <c r="M542" i="454"/>
  <c r="L542" i="454"/>
  <c r="J542" i="454"/>
  <c r="I542" i="454"/>
  <c r="H542" i="454"/>
  <c r="G542" i="454"/>
  <c r="F542" i="454"/>
  <c r="D542" i="454"/>
  <c r="AA541" i="454"/>
  <c r="R541" i="454"/>
  <c r="Z540" i="454"/>
  <c r="Y540" i="454"/>
  <c r="X540" i="454"/>
  <c r="W540" i="454"/>
  <c r="V540" i="454"/>
  <c r="U540" i="454"/>
  <c r="T540" i="454"/>
  <c r="S540" i="454"/>
  <c r="Q540" i="454"/>
  <c r="P540" i="454"/>
  <c r="O540" i="454"/>
  <c r="N540" i="454"/>
  <c r="M540" i="454"/>
  <c r="L540" i="454"/>
  <c r="J540" i="454"/>
  <c r="I540" i="454"/>
  <c r="H540" i="454"/>
  <c r="G540" i="454"/>
  <c r="F540" i="454"/>
  <c r="D540" i="454"/>
  <c r="AA539" i="454"/>
  <c r="R539" i="454"/>
  <c r="Z538" i="454"/>
  <c r="Y538" i="454"/>
  <c r="X538" i="454"/>
  <c r="W538" i="454"/>
  <c r="V538" i="454"/>
  <c r="U538" i="454"/>
  <c r="T538" i="454"/>
  <c r="S538" i="454"/>
  <c r="Q538" i="454"/>
  <c r="P538" i="454"/>
  <c r="O538" i="454"/>
  <c r="N538" i="454"/>
  <c r="M538" i="454"/>
  <c r="L538" i="454"/>
  <c r="J538" i="454"/>
  <c r="I538" i="454"/>
  <c r="H538" i="454"/>
  <c r="G538" i="454"/>
  <c r="F538" i="454"/>
  <c r="D538" i="454"/>
  <c r="AA537" i="454"/>
  <c r="R537" i="454"/>
  <c r="Z536" i="454"/>
  <c r="Y536" i="454"/>
  <c r="X536" i="454"/>
  <c r="W536" i="454"/>
  <c r="V536" i="454"/>
  <c r="U536" i="454"/>
  <c r="T536" i="454"/>
  <c r="S536" i="454"/>
  <c r="Q536" i="454"/>
  <c r="P536" i="454"/>
  <c r="O536" i="454"/>
  <c r="N536" i="454"/>
  <c r="M536" i="454"/>
  <c r="L536" i="454"/>
  <c r="J536" i="454"/>
  <c r="I536" i="454"/>
  <c r="H536" i="454"/>
  <c r="G536" i="454"/>
  <c r="F536" i="454"/>
  <c r="D536" i="454"/>
  <c r="AA535" i="454"/>
  <c r="R535" i="454"/>
  <c r="Z534" i="454"/>
  <c r="Y534" i="454"/>
  <c r="X534" i="454"/>
  <c r="W534" i="454"/>
  <c r="V534" i="454"/>
  <c r="U534" i="454"/>
  <c r="T534" i="454"/>
  <c r="S534" i="454"/>
  <c r="Q534" i="454"/>
  <c r="P534" i="454"/>
  <c r="O534" i="454"/>
  <c r="N534" i="454"/>
  <c r="M534" i="454"/>
  <c r="L534" i="454"/>
  <c r="J534" i="454"/>
  <c r="I534" i="454"/>
  <c r="H534" i="454"/>
  <c r="G534" i="454"/>
  <c r="F534" i="454"/>
  <c r="D534" i="454"/>
  <c r="AA533" i="454"/>
  <c r="R533" i="454"/>
  <c r="Z532" i="454"/>
  <c r="Y532" i="454"/>
  <c r="X532" i="454"/>
  <c r="W532" i="454"/>
  <c r="V532" i="454"/>
  <c r="U532" i="454"/>
  <c r="T532" i="454"/>
  <c r="S532" i="454"/>
  <c r="Q532" i="454"/>
  <c r="P532" i="454"/>
  <c r="O532" i="454"/>
  <c r="N532" i="454"/>
  <c r="M532" i="454"/>
  <c r="L532" i="454"/>
  <c r="J532" i="454"/>
  <c r="I532" i="454"/>
  <c r="H532" i="454"/>
  <c r="G532" i="454"/>
  <c r="F532" i="454"/>
  <c r="D532" i="454"/>
  <c r="AA531" i="454"/>
  <c r="R531" i="454"/>
  <c r="Z530" i="454"/>
  <c r="Y530" i="454"/>
  <c r="X530" i="454"/>
  <c r="W530" i="454"/>
  <c r="V530" i="454"/>
  <c r="U530" i="454"/>
  <c r="T530" i="454"/>
  <c r="S530" i="454"/>
  <c r="Q530" i="454"/>
  <c r="P530" i="454"/>
  <c r="O530" i="454"/>
  <c r="N530" i="454"/>
  <c r="M530" i="454"/>
  <c r="L530" i="454"/>
  <c r="J530" i="454"/>
  <c r="I530" i="454"/>
  <c r="H530" i="454"/>
  <c r="G530" i="454"/>
  <c r="F530" i="454"/>
  <c r="D530" i="454"/>
  <c r="AA529" i="454"/>
  <c r="R529" i="454"/>
  <c r="Z528" i="454"/>
  <c r="Y528" i="454"/>
  <c r="X528" i="454"/>
  <c r="W528" i="454"/>
  <c r="V528" i="454"/>
  <c r="U528" i="454"/>
  <c r="T528" i="454"/>
  <c r="S528" i="454"/>
  <c r="Q528" i="454"/>
  <c r="P528" i="454"/>
  <c r="O528" i="454"/>
  <c r="N528" i="454"/>
  <c r="M528" i="454"/>
  <c r="L528" i="454"/>
  <c r="J528" i="454"/>
  <c r="I528" i="454"/>
  <c r="H528" i="454"/>
  <c r="G528" i="454"/>
  <c r="F528" i="454"/>
  <c r="D528" i="454"/>
  <c r="AA527" i="454"/>
  <c r="R527" i="454"/>
  <c r="Z526" i="454"/>
  <c r="Y526" i="454"/>
  <c r="X526" i="454"/>
  <c r="W526" i="454"/>
  <c r="V526" i="454"/>
  <c r="U526" i="454"/>
  <c r="T526" i="454"/>
  <c r="S526" i="454"/>
  <c r="Q526" i="454"/>
  <c r="P526" i="454"/>
  <c r="O526" i="454"/>
  <c r="N526" i="454"/>
  <c r="M526" i="454"/>
  <c r="L526" i="454"/>
  <c r="J526" i="454"/>
  <c r="I526" i="454"/>
  <c r="H526" i="454"/>
  <c r="G526" i="454"/>
  <c r="F526" i="454"/>
  <c r="D526" i="454"/>
  <c r="AA525" i="454"/>
  <c r="R525" i="454"/>
  <c r="Z524" i="454"/>
  <c r="Y524" i="454"/>
  <c r="X524" i="454"/>
  <c r="W524" i="454"/>
  <c r="V524" i="454"/>
  <c r="U524" i="454"/>
  <c r="T524" i="454"/>
  <c r="S524" i="454"/>
  <c r="Q524" i="454"/>
  <c r="P524" i="454"/>
  <c r="O524" i="454"/>
  <c r="N524" i="454"/>
  <c r="M524" i="454"/>
  <c r="L524" i="454"/>
  <c r="J524" i="454"/>
  <c r="I524" i="454"/>
  <c r="H524" i="454"/>
  <c r="G524" i="454"/>
  <c r="F524" i="454"/>
  <c r="D524" i="454"/>
  <c r="AA523" i="454"/>
  <c r="R523" i="454"/>
  <c r="AA522" i="454"/>
  <c r="R522" i="454"/>
  <c r="Z521" i="454"/>
  <c r="Y521" i="454"/>
  <c r="X521" i="454"/>
  <c r="W521" i="454"/>
  <c r="V521" i="454"/>
  <c r="U521" i="454"/>
  <c r="T521" i="454"/>
  <c r="S521" i="454"/>
  <c r="Q521" i="454"/>
  <c r="P521" i="454"/>
  <c r="O521" i="454"/>
  <c r="N521" i="454"/>
  <c r="M521" i="454"/>
  <c r="L521" i="454"/>
  <c r="J521" i="454"/>
  <c r="I521" i="454"/>
  <c r="H521" i="454"/>
  <c r="G521" i="454"/>
  <c r="F521" i="454"/>
  <c r="D521" i="454"/>
  <c r="AA520" i="454"/>
  <c r="R520" i="454"/>
  <c r="Z519" i="454"/>
  <c r="Y519" i="454"/>
  <c r="X519" i="454"/>
  <c r="W519" i="454"/>
  <c r="V519" i="454"/>
  <c r="U519" i="454"/>
  <c r="T519" i="454"/>
  <c r="S519" i="454"/>
  <c r="Q519" i="454"/>
  <c r="P519" i="454"/>
  <c r="O519" i="454"/>
  <c r="N519" i="454"/>
  <c r="M519" i="454"/>
  <c r="L519" i="454"/>
  <c r="J519" i="454"/>
  <c r="I519" i="454"/>
  <c r="H519" i="454"/>
  <c r="G519" i="454"/>
  <c r="F519" i="454"/>
  <c r="D519" i="454"/>
  <c r="AA518" i="454"/>
  <c r="R518" i="454"/>
  <c r="Z517" i="454"/>
  <c r="Y517" i="454"/>
  <c r="X517" i="454"/>
  <c r="W517" i="454"/>
  <c r="V517" i="454"/>
  <c r="U517" i="454"/>
  <c r="T517" i="454"/>
  <c r="S517" i="454"/>
  <c r="Q517" i="454"/>
  <c r="P517" i="454"/>
  <c r="O517" i="454"/>
  <c r="N517" i="454"/>
  <c r="M517" i="454"/>
  <c r="L517" i="454"/>
  <c r="J517" i="454"/>
  <c r="I517" i="454"/>
  <c r="H517" i="454"/>
  <c r="G517" i="454"/>
  <c r="F517" i="454"/>
  <c r="D517" i="454"/>
  <c r="AA516" i="454"/>
  <c r="R516" i="454"/>
  <c r="Z515" i="454"/>
  <c r="Y515" i="454"/>
  <c r="X515" i="454"/>
  <c r="W515" i="454"/>
  <c r="V515" i="454"/>
  <c r="U515" i="454"/>
  <c r="T515" i="454"/>
  <c r="S515" i="454"/>
  <c r="Q515" i="454"/>
  <c r="P515" i="454"/>
  <c r="O515" i="454"/>
  <c r="N515" i="454"/>
  <c r="M515" i="454"/>
  <c r="L515" i="454"/>
  <c r="J515" i="454"/>
  <c r="I515" i="454"/>
  <c r="H515" i="454"/>
  <c r="G515" i="454"/>
  <c r="F515" i="454"/>
  <c r="D515" i="454"/>
  <c r="AA514" i="454"/>
  <c r="R514" i="454"/>
  <c r="Z513" i="454"/>
  <c r="Y513" i="454"/>
  <c r="X513" i="454"/>
  <c r="W513" i="454"/>
  <c r="V513" i="454"/>
  <c r="U513" i="454"/>
  <c r="T513" i="454"/>
  <c r="S513" i="454"/>
  <c r="Q513" i="454"/>
  <c r="P513" i="454"/>
  <c r="O513" i="454"/>
  <c r="N513" i="454"/>
  <c r="M513" i="454"/>
  <c r="L513" i="454"/>
  <c r="J513" i="454"/>
  <c r="I513" i="454"/>
  <c r="H513" i="454"/>
  <c r="G513" i="454"/>
  <c r="F513" i="454"/>
  <c r="D513" i="454"/>
  <c r="AA512" i="454"/>
  <c r="R512" i="454"/>
  <c r="AA511" i="454"/>
  <c r="R511" i="454"/>
  <c r="Z510" i="454"/>
  <c r="Y510" i="454"/>
  <c r="X510" i="454"/>
  <c r="W510" i="454"/>
  <c r="V510" i="454"/>
  <c r="U510" i="454"/>
  <c r="T510" i="454"/>
  <c r="S510" i="454"/>
  <c r="Q510" i="454"/>
  <c r="P510" i="454"/>
  <c r="O510" i="454"/>
  <c r="N510" i="454"/>
  <c r="M510" i="454"/>
  <c r="L510" i="454"/>
  <c r="J510" i="454"/>
  <c r="I510" i="454"/>
  <c r="H510" i="454"/>
  <c r="G510" i="454"/>
  <c r="F510" i="454"/>
  <c r="D510" i="454"/>
  <c r="AA509" i="454"/>
  <c r="R509" i="454"/>
  <c r="AA508" i="454"/>
  <c r="R508" i="454"/>
  <c r="Z507" i="454"/>
  <c r="Y507" i="454"/>
  <c r="X507" i="454"/>
  <c r="W507" i="454"/>
  <c r="V507" i="454"/>
  <c r="U507" i="454"/>
  <c r="T507" i="454"/>
  <c r="S507" i="454"/>
  <c r="Q507" i="454"/>
  <c r="P507" i="454"/>
  <c r="O507" i="454"/>
  <c r="N507" i="454"/>
  <c r="M507" i="454"/>
  <c r="L507" i="454"/>
  <c r="J507" i="454"/>
  <c r="I507" i="454"/>
  <c r="H507" i="454"/>
  <c r="G507" i="454"/>
  <c r="F507" i="454"/>
  <c r="D507" i="454"/>
  <c r="AA506" i="454"/>
  <c r="R506" i="454"/>
  <c r="AA505" i="454"/>
  <c r="R505" i="454"/>
  <c r="AA504" i="454"/>
  <c r="R504" i="454"/>
  <c r="AA503" i="454"/>
  <c r="R503" i="454"/>
  <c r="AA502" i="454"/>
  <c r="R502" i="454"/>
  <c r="Z501" i="454"/>
  <c r="Y501" i="454"/>
  <c r="X501" i="454"/>
  <c r="W501" i="454"/>
  <c r="V501" i="454"/>
  <c r="U501" i="454"/>
  <c r="T501" i="454"/>
  <c r="S501" i="454"/>
  <c r="Q501" i="454"/>
  <c r="P501" i="454"/>
  <c r="O501" i="454"/>
  <c r="N501" i="454"/>
  <c r="M501" i="454"/>
  <c r="L501" i="454"/>
  <c r="J501" i="454"/>
  <c r="I501" i="454"/>
  <c r="H501" i="454"/>
  <c r="G501" i="454"/>
  <c r="F501" i="454"/>
  <c r="D501" i="454"/>
  <c r="AA500" i="454"/>
  <c r="R500" i="454"/>
  <c r="AA499" i="454"/>
  <c r="R499" i="454"/>
  <c r="AA498" i="454"/>
  <c r="R498" i="454"/>
  <c r="AA497" i="454"/>
  <c r="R497" i="454"/>
  <c r="Z496" i="454"/>
  <c r="Y496" i="454"/>
  <c r="X496" i="454"/>
  <c r="W496" i="454"/>
  <c r="V496" i="454"/>
  <c r="U496" i="454"/>
  <c r="T496" i="454"/>
  <c r="S496" i="454"/>
  <c r="Q496" i="454"/>
  <c r="P496" i="454"/>
  <c r="O496" i="454"/>
  <c r="N496" i="454"/>
  <c r="M496" i="454"/>
  <c r="L496" i="454"/>
  <c r="J496" i="454"/>
  <c r="I496" i="454"/>
  <c r="H496" i="454"/>
  <c r="G496" i="454"/>
  <c r="F496" i="454"/>
  <c r="D496" i="454"/>
  <c r="AA495" i="454"/>
  <c r="R495" i="454"/>
  <c r="AA494" i="454"/>
  <c r="R494" i="454"/>
  <c r="AA493" i="454"/>
  <c r="R493" i="454"/>
  <c r="AA492" i="454"/>
  <c r="R492" i="454"/>
  <c r="AA491" i="454"/>
  <c r="R491" i="454"/>
  <c r="Z490" i="454"/>
  <c r="Y490" i="454"/>
  <c r="X490" i="454"/>
  <c r="W490" i="454"/>
  <c r="V490" i="454"/>
  <c r="U490" i="454"/>
  <c r="T490" i="454"/>
  <c r="S490" i="454"/>
  <c r="Q490" i="454"/>
  <c r="P490" i="454"/>
  <c r="O490" i="454"/>
  <c r="N490" i="454"/>
  <c r="M490" i="454"/>
  <c r="L490" i="454"/>
  <c r="J490" i="454"/>
  <c r="I490" i="454"/>
  <c r="H490" i="454"/>
  <c r="G490" i="454"/>
  <c r="F490" i="454"/>
  <c r="D490" i="454"/>
  <c r="AA489" i="454"/>
  <c r="R489" i="454"/>
  <c r="AA488" i="454"/>
  <c r="R488" i="454"/>
  <c r="Z487" i="454"/>
  <c r="Y487" i="454"/>
  <c r="X487" i="454"/>
  <c r="W487" i="454"/>
  <c r="V487" i="454"/>
  <c r="U487" i="454"/>
  <c r="T487" i="454"/>
  <c r="S487" i="454"/>
  <c r="Q487" i="454"/>
  <c r="P487" i="454"/>
  <c r="O487" i="454"/>
  <c r="N487" i="454"/>
  <c r="M487" i="454"/>
  <c r="L487" i="454"/>
  <c r="J487" i="454"/>
  <c r="I487" i="454"/>
  <c r="H487" i="454"/>
  <c r="G487" i="454"/>
  <c r="F487" i="454"/>
  <c r="D487" i="454"/>
  <c r="AA486" i="454"/>
  <c r="R486" i="454"/>
  <c r="AA485" i="454"/>
  <c r="R485" i="454"/>
  <c r="AA484" i="454"/>
  <c r="R484" i="454"/>
  <c r="Z483" i="454"/>
  <c r="Y483" i="454"/>
  <c r="X483" i="454"/>
  <c r="W483" i="454"/>
  <c r="V483" i="454"/>
  <c r="U483" i="454"/>
  <c r="T483" i="454"/>
  <c r="S483" i="454"/>
  <c r="Q483" i="454"/>
  <c r="P483" i="454"/>
  <c r="O483" i="454"/>
  <c r="N483" i="454"/>
  <c r="M483" i="454"/>
  <c r="L483" i="454"/>
  <c r="J483" i="454"/>
  <c r="I483" i="454"/>
  <c r="H483" i="454"/>
  <c r="G483" i="454"/>
  <c r="F483" i="454"/>
  <c r="D483" i="454"/>
  <c r="AA482" i="454"/>
  <c r="R482" i="454"/>
  <c r="Z481" i="454"/>
  <c r="Y481" i="454"/>
  <c r="X481" i="454"/>
  <c r="W481" i="454"/>
  <c r="V481" i="454"/>
  <c r="U481" i="454"/>
  <c r="T481" i="454"/>
  <c r="S481" i="454"/>
  <c r="Q481" i="454"/>
  <c r="P481" i="454"/>
  <c r="O481" i="454"/>
  <c r="N481" i="454"/>
  <c r="M481" i="454"/>
  <c r="L481" i="454"/>
  <c r="J481" i="454"/>
  <c r="I481" i="454"/>
  <c r="H481" i="454"/>
  <c r="G481" i="454"/>
  <c r="F481" i="454"/>
  <c r="D481" i="454"/>
  <c r="AA479" i="454"/>
  <c r="R479" i="454"/>
  <c r="AA478" i="454"/>
  <c r="R478" i="454"/>
  <c r="AA477" i="454"/>
  <c r="R477" i="454"/>
  <c r="AA476" i="454"/>
  <c r="R476" i="454"/>
  <c r="AA475" i="454"/>
  <c r="R475" i="454"/>
  <c r="AA474" i="454"/>
  <c r="R474" i="454"/>
  <c r="Z473" i="454"/>
  <c r="Y473" i="454"/>
  <c r="X473" i="454"/>
  <c r="W473" i="454"/>
  <c r="V473" i="454"/>
  <c r="U473" i="454"/>
  <c r="T473" i="454"/>
  <c r="S473" i="454"/>
  <c r="Q473" i="454"/>
  <c r="P473" i="454"/>
  <c r="O473" i="454"/>
  <c r="N473" i="454"/>
  <c r="M473" i="454"/>
  <c r="L473" i="454"/>
  <c r="J473" i="454"/>
  <c r="I473" i="454"/>
  <c r="H473" i="454"/>
  <c r="G473" i="454"/>
  <c r="F473" i="454"/>
  <c r="D473" i="454"/>
  <c r="AA472" i="454"/>
  <c r="R472" i="454"/>
  <c r="AA471" i="454"/>
  <c r="R471" i="454"/>
  <c r="AA470" i="454"/>
  <c r="R470" i="454"/>
  <c r="AA469" i="454"/>
  <c r="R469" i="454"/>
  <c r="AA468" i="454"/>
  <c r="R468" i="454"/>
  <c r="AA467" i="454"/>
  <c r="R467" i="454"/>
  <c r="AA466" i="454"/>
  <c r="R466" i="454"/>
  <c r="AA465" i="454"/>
  <c r="R465" i="454"/>
  <c r="AA464" i="454"/>
  <c r="R464" i="454"/>
  <c r="AA463" i="454"/>
  <c r="R463" i="454"/>
  <c r="AA462" i="454"/>
  <c r="R462" i="454"/>
  <c r="AA461" i="454"/>
  <c r="R461" i="454"/>
  <c r="AA460" i="454"/>
  <c r="R460" i="454"/>
  <c r="AA459" i="454"/>
  <c r="R459" i="454"/>
  <c r="AA458" i="454"/>
  <c r="R458" i="454"/>
  <c r="AA457" i="454"/>
  <c r="R457" i="454"/>
  <c r="AA456" i="454"/>
  <c r="R456" i="454"/>
  <c r="AA455" i="454"/>
  <c r="R455" i="454"/>
  <c r="AA454" i="454"/>
  <c r="R454" i="454"/>
  <c r="AA453" i="454"/>
  <c r="R453" i="454"/>
  <c r="AA452" i="454"/>
  <c r="R452" i="454"/>
  <c r="AA451" i="454"/>
  <c r="R451" i="454"/>
  <c r="AA450" i="454"/>
  <c r="R450" i="454"/>
  <c r="AA449" i="454"/>
  <c r="R449" i="454"/>
  <c r="AA448" i="454"/>
  <c r="R448" i="454"/>
  <c r="AA447" i="454"/>
  <c r="R447" i="454"/>
  <c r="AA446" i="454"/>
  <c r="R446" i="454"/>
  <c r="AA445" i="454"/>
  <c r="R445" i="454"/>
  <c r="AA444" i="454"/>
  <c r="R444" i="454"/>
  <c r="AA443" i="454"/>
  <c r="R443" i="454"/>
  <c r="AA442" i="454"/>
  <c r="R442" i="454"/>
  <c r="AA441" i="454"/>
  <c r="R441" i="454"/>
  <c r="AA440" i="454"/>
  <c r="R440" i="454"/>
  <c r="AA439" i="454"/>
  <c r="R439" i="454"/>
  <c r="AA438" i="454"/>
  <c r="R438" i="454"/>
  <c r="AA437" i="454"/>
  <c r="R437" i="454"/>
  <c r="AA436" i="454"/>
  <c r="R436" i="454"/>
  <c r="AA435" i="454"/>
  <c r="R435" i="454"/>
  <c r="AA434" i="454"/>
  <c r="R434" i="454"/>
  <c r="AA433" i="454"/>
  <c r="R433" i="454"/>
  <c r="Z432" i="454"/>
  <c r="Y432" i="454"/>
  <c r="X432" i="454"/>
  <c r="W432" i="454"/>
  <c r="V432" i="454"/>
  <c r="U432" i="454"/>
  <c r="T432" i="454"/>
  <c r="S432" i="454"/>
  <c r="Q432" i="454"/>
  <c r="P432" i="454"/>
  <c r="O432" i="454"/>
  <c r="N432" i="454"/>
  <c r="M432" i="454"/>
  <c r="L432" i="454"/>
  <c r="J432" i="454"/>
  <c r="I432" i="454"/>
  <c r="H432" i="454"/>
  <c r="G432" i="454"/>
  <c r="F432" i="454"/>
  <c r="D432" i="454"/>
  <c r="AA431" i="454"/>
  <c r="R431" i="454"/>
  <c r="AA430" i="454"/>
  <c r="R430" i="454"/>
  <c r="AA429" i="454"/>
  <c r="R429" i="454"/>
  <c r="AA428" i="454"/>
  <c r="R428" i="454"/>
  <c r="AA427" i="454"/>
  <c r="R427" i="454"/>
  <c r="AA426" i="454"/>
  <c r="R426" i="454"/>
  <c r="AA425" i="454"/>
  <c r="R425" i="454"/>
  <c r="AA424" i="454"/>
  <c r="R424" i="454"/>
  <c r="Z423" i="454"/>
  <c r="Y423" i="454"/>
  <c r="X423" i="454"/>
  <c r="W423" i="454"/>
  <c r="V423" i="454"/>
  <c r="U423" i="454"/>
  <c r="T423" i="454"/>
  <c r="S423" i="454"/>
  <c r="Q423" i="454"/>
  <c r="P423" i="454"/>
  <c r="O423" i="454"/>
  <c r="N423" i="454"/>
  <c r="M423" i="454"/>
  <c r="L423" i="454"/>
  <c r="J423" i="454"/>
  <c r="I423" i="454"/>
  <c r="H423" i="454"/>
  <c r="G423" i="454"/>
  <c r="F423" i="454"/>
  <c r="D423" i="454"/>
  <c r="AA422" i="454"/>
  <c r="R422" i="454"/>
  <c r="AA421" i="454"/>
  <c r="R421" i="454"/>
  <c r="AA420" i="454"/>
  <c r="R420" i="454"/>
  <c r="Z419" i="454"/>
  <c r="Y419" i="454"/>
  <c r="X419" i="454"/>
  <c r="W419" i="454"/>
  <c r="V419" i="454"/>
  <c r="U419" i="454"/>
  <c r="T419" i="454"/>
  <c r="S419" i="454"/>
  <c r="Q419" i="454"/>
  <c r="P419" i="454"/>
  <c r="O419" i="454"/>
  <c r="N419" i="454"/>
  <c r="M419" i="454"/>
  <c r="L419" i="454"/>
  <c r="J419" i="454"/>
  <c r="I419" i="454"/>
  <c r="H419" i="454"/>
  <c r="G419" i="454"/>
  <c r="F419" i="454"/>
  <c r="D419" i="454"/>
  <c r="AA418" i="454"/>
  <c r="R418" i="454"/>
  <c r="AA417" i="454"/>
  <c r="R417" i="454"/>
  <c r="AA416" i="454"/>
  <c r="R416" i="454"/>
  <c r="H416" i="454"/>
  <c r="H415" i="454" s="1"/>
  <c r="Z415" i="454"/>
  <c r="Y415" i="454"/>
  <c r="X415" i="454"/>
  <c r="W415" i="454"/>
  <c r="V415" i="454"/>
  <c r="U415" i="454"/>
  <c r="T415" i="454"/>
  <c r="S415" i="454"/>
  <c r="Q415" i="454"/>
  <c r="P415" i="454"/>
  <c r="O415" i="454"/>
  <c r="N415" i="454"/>
  <c r="M415" i="454"/>
  <c r="L415" i="454"/>
  <c r="J415" i="454"/>
  <c r="I415" i="454"/>
  <c r="G415" i="454"/>
  <c r="F415" i="454"/>
  <c r="D415" i="454"/>
  <c r="AA414" i="454"/>
  <c r="R414" i="454"/>
  <c r="AA413" i="454"/>
  <c r="R413" i="454"/>
  <c r="AA412" i="454"/>
  <c r="R412" i="454"/>
  <c r="AA411" i="454"/>
  <c r="R411" i="454"/>
  <c r="AA410" i="454"/>
  <c r="R410" i="454"/>
  <c r="AA409" i="454"/>
  <c r="R409" i="454"/>
  <c r="AA408" i="454"/>
  <c r="R408" i="454"/>
  <c r="AA407" i="454"/>
  <c r="R407" i="454"/>
  <c r="AA406" i="454"/>
  <c r="R406" i="454"/>
  <c r="AA405" i="454"/>
  <c r="R405" i="454"/>
  <c r="AA404" i="454"/>
  <c r="R404" i="454"/>
  <c r="AA403" i="454"/>
  <c r="R403" i="454"/>
  <c r="AA402" i="454"/>
  <c r="R402" i="454"/>
  <c r="AA401" i="454"/>
  <c r="R401" i="454"/>
  <c r="AA400" i="454"/>
  <c r="R400" i="454"/>
  <c r="AA399" i="454"/>
  <c r="R399" i="454"/>
  <c r="AA398" i="454"/>
  <c r="R398" i="454"/>
  <c r="AA397" i="454"/>
  <c r="R397" i="454"/>
  <c r="AA396" i="454"/>
  <c r="R396" i="454"/>
  <c r="AA395" i="454"/>
  <c r="R395" i="454"/>
  <c r="AA394" i="454"/>
  <c r="R394" i="454"/>
  <c r="AA393" i="454"/>
  <c r="R393" i="454"/>
  <c r="AA392" i="454"/>
  <c r="R392" i="454"/>
  <c r="AA391" i="454"/>
  <c r="R391" i="454"/>
  <c r="AA390" i="454"/>
  <c r="R390" i="454"/>
  <c r="AA389" i="454"/>
  <c r="R389" i="454"/>
  <c r="AA388" i="454"/>
  <c r="R388" i="454"/>
  <c r="AA387" i="454"/>
  <c r="R387" i="454"/>
  <c r="AA386" i="454"/>
  <c r="R386" i="454"/>
  <c r="AA385" i="454"/>
  <c r="R385" i="454"/>
  <c r="AA384" i="454"/>
  <c r="R384" i="454"/>
  <c r="AA383" i="454"/>
  <c r="R383" i="454"/>
  <c r="AA382" i="454"/>
  <c r="R382" i="454"/>
  <c r="AA381" i="454"/>
  <c r="R381" i="454"/>
  <c r="AA380" i="454"/>
  <c r="R380" i="454"/>
  <c r="AA379" i="454"/>
  <c r="R379" i="454"/>
  <c r="AA378" i="454"/>
  <c r="R378" i="454"/>
  <c r="AA377" i="454"/>
  <c r="R377" i="454"/>
  <c r="AA376" i="454"/>
  <c r="R376" i="454"/>
  <c r="AA375" i="454"/>
  <c r="R375" i="454"/>
  <c r="AA374" i="454"/>
  <c r="R374" i="454"/>
  <c r="AA373" i="454"/>
  <c r="R373" i="454"/>
  <c r="AA372" i="454"/>
  <c r="R372" i="454"/>
  <c r="AA371" i="454"/>
  <c r="R371" i="454"/>
  <c r="AA370" i="454"/>
  <c r="R370" i="454"/>
  <c r="AA369" i="454"/>
  <c r="R369" i="454"/>
  <c r="AA368" i="454"/>
  <c r="R368" i="454"/>
  <c r="AA367" i="454"/>
  <c r="R367" i="454"/>
  <c r="AA366" i="454"/>
  <c r="R366" i="454"/>
  <c r="AA365" i="454"/>
  <c r="R365" i="454"/>
  <c r="AA364" i="454"/>
  <c r="R364" i="454"/>
  <c r="Z363" i="454"/>
  <c r="Y363" i="454"/>
  <c r="X363" i="454"/>
  <c r="W363" i="454"/>
  <c r="V363" i="454"/>
  <c r="U363" i="454"/>
  <c r="T363" i="454"/>
  <c r="S363" i="454"/>
  <c r="Q363" i="454"/>
  <c r="P363" i="454"/>
  <c r="O363" i="454"/>
  <c r="N363" i="454"/>
  <c r="M363" i="454"/>
  <c r="L363" i="454"/>
  <c r="J363" i="454"/>
  <c r="I363" i="454"/>
  <c r="H363" i="454"/>
  <c r="G363" i="454"/>
  <c r="F363" i="454"/>
  <c r="D363" i="454"/>
  <c r="AA362" i="454"/>
  <c r="R362" i="454"/>
  <c r="Z361" i="454"/>
  <c r="Y361" i="454"/>
  <c r="X361" i="454"/>
  <c r="W361" i="454"/>
  <c r="V361" i="454"/>
  <c r="U361" i="454"/>
  <c r="T361" i="454"/>
  <c r="S361" i="454"/>
  <c r="Q361" i="454"/>
  <c r="P361" i="454"/>
  <c r="O361" i="454"/>
  <c r="N361" i="454"/>
  <c r="M361" i="454"/>
  <c r="L361" i="454"/>
  <c r="J361" i="454"/>
  <c r="I361" i="454"/>
  <c r="H361" i="454"/>
  <c r="G361" i="454"/>
  <c r="F361" i="454"/>
  <c r="D361" i="454"/>
  <c r="AA360" i="454"/>
  <c r="R360" i="454"/>
  <c r="AA359" i="454"/>
  <c r="R359" i="454"/>
  <c r="AA358" i="454"/>
  <c r="R358" i="454"/>
  <c r="Z357" i="454"/>
  <c r="Y357" i="454"/>
  <c r="X357" i="454"/>
  <c r="W357" i="454"/>
  <c r="V357" i="454"/>
  <c r="U357" i="454"/>
  <c r="T357" i="454"/>
  <c r="S357" i="454"/>
  <c r="Q357" i="454"/>
  <c r="P357" i="454"/>
  <c r="O357" i="454"/>
  <c r="N357" i="454"/>
  <c r="M357" i="454"/>
  <c r="L357" i="454"/>
  <c r="J357" i="454"/>
  <c r="I357" i="454"/>
  <c r="H357" i="454"/>
  <c r="G357" i="454"/>
  <c r="F357" i="454"/>
  <c r="D357" i="454"/>
  <c r="AA356" i="454"/>
  <c r="R356" i="454"/>
  <c r="Z355" i="454"/>
  <c r="Y355" i="454"/>
  <c r="X355" i="454"/>
  <c r="W355" i="454"/>
  <c r="V355" i="454"/>
  <c r="U355" i="454"/>
  <c r="T355" i="454"/>
  <c r="S355" i="454"/>
  <c r="Q355" i="454"/>
  <c r="P355" i="454"/>
  <c r="O355" i="454"/>
  <c r="N355" i="454"/>
  <c r="M355" i="454"/>
  <c r="L355" i="454"/>
  <c r="J355" i="454"/>
  <c r="I355" i="454"/>
  <c r="H355" i="454"/>
  <c r="G355" i="454"/>
  <c r="F355" i="454"/>
  <c r="D355" i="454"/>
  <c r="AA353" i="454"/>
  <c r="R353" i="454"/>
  <c r="AA352" i="454"/>
  <c r="R352" i="454"/>
  <c r="AA351" i="454"/>
  <c r="R351" i="454"/>
  <c r="Z350" i="454"/>
  <c r="Y350" i="454"/>
  <c r="X350" i="454"/>
  <c r="W350" i="454"/>
  <c r="V350" i="454"/>
  <c r="U350" i="454"/>
  <c r="T350" i="454"/>
  <c r="S350" i="454"/>
  <c r="Q350" i="454"/>
  <c r="P350" i="454"/>
  <c r="O350" i="454"/>
  <c r="N350" i="454"/>
  <c r="M350" i="454"/>
  <c r="L350" i="454"/>
  <c r="J350" i="454"/>
  <c r="I350" i="454"/>
  <c r="H350" i="454"/>
  <c r="G350" i="454"/>
  <c r="F350" i="454"/>
  <c r="D350" i="454"/>
  <c r="AA347" i="454"/>
  <c r="R347" i="454"/>
  <c r="Z346" i="454"/>
  <c r="Z345" i="454" s="1"/>
  <c r="Z344" i="454" s="1"/>
  <c r="Z343" i="454" s="1"/>
  <c r="Y346" i="454"/>
  <c r="Y345" i="454" s="1"/>
  <c r="Y344" i="454" s="1"/>
  <c r="Y343" i="454" s="1"/>
  <c r="X346" i="454"/>
  <c r="X345" i="454" s="1"/>
  <c r="X344" i="454" s="1"/>
  <c r="X343" i="454" s="1"/>
  <c r="W346" i="454"/>
  <c r="W345" i="454" s="1"/>
  <c r="W344" i="454" s="1"/>
  <c r="W343" i="454" s="1"/>
  <c r="V346" i="454"/>
  <c r="V345" i="454" s="1"/>
  <c r="V344" i="454" s="1"/>
  <c r="V343" i="454" s="1"/>
  <c r="U346" i="454"/>
  <c r="U345" i="454" s="1"/>
  <c r="U344" i="454" s="1"/>
  <c r="U343" i="454" s="1"/>
  <c r="T346" i="454"/>
  <c r="T345" i="454" s="1"/>
  <c r="T344" i="454" s="1"/>
  <c r="T343" i="454" s="1"/>
  <c r="S346" i="454"/>
  <c r="S345" i="454" s="1"/>
  <c r="S344" i="454" s="1"/>
  <c r="Q346" i="454"/>
  <c r="Q345" i="454" s="1"/>
  <c r="Q344" i="454" s="1"/>
  <c r="Q343" i="454" s="1"/>
  <c r="P346" i="454"/>
  <c r="P345" i="454" s="1"/>
  <c r="P344" i="454" s="1"/>
  <c r="P343" i="454" s="1"/>
  <c r="O346" i="454"/>
  <c r="O345" i="454" s="1"/>
  <c r="O344" i="454" s="1"/>
  <c r="O343" i="454" s="1"/>
  <c r="N346" i="454"/>
  <c r="N345" i="454" s="1"/>
  <c r="N344" i="454" s="1"/>
  <c r="N343" i="454" s="1"/>
  <c r="M346" i="454"/>
  <c r="M345" i="454" s="1"/>
  <c r="M344" i="454" s="1"/>
  <c r="M343" i="454" s="1"/>
  <c r="L346" i="454"/>
  <c r="J346" i="454"/>
  <c r="J345" i="454" s="1"/>
  <c r="J344" i="454" s="1"/>
  <c r="J343" i="454" s="1"/>
  <c r="I346" i="454"/>
  <c r="I345" i="454" s="1"/>
  <c r="I344" i="454" s="1"/>
  <c r="I343" i="454" s="1"/>
  <c r="H346" i="454"/>
  <c r="H345" i="454" s="1"/>
  <c r="H344" i="454" s="1"/>
  <c r="H343" i="454" s="1"/>
  <c r="G346" i="454"/>
  <c r="G345" i="454" s="1"/>
  <c r="G344" i="454" s="1"/>
  <c r="G343" i="454" s="1"/>
  <c r="F346" i="454"/>
  <c r="F345" i="454" s="1"/>
  <c r="F344" i="454" s="1"/>
  <c r="F343" i="454" s="1"/>
  <c r="D346" i="454"/>
  <c r="AA342" i="454"/>
  <c r="R342" i="454"/>
  <c r="AA341" i="454"/>
  <c r="R341" i="454"/>
  <c r="AA340" i="454"/>
  <c r="R340" i="454"/>
  <c r="Z338" i="454"/>
  <c r="Z337" i="454" s="1"/>
  <c r="Y338" i="454"/>
  <c r="Y337" i="454" s="1"/>
  <c r="W338" i="454"/>
  <c r="W337" i="454" s="1"/>
  <c r="V338" i="454"/>
  <c r="V337" i="454" s="1"/>
  <c r="U338" i="454"/>
  <c r="U337" i="454" s="1"/>
  <c r="T338" i="454"/>
  <c r="T337" i="454" s="1"/>
  <c r="S338" i="454"/>
  <c r="S337" i="454" s="1"/>
  <c r="Q338" i="454"/>
  <c r="Q337" i="454" s="1"/>
  <c r="P338" i="454"/>
  <c r="P337" i="454" s="1"/>
  <c r="O338" i="454"/>
  <c r="O337" i="454" s="1"/>
  <c r="N338" i="454"/>
  <c r="N337" i="454" s="1"/>
  <c r="M338" i="454"/>
  <c r="M337" i="454" s="1"/>
  <c r="L338" i="454"/>
  <c r="J338" i="454"/>
  <c r="J337" i="454" s="1"/>
  <c r="I338" i="454"/>
  <c r="I337" i="454" s="1"/>
  <c r="H338" i="454"/>
  <c r="H337" i="454" s="1"/>
  <c r="G338" i="454"/>
  <c r="G337" i="454" s="1"/>
  <c r="F338" i="454"/>
  <c r="F337" i="454" s="1"/>
  <c r="D338" i="454"/>
  <c r="AA336" i="454"/>
  <c r="R336" i="454"/>
  <c r="AA335" i="454"/>
  <c r="R335" i="454"/>
  <c r="AA334" i="454"/>
  <c r="R334" i="454"/>
  <c r="AA333" i="454"/>
  <c r="R333" i="454"/>
  <c r="AA332" i="454"/>
  <c r="R332" i="454"/>
  <c r="AA331" i="454"/>
  <c r="R331" i="454"/>
  <c r="AA330" i="454"/>
  <c r="R330" i="454"/>
  <c r="AA329" i="454"/>
  <c r="R329" i="454"/>
  <c r="AA328" i="454"/>
  <c r="R328" i="454"/>
  <c r="AA327" i="454"/>
  <c r="R327" i="454"/>
  <c r="AA326" i="454"/>
  <c r="R326" i="454"/>
  <c r="AA325" i="454"/>
  <c r="R325" i="454"/>
  <c r="AA324" i="454"/>
  <c r="R324" i="454"/>
  <c r="AA323" i="454"/>
  <c r="R323" i="454"/>
  <c r="AA322" i="454"/>
  <c r="R322" i="454"/>
  <c r="AA321" i="454"/>
  <c r="R321" i="454"/>
  <c r="AA320" i="454"/>
  <c r="R320" i="454"/>
  <c r="AA319" i="454"/>
  <c r="R319" i="454"/>
  <c r="AA318" i="454"/>
  <c r="R318" i="454"/>
  <c r="AA317" i="454"/>
  <c r="R317" i="454"/>
  <c r="AA316" i="454"/>
  <c r="R316" i="454"/>
  <c r="AA315" i="454"/>
  <c r="R315" i="454"/>
  <c r="AA314" i="454"/>
  <c r="R314" i="454"/>
  <c r="AA313" i="454"/>
  <c r="R313" i="454"/>
  <c r="AA312" i="454"/>
  <c r="R312" i="454"/>
  <c r="AA311" i="454"/>
  <c r="R311" i="454"/>
  <c r="AA310" i="454"/>
  <c r="R310" i="454"/>
  <c r="AA309" i="454"/>
  <c r="R309" i="454"/>
  <c r="AA308" i="454"/>
  <c r="R308" i="454"/>
  <c r="AA307" i="454"/>
  <c r="R307" i="454"/>
  <c r="AA306" i="454"/>
  <c r="R306" i="454"/>
  <c r="AA305" i="454"/>
  <c r="R305" i="454"/>
  <c r="AA304" i="454"/>
  <c r="R304" i="454"/>
  <c r="AA303" i="454"/>
  <c r="R303" i="454"/>
  <c r="AA302" i="454"/>
  <c r="R302" i="454"/>
  <c r="AA301" i="454"/>
  <c r="R301" i="454"/>
  <c r="AA300" i="454"/>
  <c r="R300" i="454"/>
  <c r="AA299" i="454"/>
  <c r="R299" i="454"/>
  <c r="AA298" i="454"/>
  <c r="R298" i="454"/>
  <c r="AA297" i="454"/>
  <c r="R297" i="454"/>
  <c r="AA296" i="454"/>
  <c r="R296" i="454"/>
  <c r="AA295" i="454"/>
  <c r="R295" i="454"/>
  <c r="AA294" i="454"/>
  <c r="R294" i="454"/>
  <c r="AA293" i="454"/>
  <c r="R293" i="454"/>
  <c r="AA292" i="454"/>
  <c r="R292" i="454"/>
  <c r="AA291" i="454"/>
  <c r="R291" i="454"/>
  <c r="Z290" i="454"/>
  <c r="Y290" i="454"/>
  <c r="X290" i="454"/>
  <c r="W290" i="454"/>
  <c r="V290" i="454"/>
  <c r="U290" i="454"/>
  <c r="T290" i="454"/>
  <c r="S290" i="454"/>
  <c r="Q290" i="454"/>
  <c r="P290" i="454"/>
  <c r="O290" i="454"/>
  <c r="N290" i="454"/>
  <c r="M290" i="454"/>
  <c r="L290" i="454"/>
  <c r="J290" i="454"/>
  <c r="I290" i="454"/>
  <c r="H290" i="454"/>
  <c r="G290" i="454"/>
  <c r="F290" i="454"/>
  <c r="D290" i="454"/>
  <c r="Z289" i="454"/>
  <c r="Y289" i="454"/>
  <c r="X289" i="454"/>
  <c r="W289" i="454"/>
  <c r="V289" i="454"/>
  <c r="U289" i="454"/>
  <c r="T289" i="454"/>
  <c r="S289" i="454"/>
  <c r="Q289" i="454"/>
  <c r="P289" i="454"/>
  <c r="O289" i="454"/>
  <c r="N289" i="454"/>
  <c r="M289" i="454"/>
  <c r="L289" i="454"/>
  <c r="J289" i="454"/>
  <c r="I289" i="454"/>
  <c r="H289" i="454"/>
  <c r="G289" i="454"/>
  <c r="F289" i="454"/>
  <c r="D289" i="454"/>
  <c r="AA288" i="454"/>
  <c r="R288" i="454"/>
  <c r="Z287" i="454"/>
  <c r="Y287" i="454"/>
  <c r="X287" i="454"/>
  <c r="W287" i="454"/>
  <c r="V287" i="454"/>
  <c r="U287" i="454"/>
  <c r="T287" i="454"/>
  <c r="S287" i="454"/>
  <c r="Q287" i="454"/>
  <c r="P287" i="454"/>
  <c r="O287" i="454"/>
  <c r="N287" i="454"/>
  <c r="M287" i="454"/>
  <c r="L287" i="454"/>
  <c r="J287" i="454"/>
  <c r="I287" i="454"/>
  <c r="H287" i="454"/>
  <c r="G287" i="454"/>
  <c r="F287" i="454"/>
  <c r="D287" i="454"/>
  <c r="AA286" i="454"/>
  <c r="R286" i="454"/>
  <c r="Z285" i="454"/>
  <c r="Y285" i="454"/>
  <c r="X285" i="454"/>
  <c r="W285" i="454"/>
  <c r="V285" i="454"/>
  <c r="U285" i="454"/>
  <c r="T285" i="454"/>
  <c r="S285" i="454"/>
  <c r="Q285" i="454"/>
  <c r="P285" i="454"/>
  <c r="O285" i="454"/>
  <c r="N285" i="454"/>
  <c r="M285" i="454"/>
  <c r="L285" i="454"/>
  <c r="J285" i="454"/>
  <c r="I285" i="454"/>
  <c r="H285" i="454"/>
  <c r="G285" i="454"/>
  <c r="F285" i="454"/>
  <c r="D285" i="454"/>
  <c r="Z284" i="454"/>
  <c r="Y284" i="454"/>
  <c r="X284" i="454"/>
  <c r="W284" i="454"/>
  <c r="V284" i="454"/>
  <c r="U284" i="454"/>
  <c r="T284" i="454"/>
  <c r="S284" i="454"/>
  <c r="Q284" i="454"/>
  <c r="P284" i="454"/>
  <c r="O284" i="454"/>
  <c r="N284" i="454"/>
  <c r="M284" i="454"/>
  <c r="L284" i="454"/>
  <c r="J284" i="454"/>
  <c r="I284" i="454"/>
  <c r="H284" i="454"/>
  <c r="G284" i="454"/>
  <c r="F284" i="454"/>
  <c r="D284" i="454"/>
  <c r="Z283" i="454"/>
  <c r="Y283" i="454"/>
  <c r="X283" i="454"/>
  <c r="W283" i="454"/>
  <c r="V283" i="454"/>
  <c r="U283" i="454"/>
  <c r="T283" i="454"/>
  <c r="S283" i="454"/>
  <c r="Q283" i="454"/>
  <c r="P283" i="454"/>
  <c r="O283" i="454"/>
  <c r="N283" i="454"/>
  <c r="M283" i="454"/>
  <c r="L283" i="454"/>
  <c r="J283" i="454"/>
  <c r="I283" i="454"/>
  <c r="H283" i="454"/>
  <c r="G283" i="454"/>
  <c r="F283" i="454"/>
  <c r="D283" i="454"/>
  <c r="Z282" i="454"/>
  <c r="Y282" i="454"/>
  <c r="X282" i="454"/>
  <c r="W282" i="454"/>
  <c r="V282" i="454"/>
  <c r="U282" i="454"/>
  <c r="T282" i="454"/>
  <c r="S282" i="454"/>
  <c r="Q282" i="454"/>
  <c r="P282" i="454"/>
  <c r="O282" i="454"/>
  <c r="N282" i="454"/>
  <c r="M282" i="454"/>
  <c r="L282" i="454"/>
  <c r="J282" i="454"/>
  <c r="I282" i="454"/>
  <c r="H282" i="454"/>
  <c r="G282" i="454"/>
  <c r="F282" i="454"/>
  <c r="D282" i="454"/>
  <c r="Z281" i="454"/>
  <c r="Y281" i="454"/>
  <c r="X281" i="454"/>
  <c r="W281" i="454"/>
  <c r="V281" i="454"/>
  <c r="U281" i="454"/>
  <c r="T281" i="454"/>
  <c r="S281" i="454"/>
  <c r="Q281" i="454"/>
  <c r="P281" i="454"/>
  <c r="O281" i="454"/>
  <c r="N281" i="454"/>
  <c r="M281" i="454"/>
  <c r="L281" i="454"/>
  <c r="J281" i="454"/>
  <c r="I281" i="454"/>
  <c r="H281" i="454"/>
  <c r="G281" i="454"/>
  <c r="F281" i="454"/>
  <c r="D281" i="454"/>
  <c r="AA280" i="454"/>
  <c r="R280" i="454"/>
  <c r="Z278" i="454"/>
  <c r="Z277" i="454" s="1"/>
  <c r="Z279" i="454" s="1"/>
  <c r="Y278" i="454"/>
  <c r="Y277" i="454" s="1"/>
  <c r="Y279" i="454" s="1"/>
  <c r="X278" i="454"/>
  <c r="X277" i="454" s="1"/>
  <c r="X279" i="454" s="1"/>
  <c r="W278" i="454"/>
  <c r="W277" i="454" s="1"/>
  <c r="W279" i="454" s="1"/>
  <c r="V278" i="454"/>
  <c r="V277" i="454" s="1"/>
  <c r="V279" i="454" s="1"/>
  <c r="U278" i="454"/>
  <c r="U277" i="454" s="1"/>
  <c r="U279" i="454" s="1"/>
  <c r="T278" i="454"/>
  <c r="T277" i="454" s="1"/>
  <c r="T279" i="454" s="1"/>
  <c r="S278" i="454"/>
  <c r="S277" i="454" s="1"/>
  <c r="S279" i="454" s="1"/>
  <c r="Q278" i="454"/>
  <c r="Q277" i="454" s="1"/>
  <c r="Q279" i="454" s="1"/>
  <c r="P278" i="454"/>
  <c r="P277" i="454" s="1"/>
  <c r="P279" i="454" s="1"/>
  <c r="O278" i="454"/>
  <c r="O277" i="454" s="1"/>
  <c r="O279" i="454" s="1"/>
  <c r="N278" i="454"/>
  <c r="N277" i="454" s="1"/>
  <c r="N279" i="454" s="1"/>
  <c r="M278" i="454"/>
  <c r="M277" i="454" s="1"/>
  <c r="M279" i="454" s="1"/>
  <c r="L278" i="454"/>
  <c r="L277" i="454" s="1"/>
  <c r="J278" i="454"/>
  <c r="J277" i="454" s="1"/>
  <c r="J279" i="454" s="1"/>
  <c r="I278" i="454"/>
  <c r="I277" i="454" s="1"/>
  <c r="I279" i="454" s="1"/>
  <c r="H278" i="454"/>
  <c r="H277" i="454" s="1"/>
  <c r="H279" i="454" s="1"/>
  <c r="G278" i="454"/>
  <c r="G277" i="454" s="1"/>
  <c r="G279" i="454" s="1"/>
  <c r="F278" i="454"/>
  <c r="F277" i="454" s="1"/>
  <c r="F279" i="454" s="1"/>
  <c r="D278" i="454"/>
  <c r="D277" i="454" s="1"/>
  <c r="AA276" i="454"/>
  <c r="R276" i="454"/>
  <c r="Z275" i="454"/>
  <c r="Y275" i="454"/>
  <c r="X275" i="454"/>
  <c r="W275" i="454"/>
  <c r="V275" i="454"/>
  <c r="U275" i="454"/>
  <c r="T275" i="454"/>
  <c r="S275" i="454"/>
  <c r="Q275" i="454"/>
  <c r="P275" i="454"/>
  <c r="O275" i="454"/>
  <c r="N275" i="454"/>
  <c r="M275" i="454"/>
  <c r="L275" i="454"/>
  <c r="J275" i="454"/>
  <c r="I275" i="454"/>
  <c r="H275" i="454"/>
  <c r="G275" i="454"/>
  <c r="F275" i="454"/>
  <c r="D275" i="454"/>
  <c r="AA274" i="454"/>
  <c r="R274" i="454"/>
  <c r="Z273" i="454"/>
  <c r="Y273" i="454"/>
  <c r="X273" i="454"/>
  <c r="W273" i="454"/>
  <c r="V273" i="454"/>
  <c r="U273" i="454"/>
  <c r="T273" i="454"/>
  <c r="S273" i="454"/>
  <c r="Q273" i="454"/>
  <c r="P273" i="454"/>
  <c r="O273" i="454"/>
  <c r="N273" i="454"/>
  <c r="M273" i="454"/>
  <c r="L273" i="454"/>
  <c r="J273" i="454"/>
  <c r="I273" i="454"/>
  <c r="H273" i="454"/>
  <c r="G273" i="454"/>
  <c r="F273" i="454"/>
  <c r="D273" i="454"/>
  <c r="AA272" i="454"/>
  <c r="R272" i="454"/>
  <c r="Z271" i="454"/>
  <c r="Y271" i="454"/>
  <c r="X271" i="454"/>
  <c r="W271" i="454"/>
  <c r="V271" i="454"/>
  <c r="U271" i="454"/>
  <c r="T271" i="454"/>
  <c r="S271" i="454"/>
  <c r="Q271" i="454"/>
  <c r="P271" i="454"/>
  <c r="O271" i="454"/>
  <c r="N271" i="454"/>
  <c r="M271" i="454"/>
  <c r="L271" i="454"/>
  <c r="J271" i="454"/>
  <c r="I271" i="454"/>
  <c r="H271" i="454"/>
  <c r="G271" i="454"/>
  <c r="F271" i="454"/>
  <c r="D271" i="454"/>
  <c r="Z270" i="454"/>
  <c r="Y270" i="454"/>
  <c r="X270" i="454"/>
  <c r="W270" i="454"/>
  <c r="V270" i="454"/>
  <c r="U270" i="454"/>
  <c r="T270" i="454"/>
  <c r="S270" i="454"/>
  <c r="Q270" i="454"/>
  <c r="P270" i="454"/>
  <c r="O270" i="454"/>
  <c r="N270" i="454"/>
  <c r="M270" i="454"/>
  <c r="L270" i="454"/>
  <c r="J270" i="454"/>
  <c r="I270" i="454"/>
  <c r="H270" i="454"/>
  <c r="G270" i="454"/>
  <c r="F270" i="454"/>
  <c r="D270" i="454"/>
  <c r="Z269" i="454"/>
  <c r="Y269" i="454"/>
  <c r="X269" i="454"/>
  <c r="W269" i="454"/>
  <c r="V269" i="454"/>
  <c r="U269" i="454"/>
  <c r="T269" i="454"/>
  <c r="S269" i="454"/>
  <c r="Q269" i="454"/>
  <c r="P269" i="454"/>
  <c r="O269" i="454"/>
  <c r="N269" i="454"/>
  <c r="M269" i="454"/>
  <c r="L269" i="454"/>
  <c r="J269" i="454"/>
  <c r="I269" i="454"/>
  <c r="H269" i="454"/>
  <c r="G269" i="454"/>
  <c r="F269" i="454"/>
  <c r="D269" i="454"/>
  <c r="Z268" i="454"/>
  <c r="Y268" i="454"/>
  <c r="X268" i="454"/>
  <c r="W268" i="454"/>
  <c r="V268" i="454"/>
  <c r="U268" i="454"/>
  <c r="T268" i="454"/>
  <c r="S268" i="454"/>
  <c r="Q268" i="454"/>
  <c r="P268" i="454"/>
  <c r="O268" i="454"/>
  <c r="N268" i="454"/>
  <c r="M268" i="454"/>
  <c r="L268" i="454"/>
  <c r="J268" i="454"/>
  <c r="I268" i="454"/>
  <c r="H268" i="454"/>
  <c r="G268" i="454"/>
  <c r="F268" i="454"/>
  <c r="D268" i="454"/>
  <c r="AA267" i="454"/>
  <c r="R267" i="454"/>
  <c r="AA266" i="454"/>
  <c r="R266" i="454"/>
  <c r="J266" i="454"/>
  <c r="I266" i="454"/>
  <c r="H266" i="454"/>
  <c r="G266" i="454"/>
  <c r="F266" i="454"/>
  <c r="D266" i="454"/>
  <c r="AA265" i="454"/>
  <c r="R265" i="454"/>
  <c r="J265" i="454"/>
  <c r="I265" i="454"/>
  <c r="H265" i="454"/>
  <c r="G265" i="454"/>
  <c r="F265" i="454"/>
  <c r="D265" i="454"/>
  <c r="AA264" i="454"/>
  <c r="R264" i="454"/>
  <c r="J264" i="454"/>
  <c r="I264" i="454"/>
  <c r="H264" i="454"/>
  <c r="G264" i="454"/>
  <c r="F264" i="454"/>
  <c r="D264" i="454"/>
  <c r="AA263" i="454"/>
  <c r="R263" i="454"/>
  <c r="J263" i="454"/>
  <c r="I263" i="454"/>
  <c r="H263" i="454"/>
  <c r="G263" i="454"/>
  <c r="F263" i="454"/>
  <c r="D263" i="454"/>
  <c r="Z262" i="454"/>
  <c r="Z261" i="454" s="1"/>
  <c r="Z255" i="454" s="1"/>
  <c r="Z254" i="454" s="1"/>
  <c r="Y262" i="454"/>
  <c r="Y261" i="454" s="1"/>
  <c r="Y255" i="454" s="1"/>
  <c r="Y254" i="454" s="1"/>
  <c r="X262" i="454"/>
  <c r="X261" i="454" s="1"/>
  <c r="X255" i="454" s="1"/>
  <c r="X254" i="454" s="1"/>
  <c r="W262" i="454"/>
  <c r="W261" i="454" s="1"/>
  <c r="W255" i="454" s="1"/>
  <c r="W254" i="454" s="1"/>
  <c r="V262" i="454"/>
  <c r="V261" i="454" s="1"/>
  <c r="V255" i="454" s="1"/>
  <c r="V254" i="454" s="1"/>
  <c r="U262" i="454"/>
  <c r="U261" i="454" s="1"/>
  <c r="U255" i="454" s="1"/>
  <c r="U254" i="454" s="1"/>
  <c r="T262" i="454"/>
  <c r="S262" i="454"/>
  <c r="S261" i="454" s="1"/>
  <c r="Q262" i="454"/>
  <c r="Q261" i="454" s="1"/>
  <c r="Q255" i="454" s="1"/>
  <c r="Q254" i="454" s="1"/>
  <c r="P262" i="454"/>
  <c r="P261" i="454" s="1"/>
  <c r="P255" i="454" s="1"/>
  <c r="P254" i="454" s="1"/>
  <c r="O262" i="454"/>
  <c r="O261" i="454" s="1"/>
  <c r="O255" i="454" s="1"/>
  <c r="O254" i="454" s="1"/>
  <c r="N262" i="454"/>
  <c r="N261" i="454" s="1"/>
  <c r="N255" i="454" s="1"/>
  <c r="N254" i="454" s="1"/>
  <c r="M262" i="454"/>
  <c r="M261" i="454" s="1"/>
  <c r="M255" i="454" s="1"/>
  <c r="M254" i="454" s="1"/>
  <c r="L262" i="454"/>
  <c r="T261" i="454"/>
  <c r="T255" i="454" s="1"/>
  <c r="T254" i="454" s="1"/>
  <c r="J261" i="454"/>
  <c r="J255" i="454" s="1"/>
  <c r="J254" i="454" s="1"/>
  <c r="I261" i="454"/>
  <c r="I255" i="454" s="1"/>
  <c r="I254" i="454" s="1"/>
  <c r="H261" i="454"/>
  <c r="H255" i="454" s="1"/>
  <c r="H254" i="454" s="1"/>
  <c r="G261" i="454"/>
  <c r="G255" i="454" s="1"/>
  <c r="G254" i="454" s="1"/>
  <c r="F261" i="454"/>
  <c r="F255" i="454" s="1"/>
  <c r="F254" i="454" s="1"/>
  <c r="D261" i="454"/>
  <c r="D255" i="454" s="1"/>
  <c r="D254" i="454" s="1"/>
  <c r="AA260" i="454"/>
  <c r="R260" i="454"/>
  <c r="AA259" i="454"/>
  <c r="R259" i="454"/>
  <c r="AA258" i="454"/>
  <c r="R258" i="454"/>
  <c r="AA257" i="454"/>
  <c r="R257" i="454"/>
  <c r="AA256" i="454"/>
  <c r="R256" i="454"/>
  <c r="AA253" i="454"/>
  <c r="R253" i="454"/>
  <c r="Z252" i="454"/>
  <c r="Z251" i="454" s="1"/>
  <c r="Y252" i="454"/>
  <c r="Y251" i="454" s="1"/>
  <c r="X252" i="454"/>
  <c r="X251" i="454" s="1"/>
  <c r="W252" i="454"/>
  <c r="W251" i="454" s="1"/>
  <c r="V252" i="454"/>
  <c r="V251" i="454" s="1"/>
  <c r="U252" i="454"/>
  <c r="U251" i="454" s="1"/>
  <c r="T252" i="454"/>
  <c r="T251" i="454" s="1"/>
  <c r="S252" i="454"/>
  <c r="S251" i="454" s="1"/>
  <c r="Q252" i="454"/>
  <c r="Q251" i="454" s="1"/>
  <c r="P252" i="454"/>
  <c r="P251" i="454" s="1"/>
  <c r="O252" i="454"/>
  <c r="O251" i="454" s="1"/>
  <c r="N252" i="454"/>
  <c r="N251" i="454" s="1"/>
  <c r="M252" i="454"/>
  <c r="M251" i="454" s="1"/>
  <c r="L252" i="454"/>
  <c r="L251" i="454" s="1"/>
  <c r="J252" i="454"/>
  <c r="J251" i="454" s="1"/>
  <c r="I252" i="454"/>
  <c r="I251" i="454" s="1"/>
  <c r="H252" i="454"/>
  <c r="H251" i="454" s="1"/>
  <c r="G252" i="454"/>
  <c r="G251" i="454" s="1"/>
  <c r="F252" i="454"/>
  <c r="F251" i="454" s="1"/>
  <c r="D252" i="454"/>
  <c r="D251" i="454" s="1"/>
  <c r="AA250" i="454"/>
  <c r="R250" i="454"/>
  <c r="Z249" i="454"/>
  <c r="Y249" i="454"/>
  <c r="X249" i="454"/>
  <c r="X248" i="454" s="1"/>
  <c r="W249" i="454"/>
  <c r="W248" i="454" s="1"/>
  <c r="V249" i="454"/>
  <c r="V248" i="454" s="1"/>
  <c r="U249" i="454"/>
  <c r="U248" i="454" s="1"/>
  <c r="T249" i="454"/>
  <c r="T248" i="454" s="1"/>
  <c r="S249" i="454"/>
  <c r="S248" i="454" s="1"/>
  <c r="Q249" i="454"/>
  <c r="Q248" i="454" s="1"/>
  <c r="P249" i="454"/>
  <c r="P248" i="454" s="1"/>
  <c r="O249" i="454"/>
  <c r="O248" i="454" s="1"/>
  <c r="N249" i="454"/>
  <c r="N248" i="454" s="1"/>
  <c r="M249" i="454"/>
  <c r="M248" i="454" s="1"/>
  <c r="L249" i="454"/>
  <c r="J249" i="454"/>
  <c r="J248" i="454" s="1"/>
  <c r="I249" i="454"/>
  <c r="I248" i="454" s="1"/>
  <c r="H249" i="454"/>
  <c r="H248" i="454" s="1"/>
  <c r="G249" i="454"/>
  <c r="G248" i="454" s="1"/>
  <c r="F249" i="454"/>
  <c r="F248" i="454" s="1"/>
  <c r="D249" i="454"/>
  <c r="D248" i="454" s="1"/>
  <c r="Z248" i="454"/>
  <c r="Y248" i="454"/>
  <c r="Z246" i="454"/>
  <c r="Y246" i="454"/>
  <c r="X246" i="454"/>
  <c r="W246" i="454"/>
  <c r="V246" i="454"/>
  <c r="U246" i="454"/>
  <c r="T246" i="454"/>
  <c r="S246" i="454"/>
  <c r="Q246" i="454"/>
  <c r="P246" i="454"/>
  <c r="O246" i="454"/>
  <c r="N246" i="454"/>
  <c r="M246" i="454"/>
  <c r="L246" i="454"/>
  <c r="J246" i="454"/>
  <c r="I246" i="454"/>
  <c r="H246" i="454"/>
  <c r="G246" i="454"/>
  <c r="F246" i="454"/>
  <c r="Z245" i="454"/>
  <c r="Y245" i="454"/>
  <c r="X245" i="454"/>
  <c r="W245" i="454"/>
  <c r="V245" i="454"/>
  <c r="U245" i="454"/>
  <c r="T245" i="454"/>
  <c r="S245" i="454"/>
  <c r="Q245" i="454"/>
  <c r="P245" i="454"/>
  <c r="O245" i="454"/>
  <c r="N245" i="454"/>
  <c r="M245" i="454"/>
  <c r="L245" i="454"/>
  <c r="J245" i="454"/>
  <c r="I245" i="454"/>
  <c r="H245" i="454"/>
  <c r="G245" i="454"/>
  <c r="F245" i="454"/>
  <c r="Z244" i="454"/>
  <c r="Y244" i="454"/>
  <c r="X244" i="454"/>
  <c r="W244" i="454"/>
  <c r="V244" i="454"/>
  <c r="U244" i="454"/>
  <c r="T244" i="454"/>
  <c r="S244" i="454"/>
  <c r="Q244" i="454"/>
  <c r="P244" i="454"/>
  <c r="O244" i="454"/>
  <c r="N244" i="454"/>
  <c r="M244" i="454"/>
  <c r="L244" i="454"/>
  <c r="J244" i="454"/>
  <c r="I244" i="454"/>
  <c r="H244" i="454"/>
  <c r="G244" i="454"/>
  <c r="F244" i="454"/>
  <c r="Z243" i="454"/>
  <c r="Y243" i="454"/>
  <c r="X243" i="454"/>
  <c r="W243" i="454"/>
  <c r="V243" i="454"/>
  <c r="U243" i="454"/>
  <c r="T243" i="454"/>
  <c r="S243" i="454"/>
  <c r="Q243" i="454"/>
  <c r="P243" i="454"/>
  <c r="O243" i="454"/>
  <c r="N243" i="454"/>
  <c r="M243" i="454"/>
  <c r="L243" i="454"/>
  <c r="J243" i="454"/>
  <c r="I243" i="454"/>
  <c r="H243" i="454"/>
  <c r="G243" i="454"/>
  <c r="F243" i="454"/>
  <c r="Z242" i="454"/>
  <c r="Y242" i="454"/>
  <c r="X242" i="454"/>
  <c r="W242" i="454"/>
  <c r="V242" i="454"/>
  <c r="U242" i="454"/>
  <c r="T242" i="454"/>
  <c r="S242" i="454"/>
  <c r="Q242" i="454"/>
  <c r="P242" i="454"/>
  <c r="O242" i="454"/>
  <c r="N242" i="454"/>
  <c r="M242" i="454"/>
  <c r="L242" i="454"/>
  <c r="J242" i="454"/>
  <c r="I242" i="454"/>
  <c r="H242" i="454"/>
  <c r="G242" i="454"/>
  <c r="F242" i="454"/>
  <c r="Z241" i="454"/>
  <c r="Y241" i="454"/>
  <c r="X241" i="454"/>
  <c r="W241" i="454"/>
  <c r="V241" i="454"/>
  <c r="U241" i="454"/>
  <c r="T241" i="454"/>
  <c r="S241" i="454"/>
  <c r="Q241" i="454"/>
  <c r="P241" i="454"/>
  <c r="O241" i="454"/>
  <c r="N241" i="454"/>
  <c r="M241" i="454"/>
  <c r="L241" i="454"/>
  <c r="J241" i="454"/>
  <c r="I241" i="454"/>
  <c r="H241" i="454"/>
  <c r="G241" i="454"/>
  <c r="F241" i="454"/>
  <c r="Z240" i="454"/>
  <c r="Y240" i="454"/>
  <c r="X240" i="454"/>
  <c r="W240" i="454"/>
  <c r="V240" i="454"/>
  <c r="U240" i="454"/>
  <c r="T240" i="454"/>
  <c r="S240" i="454"/>
  <c r="Q240" i="454"/>
  <c r="P240" i="454"/>
  <c r="O240" i="454"/>
  <c r="N240" i="454"/>
  <c r="M240" i="454"/>
  <c r="L240" i="454"/>
  <c r="J240" i="454"/>
  <c r="I240" i="454"/>
  <c r="H240" i="454"/>
  <c r="G240" i="454"/>
  <c r="F240" i="454"/>
  <c r="Z239" i="454"/>
  <c r="Y239" i="454"/>
  <c r="X239" i="454"/>
  <c r="W239" i="454"/>
  <c r="V239" i="454"/>
  <c r="U239" i="454"/>
  <c r="T239" i="454"/>
  <c r="S239" i="454"/>
  <c r="Q239" i="454"/>
  <c r="P239" i="454"/>
  <c r="O239" i="454"/>
  <c r="N239" i="454"/>
  <c r="M239" i="454"/>
  <c r="L239" i="454"/>
  <c r="J239" i="454"/>
  <c r="I239" i="454"/>
  <c r="H239" i="454"/>
  <c r="G239" i="454"/>
  <c r="F239" i="454"/>
  <c r="Z238" i="454"/>
  <c r="Y238" i="454"/>
  <c r="X238" i="454"/>
  <c r="W238" i="454"/>
  <c r="V238" i="454"/>
  <c r="U238" i="454"/>
  <c r="T238" i="454"/>
  <c r="S238" i="454"/>
  <c r="Q238" i="454"/>
  <c r="P238" i="454"/>
  <c r="O238" i="454"/>
  <c r="N238" i="454"/>
  <c r="M238" i="454"/>
  <c r="L238" i="454"/>
  <c r="J238" i="454"/>
  <c r="I238" i="454"/>
  <c r="H238" i="454"/>
  <c r="G238" i="454"/>
  <c r="F238" i="454"/>
  <c r="Z237" i="454"/>
  <c r="Y237" i="454"/>
  <c r="X237" i="454"/>
  <c r="W237" i="454"/>
  <c r="V237" i="454"/>
  <c r="U237" i="454"/>
  <c r="T237" i="454"/>
  <c r="S237" i="454"/>
  <c r="Q237" i="454"/>
  <c r="P237" i="454"/>
  <c r="O237" i="454"/>
  <c r="N237" i="454"/>
  <c r="M237" i="454"/>
  <c r="L237" i="454"/>
  <c r="J237" i="454"/>
  <c r="I237" i="454"/>
  <c r="H237" i="454"/>
  <c r="G237" i="454"/>
  <c r="F237" i="454"/>
  <c r="AA236" i="454"/>
  <c r="R236" i="454"/>
  <c r="D236" i="454"/>
  <c r="Z235" i="454"/>
  <c r="W235" i="454"/>
  <c r="V235" i="454"/>
  <c r="U235" i="454"/>
  <c r="T235" i="454"/>
  <c r="S235" i="454"/>
  <c r="Q235" i="454"/>
  <c r="P235" i="454"/>
  <c r="O235" i="454"/>
  <c r="N235" i="454"/>
  <c r="M235" i="454"/>
  <c r="L235" i="454"/>
  <c r="J235" i="454"/>
  <c r="I235" i="454"/>
  <c r="H235" i="454"/>
  <c r="G235" i="454"/>
  <c r="F235" i="454"/>
  <c r="Z234" i="454"/>
  <c r="W234" i="454"/>
  <c r="V234" i="454"/>
  <c r="U234" i="454"/>
  <c r="T234" i="454"/>
  <c r="S234" i="454"/>
  <c r="Q234" i="454"/>
  <c r="P234" i="454"/>
  <c r="O234" i="454"/>
  <c r="N234" i="454"/>
  <c r="M234" i="454"/>
  <c r="L234" i="454"/>
  <c r="J234" i="454"/>
  <c r="I234" i="454"/>
  <c r="H234" i="454"/>
  <c r="G234" i="454"/>
  <c r="F234" i="454"/>
  <c r="Z233" i="454"/>
  <c r="W233" i="454"/>
  <c r="V233" i="454"/>
  <c r="U233" i="454"/>
  <c r="T233" i="454"/>
  <c r="S233" i="454"/>
  <c r="Q233" i="454"/>
  <c r="P233" i="454"/>
  <c r="O233" i="454"/>
  <c r="N233" i="454"/>
  <c r="M233" i="454"/>
  <c r="L233" i="454"/>
  <c r="J233" i="454"/>
  <c r="I233" i="454"/>
  <c r="H233" i="454"/>
  <c r="G233" i="454"/>
  <c r="F233" i="454"/>
  <c r="Z232" i="454"/>
  <c r="W232" i="454"/>
  <c r="V232" i="454"/>
  <c r="U232" i="454"/>
  <c r="T232" i="454"/>
  <c r="S232" i="454"/>
  <c r="Q232" i="454"/>
  <c r="P232" i="454"/>
  <c r="O232" i="454"/>
  <c r="N232" i="454"/>
  <c r="M232" i="454"/>
  <c r="L232" i="454"/>
  <c r="J232" i="454"/>
  <c r="I232" i="454"/>
  <c r="H232" i="454"/>
  <c r="G232" i="454"/>
  <c r="F232" i="454"/>
  <c r="Z231" i="454"/>
  <c r="W231" i="454"/>
  <c r="V231" i="454"/>
  <c r="U231" i="454"/>
  <c r="T231" i="454"/>
  <c r="S231" i="454"/>
  <c r="Q231" i="454"/>
  <c r="P231" i="454"/>
  <c r="O231" i="454"/>
  <c r="N231" i="454"/>
  <c r="M231" i="454"/>
  <c r="L231" i="454"/>
  <c r="J231" i="454"/>
  <c r="I231" i="454"/>
  <c r="H231" i="454"/>
  <c r="G231" i="454"/>
  <c r="F231" i="454"/>
  <c r="Z230" i="454"/>
  <c r="W230" i="454"/>
  <c r="V230" i="454"/>
  <c r="U230" i="454"/>
  <c r="T230" i="454"/>
  <c r="S230" i="454"/>
  <c r="Q230" i="454"/>
  <c r="P230" i="454"/>
  <c r="O230" i="454"/>
  <c r="N230" i="454"/>
  <c r="M230" i="454"/>
  <c r="L230" i="454"/>
  <c r="J230" i="454"/>
  <c r="I230" i="454"/>
  <c r="H230" i="454"/>
  <c r="G230" i="454"/>
  <c r="F230" i="454"/>
  <c r="AA229" i="454"/>
  <c r="R229" i="454"/>
  <c r="J229" i="454"/>
  <c r="I229" i="454"/>
  <c r="H229" i="454"/>
  <c r="G229" i="454"/>
  <c r="F229" i="454"/>
  <c r="Z228" i="454"/>
  <c r="W228" i="454"/>
  <c r="V228" i="454"/>
  <c r="U228" i="454"/>
  <c r="T228" i="454"/>
  <c r="S228" i="454"/>
  <c r="Q228" i="454"/>
  <c r="P228" i="454"/>
  <c r="O228" i="454"/>
  <c r="N228" i="454"/>
  <c r="M228" i="454"/>
  <c r="L228" i="454"/>
  <c r="J228" i="454"/>
  <c r="I228" i="454"/>
  <c r="H228" i="454"/>
  <c r="G228" i="454"/>
  <c r="F228" i="454"/>
  <c r="Z227" i="454"/>
  <c r="W227" i="454"/>
  <c r="V227" i="454"/>
  <c r="U227" i="454"/>
  <c r="T227" i="454"/>
  <c r="S227" i="454"/>
  <c r="Q227" i="454"/>
  <c r="P227" i="454"/>
  <c r="O227" i="454"/>
  <c r="N227" i="454"/>
  <c r="M227" i="454"/>
  <c r="L227" i="454"/>
  <c r="J227" i="454"/>
  <c r="I227" i="454"/>
  <c r="H227" i="454"/>
  <c r="G227" i="454"/>
  <c r="F227" i="454"/>
  <c r="Z226" i="454"/>
  <c r="W226" i="454"/>
  <c r="V226" i="454"/>
  <c r="U226" i="454"/>
  <c r="T226" i="454"/>
  <c r="S226" i="454"/>
  <c r="Q226" i="454"/>
  <c r="P226" i="454"/>
  <c r="O226" i="454"/>
  <c r="N226" i="454"/>
  <c r="M226" i="454"/>
  <c r="L226" i="454"/>
  <c r="J226" i="454"/>
  <c r="I226" i="454"/>
  <c r="H226" i="454"/>
  <c r="G226" i="454"/>
  <c r="F226" i="454"/>
  <c r="D225" i="454"/>
  <c r="Z224" i="454"/>
  <c r="Z223" i="454" s="1"/>
  <c r="Z222" i="454" s="1"/>
  <c r="Z221" i="454" s="1"/>
  <c r="Y224" i="454"/>
  <c r="Y223" i="454" s="1"/>
  <c r="Y222" i="454" s="1"/>
  <c r="Y221" i="454" s="1"/>
  <c r="X224" i="454"/>
  <c r="X223" i="454" s="1"/>
  <c r="X222" i="454" s="1"/>
  <c r="X221" i="454" s="1"/>
  <c r="J224" i="454"/>
  <c r="J223" i="454" s="1"/>
  <c r="J222" i="454" s="1"/>
  <c r="J221" i="454" s="1"/>
  <c r="I224" i="454"/>
  <c r="I223" i="454" s="1"/>
  <c r="I222" i="454" s="1"/>
  <c r="I221" i="454" s="1"/>
  <c r="H224" i="454"/>
  <c r="H223" i="454" s="1"/>
  <c r="H222" i="454" s="1"/>
  <c r="H221" i="454" s="1"/>
  <c r="G224" i="454"/>
  <c r="G223" i="454" s="1"/>
  <c r="G222" i="454" s="1"/>
  <c r="G221" i="454" s="1"/>
  <c r="F224" i="454"/>
  <c r="F223" i="454" s="1"/>
  <c r="F222" i="454" s="1"/>
  <c r="F221" i="454" s="1"/>
  <c r="AA220" i="454"/>
  <c r="R220" i="454"/>
  <c r="AA219" i="454"/>
  <c r="R219" i="454"/>
  <c r="AA218" i="454"/>
  <c r="R218" i="454"/>
  <c r="Z217" i="454"/>
  <c r="Z216" i="454" s="1"/>
  <c r="Y217" i="454"/>
  <c r="Y216" i="454" s="1"/>
  <c r="X217" i="454"/>
  <c r="X216" i="454" s="1"/>
  <c r="W217" i="454"/>
  <c r="W216" i="454" s="1"/>
  <c r="V217" i="454"/>
  <c r="V216" i="454" s="1"/>
  <c r="U217" i="454"/>
  <c r="U216" i="454" s="1"/>
  <c r="T217" i="454"/>
  <c r="T216" i="454" s="1"/>
  <c r="S217" i="454"/>
  <c r="S216" i="454" s="1"/>
  <c r="Q217" i="454"/>
  <c r="Q216" i="454" s="1"/>
  <c r="P217" i="454"/>
  <c r="P216" i="454" s="1"/>
  <c r="O217" i="454"/>
  <c r="O216" i="454" s="1"/>
  <c r="N217" i="454"/>
  <c r="N216" i="454" s="1"/>
  <c r="M217" i="454"/>
  <c r="M216" i="454" s="1"/>
  <c r="L217" i="454"/>
  <c r="L216" i="454" s="1"/>
  <c r="J217" i="454"/>
  <c r="J216" i="454" s="1"/>
  <c r="I217" i="454"/>
  <c r="I216" i="454" s="1"/>
  <c r="H217" i="454"/>
  <c r="H216" i="454" s="1"/>
  <c r="G217" i="454"/>
  <c r="G216" i="454" s="1"/>
  <c r="F217" i="454"/>
  <c r="F216" i="454" s="1"/>
  <c r="D217" i="454"/>
  <c r="D216" i="454" s="1"/>
  <c r="AA215" i="454"/>
  <c r="R215" i="454"/>
  <c r="AA214" i="454"/>
  <c r="R214" i="454"/>
  <c r="AA213" i="454"/>
  <c r="R213" i="454"/>
  <c r="Z212" i="454"/>
  <c r="Z208" i="454" s="1"/>
  <c r="Z206" i="454" s="1"/>
  <c r="Y212" i="454"/>
  <c r="Y208" i="454" s="1"/>
  <c r="Y206" i="454" s="1"/>
  <c r="X212" i="454"/>
  <c r="X208" i="454" s="1"/>
  <c r="X206" i="454" s="1"/>
  <c r="W212" i="454"/>
  <c r="W208" i="454" s="1"/>
  <c r="W206" i="454" s="1"/>
  <c r="V212" i="454"/>
  <c r="V208" i="454" s="1"/>
  <c r="V206" i="454" s="1"/>
  <c r="U212" i="454"/>
  <c r="U208" i="454" s="1"/>
  <c r="U206" i="454" s="1"/>
  <c r="T212" i="454"/>
  <c r="T208" i="454" s="1"/>
  <c r="T206" i="454" s="1"/>
  <c r="S212" i="454"/>
  <c r="Q212" i="454"/>
  <c r="Q208" i="454" s="1"/>
  <c r="Q206" i="454" s="1"/>
  <c r="P212" i="454"/>
  <c r="P208" i="454" s="1"/>
  <c r="P206" i="454" s="1"/>
  <c r="O212" i="454"/>
  <c r="O208" i="454" s="1"/>
  <c r="O206" i="454" s="1"/>
  <c r="N212" i="454"/>
  <c r="N208" i="454" s="1"/>
  <c r="N206" i="454" s="1"/>
  <c r="M212" i="454"/>
  <c r="M208" i="454" s="1"/>
  <c r="M206" i="454" s="1"/>
  <c r="L212" i="454"/>
  <c r="L208" i="454" s="1"/>
  <c r="J212" i="454"/>
  <c r="J208" i="454" s="1"/>
  <c r="J206" i="454" s="1"/>
  <c r="I212" i="454"/>
  <c r="I208" i="454" s="1"/>
  <c r="I206" i="454" s="1"/>
  <c r="H212" i="454"/>
  <c r="H208" i="454" s="1"/>
  <c r="H206" i="454" s="1"/>
  <c r="G212" i="454"/>
  <c r="G208" i="454" s="1"/>
  <c r="G206" i="454" s="1"/>
  <c r="F212" i="454"/>
  <c r="F208" i="454" s="1"/>
  <c r="F206" i="454" s="1"/>
  <c r="D212" i="454"/>
  <c r="D208" i="454" s="1"/>
  <c r="D206" i="454" s="1"/>
  <c r="AA211" i="454"/>
  <c r="R211" i="454"/>
  <c r="AA210" i="454"/>
  <c r="R210" i="454"/>
  <c r="AA209" i="454"/>
  <c r="R209" i="454"/>
  <c r="AA207" i="454"/>
  <c r="R207" i="454"/>
  <c r="AA205" i="454"/>
  <c r="R205" i="454"/>
  <c r="AA204" i="454"/>
  <c r="R204" i="454"/>
  <c r="AA203" i="454"/>
  <c r="R203" i="454"/>
  <c r="Z202" i="454"/>
  <c r="Z201" i="454" s="1"/>
  <c r="Z200" i="454" s="1"/>
  <c r="Y202" i="454"/>
  <c r="Y201" i="454" s="1"/>
  <c r="Y200" i="454" s="1"/>
  <c r="X202" i="454"/>
  <c r="X201" i="454" s="1"/>
  <c r="X200" i="454" s="1"/>
  <c r="W202" i="454"/>
  <c r="W201" i="454" s="1"/>
  <c r="W200" i="454" s="1"/>
  <c r="V202" i="454"/>
  <c r="V201" i="454" s="1"/>
  <c r="V200" i="454" s="1"/>
  <c r="U202" i="454"/>
  <c r="U201" i="454" s="1"/>
  <c r="U200" i="454" s="1"/>
  <c r="T202" i="454"/>
  <c r="T201" i="454" s="1"/>
  <c r="T200" i="454" s="1"/>
  <c r="S202" i="454"/>
  <c r="S201" i="454" s="1"/>
  <c r="S200" i="454" s="1"/>
  <c r="Q202" i="454"/>
  <c r="Q201" i="454" s="1"/>
  <c r="Q200" i="454" s="1"/>
  <c r="P202" i="454"/>
  <c r="P201" i="454" s="1"/>
  <c r="P200" i="454" s="1"/>
  <c r="O202" i="454"/>
  <c r="O201" i="454" s="1"/>
  <c r="O200" i="454" s="1"/>
  <c r="N202" i="454"/>
  <c r="N201" i="454" s="1"/>
  <c r="N200" i="454" s="1"/>
  <c r="M202" i="454"/>
  <c r="M201" i="454" s="1"/>
  <c r="M200" i="454" s="1"/>
  <c r="L202" i="454"/>
  <c r="L201" i="454" s="1"/>
  <c r="J202" i="454"/>
  <c r="J201" i="454" s="1"/>
  <c r="J200" i="454" s="1"/>
  <c r="I202" i="454"/>
  <c r="I201" i="454" s="1"/>
  <c r="I200" i="454" s="1"/>
  <c r="H202" i="454"/>
  <c r="H201" i="454" s="1"/>
  <c r="H200" i="454" s="1"/>
  <c r="G202" i="454"/>
  <c r="G201" i="454" s="1"/>
  <c r="G200" i="454" s="1"/>
  <c r="F202" i="454"/>
  <c r="F201" i="454" s="1"/>
  <c r="F200" i="454" s="1"/>
  <c r="D202" i="454"/>
  <c r="D201" i="454" s="1"/>
  <c r="AA199" i="454"/>
  <c r="R199" i="454"/>
  <c r="AA198" i="454"/>
  <c r="R198" i="454"/>
  <c r="AA197" i="454"/>
  <c r="R197" i="454"/>
  <c r="AA196" i="454"/>
  <c r="R196" i="454"/>
  <c r="AA195" i="454"/>
  <c r="R195" i="454"/>
  <c r="AA194" i="454"/>
  <c r="R194" i="454"/>
  <c r="Z193" i="454"/>
  <c r="Z192" i="454" s="1"/>
  <c r="Y193" i="454"/>
  <c r="Y192" i="454" s="1"/>
  <c r="X193" i="454"/>
  <c r="X192" i="454" s="1"/>
  <c r="W193" i="454"/>
  <c r="W192" i="454" s="1"/>
  <c r="V193" i="454"/>
  <c r="V192" i="454" s="1"/>
  <c r="U193" i="454"/>
  <c r="U192" i="454" s="1"/>
  <c r="T193" i="454"/>
  <c r="T192" i="454" s="1"/>
  <c r="S193" i="454"/>
  <c r="S192" i="454" s="1"/>
  <c r="Q193" i="454"/>
  <c r="Q192" i="454" s="1"/>
  <c r="P193" i="454"/>
  <c r="P192" i="454" s="1"/>
  <c r="O193" i="454"/>
  <c r="O192" i="454" s="1"/>
  <c r="N193" i="454"/>
  <c r="N192" i="454" s="1"/>
  <c r="M193" i="454"/>
  <c r="M192" i="454" s="1"/>
  <c r="L193" i="454"/>
  <c r="J193" i="454"/>
  <c r="J192" i="454" s="1"/>
  <c r="I193" i="454"/>
  <c r="I192" i="454" s="1"/>
  <c r="H193" i="454"/>
  <c r="H192" i="454" s="1"/>
  <c r="G193" i="454"/>
  <c r="G192" i="454" s="1"/>
  <c r="F193" i="454"/>
  <c r="F192" i="454" s="1"/>
  <c r="D193" i="454"/>
  <c r="Z190" i="454"/>
  <c r="Y190" i="454"/>
  <c r="X190" i="454"/>
  <c r="W190" i="454"/>
  <c r="V190" i="454"/>
  <c r="U190" i="454"/>
  <c r="T190" i="454"/>
  <c r="S190" i="454"/>
  <c r="Q190" i="454"/>
  <c r="P190" i="454"/>
  <c r="O190" i="454"/>
  <c r="N190" i="454"/>
  <c r="M190" i="454"/>
  <c r="L190" i="454"/>
  <c r="J190" i="454"/>
  <c r="I190" i="454"/>
  <c r="H190" i="454"/>
  <c r="G190" i="454"/>
  <c r="F190" i="454"/>
  <c r="D190" i="454"/>
  <c r="Z189" i="454"/>
  <c r="Y189" i="454"/>
  <c r="X189" i="454"/>
  <c r="W189" i="454"/>
  <c r="V189" i="454"/>
  <c r="U189" i="454"/>
  <c r="T189" i="454"/>
  <c r="S189" i="454"/>
  <c r="Q189" i="454"/>
  <c r="P189" i="454"/>
  <c r="O189" i="454"/>
  <c r="N189" i="454"/>
  <c r="M189" i="454"/>
  <c r="L189" i="454"/>
  <c r="J189" i="454"/>
  <c r="I189" i="454"/>
  <c r="H189" i="454"/>
  <c r="G189" i="454"/>
  <c r="F189" i="454"/>
  <c r="D189" i="454"/>
  <c r="Z188" i="454"/>
  <c r="Y188" i="454"/>
  <c r="X188" i="454"/>
  <c r="W188" i="454"/>
  <c r="V188" i="454"/>
  <c r="U188" i="454"/>
  <c r="T188" i="454"/>
  <c r="S188" i="454"/>
  <c r="Q188" i="454"/>
  <c r="P188" i="454"/>
  <c r="O188" i="454"/>
  <c r="N188" i="454"/>
  <c r="M188" i="454"/>
  <c r="L188" i="454"/>
  <c r="J188" i="454"/>
  <c r="I188" i="454"/>
  <c r="H188" i="454"/>
  <c r="G188" i="454"/>
  <c r="F188" i="454"/>
  <c r="D188" i="454"/>
  <c r="Z187" i="454"/>
  <c r="Y187" i="454"/>
  <c r="X187" i="454"/>
  <c r="W187" i="454"/>
  <c r="V187" i="454"/>
  <c r="U187" i="454"/>
  <c r="T187" i="454"/>
  <c r="S187" i="454"/>
  <c r="Q187" i="454"/>
  <c r="P187" i="454"/>
  <c r="O187" i="454"/>
  <c r="N187" i="454"/>
  <c r="M187" i="454"/>
  <c r="L187" i="454"/>
  <c r="J187" i="454"/>
  <c r="I187" i="454"/>
  <c r="H187" i="454"/>
  <c r="G187" i="454"/>
  <c r="F187" i="454"/>
  <c r="D187" i="454"/>
  <c r="Z186" i="454"/>
  <c r="Y186" i="454"/>
  <c r="X186" i="454"/>
  <c r="W186" i="454"/>
  <c r="V186" i="454"/>
  <c r="U186" i="454"/>
  <c r="T186" i="454"/>
  <c r="S186" i="454"/>
  <c r="Q186" i="454"/>
  <c r="P186" i="454"/>
  <c r="O186" i="454"/>
  <c r="N186" i="454"/>
  <c r="M186" i="454"/>
  <c r="L186" i="454"/>
  <c r="J186" i="454"/>
  <c r="I186" i="454"/>
  <c r="H186" i="454"/>
  <c r="G186" i="454"/>
  <c r="F186" i="454"/>
  <c r="D186" i="454"/>
  <c r="AA185" i="454"/>
  <c r="R185" i="454"/>
  <c r="Z184" i="454"/>
  <c r="Z183" i="454" s="1"/>
  <c r="Z182" i="454" s="1"/>
  <c r="Z181" i="454" s="1"/>
  <c r="Y184" i="454"/>
  <c r="Y183" i="454" s="1"/>
  <c r="Y182" i="454" s="1"/>
  <c r="Y181" i="454" s="1"/>
  <c r="X184" i="454"/>
  <c r="X183" i="454" s="1"/>
  <c r="X182" i="454" s="1"/>
  <c r="X181" i="454" s="1"/>
  <c r="W184" i="454"/>
  <c r="W183" i="454" s="1"/>
  <c r="W182" i="454" s="1"/>
  <c r="W181" i="454" s="1"/>
  <c r="V184" i="454"/>
  <c r="V183" i="454" s="1"/>
  <c r="V182" i="454" s="1"/>
  <c r="V181" i="454" s="1"/>
  <c r="U184" i="454"/>
  <c r="U183" i="454" s="1"/>
  <c r="U182" i="454" s="1"/>
  <c r="U181" i="454" s="1"/>
  <c r="T184" i="454"/>
  <c r="T183" i="454" s="1"/>
  <c r="T182" i="454" s="1"/>
  <c r="T181" i="454" s="1"/>
  <c r="S184" i="454"/>
  <c r="S183" i="454" s="1"/>
  <c r="S182" i="454" s="1"/>
  <c r="S181" i="454" s="1"/>
  <c r="Q184" i="454"/>
  <c r="Q183" i="454" s="1"/>
  <c r="Q182" i="454" s="1"/>
  <c r="Q181" i="454" s="1"/>
  <c r="P184" i="454"/>
  <c r="P183" i="454" s="1"/>
  <c r="P182" i="454" s="1"/>
  <c r="P181" i="454" s="1"/>
  <c r="O184" i="454"/>
  <c r="O183" i="454" s="1"/>
  <c r="O182" i="454" s="1"/>
  <c r="O181" i="454" s="1"/>
  <c r="N184" i="454"/>
  <c r="N183" i="454" s="1"/>
  <c r="N182" i="454" s="1"/>
  <c r="N181" i="454" s="1"/>
  <c r="M184" i="454"/>
  <c r="M183" i="454" s="1"/>
  <c r="M182" i="454" s="1"/>
  <c r="M181" i="454" s="1"/>
  <c r="L184" i="454"/>
  <c r="L183" i="454" s="1"/>
  <c r="J184" i="454"/>
  <c r="J183" i="454" s="1"/>
  <c r="J182" i="454" s="1"/>
  <c r="J181" i="454" s="1"/>
  <c r="I184" i="454"/>
  <c r="I183" i="454" s="1"/>
  <c r="I182" i="454" s="1"/>
  <c r="I181" i="454" s="1"/>
  <c r="H184" i="454"/>
  <c r="H183" i="454" s="1"/>
  <c r="H182" i="454" s="1"/>
  <c r="H181" i="454" s="1"/>
  <c r="G184" i="454"/>
  <c r="G183" i="454" s="1"/>
  <c r="G182" i="454" s="1"/>
  <c r="G181" i="454" s="1"/>
  <c r="F184" i="454"/>
  <c r="F183" i="454" s="1"/>
  <c r="F182" i="454" s="1"/>
  <c r="F181" i="454" s="1"/>
  <c r="D184" i="454"/>
  <c r="D183" i="454" s="1"/>
  <c r="Z180" i="454"/>
  <c r="Y180" i="454"/>
  <c r="X180" i="454"/>
  <c r="W180" i="454"/>
  <c r="V180" i="454"/>
  <c r="U180" i="454"/>
  <c r="T180" i="454"/>
  <c r="S180" i="454"/>
  <c r="Q180" i="454"/>
  <c r="P180" i="454"/>
  <c r="O180" i="454"/>
  <c r="N180" i="454"/>
  <c r="M180" i="454"/>
  <c r="L180" i="454"/>
  <c r="J180" i="454"/>
  <c r="I180" i="454"/>
  <c r="H180" i="454"/>
  <c r="G180" i="454"/>
  <c r="F180" i="454"/>
  <c r="D180" i="454"/>
  <c r="Z179" i="454"/>
  <c r="Y179" i="454"/>
  <c r="X179" i="454"/>
  <c r="W179" i="454"/>
  <c r="V179" i="454"/>
  <c r="U179" i="454"/>
  <c r="T179" i="454"/>
  <c r="S179" i="454"/>
  <c r="Q179" i="454"/>
  <c r="P179" i="454"/>
  <c r="O179" i="454"/>
  <c r="N179" i="454"/>
  <c r="M179" i="454"/>
  <c r="L179" i="454"/>
  <c r="J179" i="454"/>
  <c r="I179" i="454"/>
  <c r="H179" i="454"/>
  <c r="G179" i="454"/>
  <c r="F179" i="454"/>
  <c r="D179" i="454"/>
  <c r="Z178" i="454"/>
  <c r="Y178" i="454"/>
  <c r="X178" i="454"/>
  <c r="W178" i="454"/>
  <c r="V178" i="454"/>
  <c r="U178" i="454"/>
  <c r="T178" i="454"/>
  <c r="S178" i="454"/>
  <c r="Q178" i="454"/>
  <c r="P178" i="454"/>
  <c r="O178" i="454"/>
  <c r="N178" i="454"/>
  <c r="M178" i="454"/>
  <c r="L178" i="454"/>
  <c r="J178" i="454"/>
  <c r="I178" i="454"/>
  <c r="H178" i="454"/>
  <c r="G178" i="454"/>
  <c r="F178" i="454"/>
  <c r="D178" i="454"/>
  <c r="Z177" i="454"/>
  <c r="Y177" i="454"/>
  <c r="X177" i="454"/>
  <c r="W177" i="454"/>
  <c r="V177" i="454"/>
  <c r="U177" i="454"/>
  <c r="T177" i="454"/>
  <c r="S177" i="454"/>
  <c r="Q177" i="454"/>
  <c r="P177" i="454"/>
  <c r="O177" i="454"/>
  <c r="N177" i="454"/>
  <c r="M177" i="454"/>
  <c r="L177" i="454"/>
  <c r="J177" i="454"/>
  <c r="I177" i="454"/>
  <c r="H177" i="454"/>
  <c r="G177" i="454"/>
  <c r="F177" i="454"/>
  <c r="D177" i="454"/>
  <c r="Z176" i="454"/>
  <c r="Y176" i="454"/>
  <c r="X176" i="454"/>
  <c r="W176" i="454"/>
  <c r="V176" i="454"/>
  <c r="U176" i="454"/>
  <c r="T176" i="454"/>
  <c r="S176" i="454"/>
  <c r="Q176" i="454"/>
  <c r="P176" i="454"/>
  <c r="O176" i="454"/>
  <c r="N176" i="454"/>
  <c r="M176" i="454"/>
  <c r="L176" i="454"/>
  <c r="J176" i="454"/>
  <c r="I176" i="454"/>
  <c r="H176" i="454"/>
  <c r="G176" i="454"/>
  <c r="F176" i="454"/>
  <c r="D176" i="454"/>
  <c r="AA175" i="454"/>
  <c r="R175" i="454"/>
  <c r="Z174" i="454"/>
  <c r="Y174" i="454"/>
  <c r="X174" i="454"/>
  <c r="W174" i="454"/>
  <c r="V174" i="454"/>
  <c r="U174" i="454"/>
  <c r="T174" i="454"/>
  <c r="S174" i="454"/>
  <c r="Q174" i="454"/>
  <c r="P174" i="454"/>
  <c r="O174" i="454"/>
  <c r="N174" i="454"/>
  <c r="M174" i="454"/>
  <c r="L174" i="454"/>
  <c r="J174" i="454"/>
  <c r="I174" i="454"/>
  <c r="H174" i="454"/>
  <c r="G174" i="454"/>
  <c r="F174" i="454"/>
  <c r="D174" i="454"/>
  <c r="Z173" i="454"/>
  <c r="Y173" i="454"/>
  <c r="X173" i="454"/>
  <c r="W173" i="454"/>
  <c r="V173" i="454"/>
  <c r="U173" i="454"/>
  <c r="T173" i="454"/>
  <c r="S173" i="454"/>
  <c r="Q173" i="454"/>
  <c r="P173" i="454"/>
  <c r="O173" i="454"/>
  <c r="N173" i="454"/>
  <c r="M173" i="454"/>
  <c r="L173" i="454"/>
  <c r="J173" i="454"/>
  <c r="I173" i="454"/>
  <c r="H173" i="454"/>
  <c r="G173" i="454"/>
  <c r="F173" i="454"/>
  <c r="D173" i="454"/>
  <c r="Z172" i="454"/>
  <c r="Y172" i="454"/>
  <c r="X172" i="454"/>
  <c r="W172" i="454"/>
  <c r="V172" i="454"/>
  <c r="U172" i="454"/>
  <c r="T172" i="454"/>
  <c r="S172" i="454"/>
  <c r="Q172" i="454"/>
  <c r="P172" i="454"/>
  <c r="O172" i="454"/>
  <c r="N172" i="454"/>
  <c r="M172" i="454"/>
  <c r="L172" i="454"/>
  <c r="J172" i="454"/>
  <c r="I172" i="454"/>
  <c r="H172" i="454"/>
  <c r="G172" i="454"/>
  <c r="F172" i="454"/>
  <c r="D172" i="454"/>
  <c r="Z171" i="454"/>
  <c r="Y171" i="454"/>
  <c r="X171" i="454"/>
  <c r="W171" i="454"/>
  <c r="V171" i="454"/>
  <c r="U171" i="454"/>
  <c r="T171" i="454"/>
  <c r="S171" i="454"/>
  <c r="Q171" i="454"/>
  <c r="P171" i="454"/>
  <c r="O171" i="454"/>
  <c r="N171" i="454"/>
  <c r="M171" i="454"/>
  <c r="L171" i="454"/>
  <c r="J171" i="454"/>
  <c r="I171" i="454"/>
  <c r="H171" i="454"/>
  <c r="G171" i="454"/>
  <c r="F171" i="454"/>
  <c r="D171" i="454"/>
  <c r="Z170" i="454"/>
  <c r="Y170" i="454"/>
  <c r="X170" i="454"/>
  <c r="W170" i="454"/>
  <c r="V170" i="454"/>
  <c r="U170" i="454"/>
  <c r="T170" i="454"/>
  <c r="S170" i="454"/>
  <c r="Q170" i="454"/>
  <c r="P170" i="454"/>
  <c r="O170" i="454"/>
  <c r="N170" i="454"/>
  <c r="M170" i="454"/>
  <c r="L170" i="454"/>
  <c r="J170" i="454"/>
  <c r="I170" i="454"/>
  <c r="H170" i="454"/>
  <c r="G170" i="454"/>
  <c r="F170" i="454"/>
  <c r="D170" i="454"/>
  <c r="Z169" i="454"/>
  <c r="Y169" i="454"/>
  <c r="X169" i="454"/>
  <c r="W169" i="454"/>
  <c r="V169" i="454"/>
  <c r="U169" i="454"/>
  <c r="T169" i="454"/>
  <c r="S169" i="454"/>
  <c r="Q169" i="454"/>
  <c r="P169" i="454"/>
  <c r="O169" i="454"/>
  <c r="N169" i="454"/>
  <c r="M169" i="454"/>
  <c r="L169" i="454"/>
  <c r="J169" i="454"/>
  <c r="I169" i="454"/>
  <c r="H169" i="454"/>
  <c r="G169" i="454"/>
  <c r="F169" i="454"/>
  <c r="D169" i="454"/>
  <c r="AA168" i="454"/>
  <c r="R168" i="454"/>
  <c r="Z167" i="454"/>
  <c r="Y167" i="454"/>
  <c r="X167" i="454"/>
  <c r="W167" i="454"/>
  <c r="V167" i="454"/>
  <c r="U167" i="454"/>
  <c r="T167" i="454"/>
  <c r="S167" i="454"/>
  <c r="Q167" i="454"/>
  <c r="P167" i="454"/>
  <c r="O167" i="454"/>
  <c r="N167" i="454"/>
  <c r="M167" i="454"/>
  <c r="L167" i="454"/>
  <c r="J167" i="454"/>
  <c r="I167" i="454"/>
  <c r="H167" i="454"/>
  <c r="G167" i="454"/>
  <c r="F167" i="454"/>
  <c r="D167" i="454"/>
  <c r="Z166" i="454"/>
  <c r="Y166" i="454"/>
  <c r="X166" i="454"/>
  <c r="W166" i="454"/>
  <c r="V166" i="454"/>
  <c r="U166" i="454"/>
  <c r="T166" i="454"/>
  <c r="S166" i="454"/>
  <c r="Q166" i="454"/>
  <c r="P166" i="454"/>
  <c r="O166" i="454"/>
  <c r="N166" i="454"/>
  <c r="M166" i="454"/>
  <c r="L166" i="454"/>
  <c r="J166" i="454"/>
  <c r="I166" i="454"/>
  <c r="H166" i="454"/>
  <c r="G166" i="454"/>
  <c r="F166" i="454"/>
  <c r="D166" i="454"/>
  <c r="Z165" i="454"/>
  <c r="Y165" i="454"/>
  <c r="X165" i="454"/>
  <c r="W165" i="454"/>
  <c r="V165" i="454"/>
  <c r="U165" i="454"/>
  <c r="T165" i="454"/>
  <c r="S165" i="454"/>
  <c r="Q165" i="454"/>
  <c r="P165" i="454"/>
  <c r="O165" i="454"/>
  <c r="N165" i="454"/>
  <c r="M165" i="454"/>
  <c r="L165" i="454"/>
  <c r="J165" i="454"/>
  <c r="I165" i="454"/>
  <c r="H165" i="454"/>
  <c r="G165" i="454"/>
  <c r="F165" i="454"/>
  <c r="D165" i="454"/>
  <c r="Z164" i="454"/>
  <c r="Y164" i="454"/>
  <c r="X164" i="454"/>
  <c r="W164" i="454"/>
  <c r="V164" i="454"/>
  <c r="U164" i="454"/>
  <c r="T164" i="454"/>
  <c r="S164" i="454"/>
  <c r="Q164" i="454"/>
  <c r="P164" i="454"/>
  <c r="O164" i="454"/>
  <c r="N164" i="454"/>
  <c r="M164" i="454"/>
  <c r="L164" i="454"/>
  <c r="J164" i="454"/>
  <c r="I164" i="454"/>
  <c r="H164" i="454"/>
  <c r="G164" i="454"/>
  <c r="F164" i="454"/>
  <c r="D164" i="454"/>
  <c r="Z163" i="454"/>
  <c r="Y163" i="454"/>
  <c r="X163" i="454"/>
  <c r="W163" i="454"/>
  <c r="V163" i="454"/>
  <c r="U163" i="454"/>
  <c r="T163" i="454"/>
  <c r="S163" i="454"/>
  <c r="Q163" i="454"/>
  <c r="P163" i="454"/>
  <c r="O163" i="454"/>
  <c r="N163" i="454"/>
  <c r="M163" i="454"/>
  <c r="L163" i="454"/>
  <c r="J163" i="454"/>
  <c r="I163" i="454"/>
  <c r="H163" i="454"/>
  <c r="G163" i="454"/>
  <c r="F163" i="454"/>
  <c r="D163" i="454"/>
  <c r="Z162" i="454"/>
  <c r="Y162" i="454"/>
  <c r="X162" i="454"/>
  <c r="W162" i="454"/>
  <c r="V162" i="454"/>
  <c r="U162" i="454"/>
  <c r="T162" i="454"/>
  <c r="S162" i="454"/>
  <c r="Q162" i="454"/>
  <c r="P162" i="454"/>
  <c r="O162" i="454"/>
  <c r="N162" i="454"/>
  <c r="M162" i="454"/>
  <c r="L162" i="454"/>
  <c r="J162" i="454"/>
  <c r="I162" i="454"/>
  <c r="H162" i="454"/>
  <c r="G162" i="454"/>
  <c r="F162" i="454"/>
  <c r="D162" i="454"/>
  <c r="AA161" i="454"/>
  <c r="R161" i="454"/>
  <c r="Z160" i="454"/>
  <c r="Y160" i="454"/>
  <c r="X160" i="454"/>
  <c r="W160" i="454"/>
  <c r="V160" i="454"/>
  <c r="U160" i="454"/>
  <c r="T160" i="454"/>
  <c r="S160" i="454"/>
  <c r="Q160" i="454"/>
  <c r="P160" i="454"/>
  <c r="O160" i="454"/>
  <c r="N160" i="454"/>
  <c r="M160" i="454"/>
  <c r="L160" i="454"/>
  <c r="J160" i="454"/>
  <c r="I160" i="454"/>
  <c r="H160" i="454"/>
  <c r="G160" i="454"/>
  <c r="F160" i="454"/>
  <c r="D160" i="454"/>
  <c r="Z159" i="454"/>
  <c r="Y159" i="454"/>
  <c r="X159" i="454"/>
  <c r="W159" i="454"/>
  <c r="V159" i="454"/>
  <c r="U159" i="454"/>
  <c r="T159" i="454"/>
  <c r="S159" i="454"/>
  <c r="Q159" i="454"/>
  <c r="P159" i="454"/>
  <c r="O159" i="454"/>
  <c r="N159" i="454"/>
  <c r="M159" i="454"/>
  <c r="L159" i="454"/>
  <c r="J159" i="454"/>
  <c r="I159" i="454"/>
  <c r="H159" i="454"/>
  <c r="G159" i="454"/>
  <c r="F159" i="454"/>
  <c r="D159" i="454"/>
  <c r="Z158" i="454"/>
  <c r="Y158" i="454"/>
  <c r="X158" i="454"/>
  <c r="W158" i="454"/>
  <c r="V158" i="454"/>
  <c r="U158" i="454"/>
  <c r="T158" i="454"/>
  <c r="S158" i="454"/>
  <c r="Q158" i="454"/>
  <c r="P158" i="454"/>
  <c r="O158" i="454"/>
  <c r="N158" i="454"/>
  <c r="M158" i="454"/>
  <c r="L158" i="454"/>
  <c r="J158" i="454"/>
  <c r="I158" i="454"/>
  <c r="H158" i="454"/>
  <c r="G158" i="454"/>
  <c r="F158" i="454"/>
  <c r="D158" i="454"/>
  <c r="Z157" i="454"/>
  <c r="Y157" i="454"/>
  <c r="X157" i="454"/>
  <c r="W157" i="454"/>
  <c r="V157" i="454"/>
  <c r="U157" i="454"/>
  <c r="T157" i="454"/>
  <c r="S157" i="454"/>
  <c r="Q157" i="454"/>
  <c r="P157" i="454"/>
  <c r="O157" i="454"/>
  <c r="N157" i="454"/>
  <c r="M157" i="454"/>
  <c r="L157" i="454"/>
  <c r="J157" i="454"/>
  <c r="I157" i="454"/>
  <c r="H157" i="454"/>
  <c r="G157" i="454"/>
  <c r="F157" i="454"/>
  <c r="D157" i="454"/>
  <c r="Z156" i="454"/>
  <c r="Y156" i="454"/>
  <c r="X156" i="454"/>
  <c r="W156" i="454"/>
  <c r="V156" i="454"/>
  <c r="U156" i="454"/>
  <c r="T156" i="454"/>
  <c r="S156" i="454"/>
  <c r="Q156" i="454"/>
  <c r="P156" i="454"/>
  <c r="O156" i="454"/>
  <c r="N156" i="454"/>
  <c r="M156" i="454"/>
  <c r="L156" i="454"/>
  <c r="J156" i="454"/>
  <c r="I156" i="454"/>
  <c r="H156" i="454"/>
  <c r="G156" i="454"/>
  <c r="F156" i="454"/>
  <c r="D156" i="454"/>
  <c r="Z155" i="454"/>
  <c r="Y155" i="454"/>
  <c r="X155" i="454"/>
  <c r="W155" i="454"/>
  <c r="V155" i="454"/>
  <c r="U155" i="454"/>
  <c r="T155" i="454"/>
  <c r="S155" i="454"/>
  <c r="Q155" i="454"/>
  <c r="P155" i="454"/>
  <c r="O155" i="454"/>
  <c r="N155" i="454"/>
  <c r="M155" i="454"/>
  <c r="L155" i="454"/>
  <c r="J155" i="454"/>
  <c r="I155" i="454"/>
  <c r="H155" i="454"/>
  <c r="G155" i="454"/>
  <c r="F155" i="454"/>
  <c r="D155" i="454"/>
  <c r="AA154" i="454"/>
  <c r="R154" i="454"/>
  <c r="Z153" i="454"/>
  <c r="Y153" i="454"/>
  <c r="Y152" i="454" s="1"/>
  <c r="X153" i="454"/>
  <c r="X152" i="454" s="1"/>
  <c r="W153" i="454"/>
  <c r="W152" i="454" s="1"/>
  <c r="V153" i="454"/>
  <c r="V152" i="454" s="1"/>
  <c r="U153" i="454"/>
  <c r="U152" i="454" s="1"/>
  <c r="T153" i="454"/>
  <c r="T152" i="454" s="1"/>
  <c r="S153" i="454"/>
  <c r="S152" i="454" s="1"/>
  <c r="Q153" i="454"/>
  <c r="Q152" i="454" s="1"/>
  <c r="P153" i="454"/>
  <c r="P152" i="454" s="1"/>
  <c r="O153" i="454"/>
  <c r="O152" i="454" s="1"/>
  <c r="N153" i="454"/>
  <c r="N152" i="454" s="1"/>
  <c r="M153" i="454"/>
  <c r="M152" i="454" s="1"/>
  <c r="L153" i="454"/>
  <c r="J153" i="454"/>
  <c r="J152" i="454" s="1"/>
  <c r="I153" i="454"/>
  <c r="I152" i="454" s="1"/>
  <c r="H153" i="454"/>
  <c r="H152" i="454" s="1"/>
  <c r="G153" i="454"/>
  <c r="G152" i="454" s="1"/>
  <c r="F153" i="454"/>
  <c r="F152" i="454" s="1"/>
  <c r="D153" i="454"/>
  <c r="Z152" i="454"/>
  <c r="AA150" i="454"/>
  <c r="R150" i="454"/>
  <c r="AA149" i="454"/>
  <c r="R149" i="454"/>
  <c r="AA148" i="454"/>
  <c r="R148" i="454"/>
  <c r="Z147" i="454"/>
  <c r="Y147" i="454"/>
  <c r="Y146" i="454" s="1"/>
  <c r="Y143" i="454" s="1"/>
  <c r="X147" i="454"/>
  <c r="X146" i="454" s="1"/>
  <c r="X143" i="454" s="1"/>
  <c r="W147" i="454"/>
  <c r="W146" i="454" s="1"/>
  <c r="W143" i="454" s="1"/>
  <c r="V147" i="454"/>
  <c r="V146" i="454" s="1"/>
  <c r="V143" i="454" s="1"/>
  <c r="U147" i="454"/>
  <c r="U146" i="454" s="1"/>
  <c r="U143" i="454" s="1"/>
  <c r="T147" i="454"/>
  <c r="T146" i="454" s="1"/>
  <c r="T143" i="454" s="1"/>
  <c r="S147" i="454"/>
  <c r="S146" i="454" s="1"/>
  <c r="Q147" i="454"/>
  <c r="Q146" i="454" s="1"/>
  <c r="Q143" i="454" s="1"/>
  <c r="P147" i="454"/>
  <c r="P146" i="454" s="1"/>
  <c r="P143" i="454" s="1"/>
  <c r="O147" i="454"/>
  <c r="O146" i="454" s="1"/>
  <c r="O143" i="454" s="1"/>
  <c r="N147" i="454"/>
  <c r="N146" i="454" s="1"/>
  <c r="N143" i="454" s="1"/>
  <c r="M147" i="454"/>
  <c r="M146" i="454" s="1"/>
  <c r="M143" i="454" s="1"/>
  <c r="L147" i="454"/>
  <c r="J147" i="454"/>
  <c r="J146" i="454" s="1"/>
  <c r="J143" i="454" s="1"/>
  <c r="I147" i="454"/>
  <c r="I146" i="454" s="1"/>
  <c r="I143" i="454" s="1"/>
  <c r="H147" i="454"/>
  <c r="H146" i="454" s="1"/>
  <c r="H143" i="454" s="1"/>
  <c r="G147" i="454"/>
  <c r="G146" i="454" s="1"/>
  <c r="G143" i="454" s="1"/>
  <c r="F147" i="454"/>
  <c r="F146" i="454" s="1"/>
  <c r="F143" i="454" s="1"/>
  <c r="D147" i="454"/>
  <c r="D146" i="454" s="1"/>
  <c r="D143" i="454" s="1"/>
  <c r="Z146" i="454"/>
  <c r="Z143" i="454" s="1"/>
  <c r="Z145" i="454"/>
  <c r="Y145" i="454"/>
  <c r="W145" i="454"/>
  <c r="V145" i="454"/>
  <c r="U145" i="454"/>
  <c r="T145" i="454"/>
  <c r="S145" i="454"/>
  <c r="Q145" i="454"/>
  <c r="P145" i="454"/>
  <c r="O145" i="454"/>
  <c r="N145" i="454"/>
  <c r="M145" i="454"/>
  <c r="L145" i="454"/>
  <c r="J145" i="454"/>
  <c r="I145" i="454"/>
  <c r="H145" i="454"/>
  <c r="G145" i="454"/>
  <c r="F145" i="454"/>
  <c r="D145" i="454"/>
  <c r="AA144" i="454"/>
  <c r="R144" i="454"/>
  <c r="Z141" i="454"/>
  <c r="Y141" i="454"/>
  <c r="X141" i="454"/>
  <c r="W141" i="454"/>
  <c r="V141" i="454"/>
  <c r="U141" i="454"/>
  <c r="T141" i="454"/>
  <c r="S141" i="454"/>
  <c r="Q141" i="454"/>
  <c r="P141" i="454"/>
  <c r="O141" i="454"/>
  <c r="N141" i="454"/>
  <c r="M141" i="454"/>
  <c r="L141" i="454"/>
  <c r="J141" i="454"/>
  <c r="I141" i="454"/>
  <c r="H141" i="454"/>
  <c r="G141" i="454"/>
  <c r="F141" i="454"/>
  <c r="D141" i="454"/>
  <c r="Z140" i="454"/>
  <c r="Y140" i="454"/>
  <c r="X140" i="454"/>
  <c r="W140" i="454"/>
  <c r="V140" i="454"/>
  <c r="U140" i="454"/>
  <c r="T140" i="454"/>
  <c r="S140" i="454"/>
  <c r="Q140" i="454"/>
  <c r="P140" i="454"/>
  <c r="O140" i="454"/>
  <c r="N140" i="454"/>
  <c r="M140" i="454"/>
  <c r="L140" i="454"/>
  <c r="J140" i="454"/>
  <c r="I140" i="454"/>
  <c r="H140" i="454"/>
  <c r="G140" i="454"/>
  <c r="F140" i="454"/>
  <c r="D140" i="454"/>
  <c r="Z139" i="454"/>
  <c r="Y139" i="454"/>
  <c r="X139" i="454"/>
  <c r="W139" i="454"/>
  <c r="V139" i="454"/>
  <c r="U139" i="454"/>
  <c r="T139" i="454"/>
  <c r="S139" i="454"/>
  <c r="Q139" i="454"/>
  <c r="P139" i="454"/>
  <c r="O139" i="454"/>
  <c r="N139" i="454"/>
  <c r="M139" i="454"/>
  <c r="L139" i="454"/>
  <c r="J139" i="454"/>
  <c r="I139" i="454"/>
  <c r="H139" i="454"/>
  <c r="G139" i="454"/>
  <c r="F139" i="454"/>
  <c r="D139" i="454"/>
  <c r="Z138" i="454"/>
  <c r="Y138" i="454"/>
  <c r="X138" i="454"/>
  <c r="W138" i="454"/>
  <c r="V138" i="454"/>
  <c r="U138" i="454"/>
  <c r="T138" i="454"/>
  <c r="S138" i="454"/>
  <c r="Q138" i="454"/>
  <c r="P138" i="454"/>
  <c r="O138" i="454"/>
  <c r="N138" i="454"/>
  <c r="M138" i="454"/>
  <c r="L138" i="454"/>
  <c r="J138" i="454"/>
  <c r="I138" i="454"/>
  <c r="H138" i="454"/>
  <c r="G138" i="454"/>
  <c r="F138" i="454"/>
  <c r="D138" i="454"/>
  <c r="AA137" i="454"/>
  <c r="R137" i="454"/>
  <c r="Z136" i="454"/>
  <c r="Y136" i="454"/>
  <c r="X136" i="454"/>
  <c r="W136" i="454"/>
  <c r="V136" i="454"/>
  <c r="U136" i="454"/>
  <c r="T136" i="454"/>
  <c r="S136" i="454"/>
  <c r="Q136" i="454"/>
  <c r="P136" i="454"/>
  <c r="O136" i="454"/>
  <c r="N136" i="454"/>
  <c r="M136" i="454"/>
  <c r="L136" i="454"/>
  <c r="J136" i="454"/>
  <c r="I136" i="454"/>
  <c r="H136" i="454"/>
  <c r="G136" i="454"/>
  <c r="F136" i="454"/>
  <c r="D136" i="454"/>
  <c r="Z135" i="454"/>
  <c r="Y135" i="454"/>
  <c r="X135" i="454"/>
  <c r="W135" i="454"/>
  <c r="V135" i="454"/>
  <c r="U135" i="454"/>
  <c r="T135" i="454"/>
  <c r="S135" i="454"/>
  <c r="Q135" i="454"/>
  <c r="P135" i="454"/>
  <c r="O135" i="454"/>
  <c r="N135" i="454"/>
  <c r="M135" i="454"/>
  <c r="L135" i="454"/>
  <c r="J135" i="454"/>
  <c r="I135" i="454"/>
  <c r="H135" i="454"/>
  <c r="G135" i="454"/>
  <c r="F135" i="454"/>
  <c r="D135" i="454"/>
  <c r="Z134" i="454"/>
  <c r="Y134" i="454"/>
  <c r="X134" i="454"/>
  <c r="W134" i="454"/>
  <c r="V134" i="454"/>
  <c r="U134" i="454"/>
  <c r="T134" i="454"/>
  <c r="S134" i="454"/>
  <c r="Q134" i="454"/>
  <c r="P134" i="454"/>
  <c r="O134" i="454"/>
  <c r="N134" i="454"/>
  <c r="M134" i="454"/>
  <c r="L134" i="454"/>
  <c r="J134" i="454"/>
  <c r="I134" i="454"/>
  <c r="H134" i="454"/>
  <c r="G134" i="454"/>
  <c r="F134" i="454"/>
  <c r="D134" i="454"/>
  <c r="Z133" i="454"/>
  <c r="Y133" i="454"/>
  <c r="X133" i="454"/>
  <c r="W133" i="454"/>
  <c r="V133" i="454"/>
  <c r="U133" i="454"/>
  <c r="T133" i="454"/>
  <c r="S133" i="454"/>
  <c r="Q133" i="454"/>
  <c r="P133" i="454"/>
  <c r="O133" i="454"/>
  <c r="N133" i="454"/>
  <c r="M133" i="454"/>
  <c r="L133" i="454"/>
  <c r="J133" i="454"/>
  <c r="I133" i="454"/>
  <c r="H133" i="454"/>
  <c r="G133" i="454"/>
  <c r="F133" i="454"/>
  <c r="D133" i="454"/>
  <c r="AA132" i="454"/>
  <c r="R132" i="454"/>
  <c r="Z131" i="454"/>
  <c r="Y131" i="454"/>
  <c r="X131" i="454"/>
  <c r="W131" i="454"/>
  <c r="V131" i="454"/>
  <c r="U131" i="454"/>
  <c r="T131" i="454"/>
  <c r="S131" i="454"/>
  <c r="Q131" i="454"/>
  <c r="P131" i="454"/>
  <c r="O131" i="454"/>
  <c r="N131" i="454"/>
  <c r="M131" i="454"/>
  <c r="L131" i="454"/>
  <c r="J131" i="454"/>
  <c r="I131" i="454"/>
  <c r="H131" i="454"/>
  <c r="G131" i="454"/>
  <c r="F131" i="454"/>
  <c r="D131" i="454"/>
  <c r="Z130" i="454"/>
  <c r="Y130" i="454"/>
  <c r="X130" i="454"/>
  <c r="W130" i="454"/>
  <c r="V130" i="454"/>
  <c r="U130" i="454"/>
  <c r="T130" i="454"/>
  <c r="S130" i="454"/>
  <c r="Q130" i="454"/>
  <c r="P130" i="454"/>
  <c r="O130" i="454"/>
  <c r="N130" i="454"/>
  <c r="M130" i="454"/>
  <c r="L130" i="454"/>
  <c r="J130" i="454"/>
  <c r="I130" i="454"/>
  <c r="H130" i="454"/>
  <c r="G130" i="454"/>
  <c r="F130" i="454"/>
  <c r="D130" i="454"/>
  <c r="Z129" i="454"/>
  <c r="Y129" i="454"/>
  <c r="X129" i="454"/>
  <c r="W129" i="454"/>
  <c r="V129" i="454"/>
  <c r="U129" i="454"/>
  <c r="T129" i="454"/>
  <c r="S129" i="454"/>
  <c r="Q129" i="454"/>
  <c r="P129" i="454"/>
  <c r="O129" i="454"/>
  <c r="N129" i="454"/>
  <c r="M129" i="454"/>
  <c r="L129" i="454"/>
  <c r="J129" i="454"/>
  <c r="I129" i="454"/>
  <c r="H129" i="454"/>
  <c r="G129" i="454"/>
  <c r="F129" i="454"/>
  <c r="D129" i="454"/>
  <c r="Z128" i="454"/>
  <c r="Y128" i="454"/>
  <c r="X128" i="454"/>
  <c r="W128" i="454"/>
  <c r="V128" i="454"/>
  <c r="U128" i="454"/>
  <c r="T128" i="454"/>
  <c r="S128" i="454"/>
  <c r="Q128" i="454"/>
  <c r="P128" i="454"/>
  <c r="O128" i="454"/>
  <c r="N128" i="454"/>
  <c r="M128" i="454"/>
  <c r="L128" i="454"/>
  <c r="J128" i="454"/>
  <c r="I128" i="454"/>
  <c r="H128" i="454"/>
  <c r="G128" i="454"/>
  <c r="F128" i="454"/>
  <c r="D128" i="454"/>
  <c r="Z127" i="454"/>
  <c r="Y127" i="454"/>
  <c r="X127" i="454"/>
  <c r="W127" i="454"/>
  <c r="V127" i="454"/>
  <c r="U127" i="454"/>
  <c r="T127" i="454"/>
  <c r="S127" i="454"/>
  <c r="Q127" i="454"/>
  <c r="P127" i="454"/>
  <c r="O127" i="454"/>
  <c r="N127" i="454"/>
  <c r="M127" i="454"/>
  <c r="L127" i="454"/>
  <c r="J127" i="454"/>
  <c r="I127" i="454"/>
  <c r="H127" i="454"/>
  <c r="G127" i="454"/>
  <c r="F127" i="454"/>
  <c r="D127" i="454"/>
  <c r="AA126" i="454"/>
  <c r="R126" i="454"/>
  <c r="Z125" i="454"/>
  <c r="Y125" i="454"/>
  <c r="X125" i="454"/>
  <c r="W125" i="454"/>
  <c r="V125" i="454"/>
  <c r="U125" i="454"/>
  <c r="T125" i="454"/>
  <c r="S125" i="454"/>
  <c r="Q125" i="454"/>
  <c r="P125" i="454"/>
  <c r="O125" i="454"/>
  <c r="N125" i="454"/>
  <c r="M125" i="454"/>
  <c r="L125" i="454"/>
  <c r="J125" i="454"/>
  <c r="I125" i="454"/>
  <c r="H125" i="454"/>
  <c r="G125" i="454"/>
  <c r="F125" i="454"/>
  <c r="D125" i="454"/>
  <c r="Z124" i="454"/>
  <c r="Y124" i="454"/>
  <c r="X124" i="454"/>
  <c r="W124" i="454"/>
  <c r="V124" i="454"/>
  <c r="U124" i="454"/>
  <c r="T124" i="454"/>
  <c r="S124" i="454"/>
  <c r="Q124" i="454"/>
  <c r="P124" i="454"/>
  <c r="O124" i="454"/>
  <c r="N124" i="454"/>
  <c r="M124" i="454"/>
  <c r="L124" i="454"/>
  <c r="J124" i="454"/>
  <c r="I124" i="454"/>
  <c r="H124" i="454"/>
  <c r="G124" i="454"/>
  <c r="F124" i="454"/>
  <c r="D124" i="454"/>
  <c r="AA123" i="454"/>
  <c r="R123" i="454"/>
  <c r="Z122" i="454"/>
  <c r="Y122" i="454"/>
  <c r="X122" i="454"/>
  <c r="W122" i="454"/>
  <c r="V122" i="454"/>
  <c r="U122" i="454"/>
  <c r="T122" i="454"/>
  <c r="S122" i="454"/>
  <c r="Q122" i="454"/>
  <c r="P122" i="454"/>
  <c r="O122" i="454"/>
  <c r="N122" i="454"/>
  <c r="M122" i="454"/>
  <c r="L122" i="454"/>
  <c r="J122" i="454"/>
  <c r="I122" i="454"/>
  <c r="H122" i="454"/>
  <c r="G122" i="454"/>
  <c r="F122" i="454"/>
  <c r="D122" i="454"/>
  <c r="Z121" i="454"/>
  <c r="Y121" i="454"/>
  <c r="X121" i="454"/>
  <c r="W121" i="454"/>
  <c r="V121" i="454"/>
  <c r="U121" i="454"/>
  <c r="T121" i="454"/>
  <c r="S121" i="454"/>
  <c r="Q121" i="454"/>
  <c r="P121" i="454"/>
  <c r="O121" i="454"/>
  <c r="N121" i="454"/>
  <c r="M121" i="454"/>
  <c r="L121" i="454"/>
  <c r="J121" i="454"/>
  <c r="I121" i="454"/>
  <c r="H121" i="454"/>
  <c r="G121" i="454"/>
  <c r="F121" i="454"/>
  <c r="D121" i="454"/>
  <c r="Z120" i="454"/>
  <c r="Y120" i="454"/>
  <c r="X120" i="454"/>
  <c r="W120" i="454"/>
  <c r="V120" i="454"/>
  <c r="U120" i="454"/>
  <c r="T120" i="454"/>
  <c r="S120" i="454"/>
  <c r="Q120" i="454"/>
  <c r="P120" i="454"/>
  <c r="O120" i="454"/>
  <c r="N120" i="454"/>
  <c r="M120" i="454"/>
  <c r="L120" i="454"/>
  <c r="J120" i="454"/>
  <c r="I120" i="454"/>
  <c r="H120" i="454"/>
  <c r="G120" i="454"/>
  <c r="F120" i="454"/>
  <c r="D120" i="454"/>
  <c r="Z119" i="454"/>
  <c r="Y119" i="454"/>
  <c r="X119" i="454"/>
  <c r="W119" i="454"/>
  <c r="V119" i="454"/>
  <c r="U119" i="454"/>
  <c r="T119" i="454"/>
  <c r="S119" i="454"/>
  <c r="Q119" i="454"/>
  <c r="P119" i="454"/>
  <c r="O119" i="454"/>
  <c r="N119" i="454"/>
  <c r="M119" i="454"/>
  <c r="L119" i="454"/>
  <c r="J119" i="454"/>
  <c r="I119" i="454"/>
  <c r="H119" i="454"/>
  <c r="G119" i="454"/>
  <c r="F119" i="454"/>
  <c r="D119" i="454"/>
  <c r="AA118" i="454"/>
  <c r="R118" i="454"/>
  <c r="Z117" i="454"/>
  <c r="X117" i="454"/>
  <c r="W117" i="454"/>
  <c r="V117" i="454"/>
  <c r="U117" i="454"/>
  <c r="T117" i="454"/>
  <c r="S117" i="454"/>
  <c r="Q117" i="454"/>
  <c r="P117" i="454"/>
  <c r="O117" i="454"/>
  <c r="N117" i="454"/>
  <c r="M117" i="454"/>
  <c r="L117" i="454"/>
  <c r="J117" i="454"/>
  <c r="I117" i="454"/>
  <c r="H117" i="454"/>
  <c r="G117" i="454"/>
  <c r="F117" i="454"/>
  <c r="D117" i="454"/>
  <c r="Y116" i="454"/>
  <c r="Y115" i="454" s="1"/>
  <c r="R116" i="454"/>
  <c r="Z115" i="454"/>
  <c r="X115" i="454"/>
  <c r="W115" i="454"/>
  <c r="V115" i="454"/>
  <c r="U115" i="454"/>
  <c r="T115" i="454"/>
  <c r="S115" i="454"/>
  <c r="Q115" i="454"/>
  <c r="P115" i="454"/>
  <c r="O115" i="454"/>
  <c r="N115" i="454"/>
  <c r="M115" i="454"/>
  <c r="L115" i="454"/>
  <c r="J115" i="454"/>
  <c r="I115" i="454"/>
  <c r="H115" i="454"/>
  <c r="G115" i="454"/>
  <c r="F115" i="454"/>
  <c r="D115" i="454"/>
  <c r="Z114" i="454"/>
  <c r="Y114" i="454"/>
  <c r="X114" i="454"/>
  <c r="W114" i="454"/>
  <c r="V114" i="454"/>
  <c r="U114" i="454"/>
  <c r="T114" i="454"/>
  <c r="S114" i="454"/>
  <c r="Q114" i="454"/>
  <c r="P114" i="454"/>
  <c r="O114" i="454"/>
  <c r="N114" i="454"/>
  <c r="M114" i="454"/>
  <c r="L114" i="454"/>
  <c r="J114" i="454"/>
  <c r="I114" i="454"/>
  <c r="H114" i="454"/>
  <c r="G114" i="454"/>
  <c r="F114" i="454"/>
  <c r="D114" i="454"/>
  <c r="Z113" i="454"/>
  <c r="Y113" i="454"/>
  <c r="X113" i="454"/>
  <c r="W113" i="454"/>
  <c r="V113" i="454"/>
  <c r="U113" i="454"/>
  <c r="T113" i="454"/>
  <c r="S113" i="454"/>
  <c r="Q113" i="454"/>
  <c r="P113" i="454"/>
  <c r="O113" i="454"/>
  <c r="N113" i="454"/>
  <c r="M113" i="454"/>
  <c r="L113" i="454"/>
  <c r="J113" i="454"/>
  <c r="I113" i="454"/>
  <c r="H113" i="454"/>
  <c r="G113" i="454"/>
  <c r="F113" i="454"/>
  <c r="D113" i="454"/>
  <c r="Z112" i="454"/>
  <c r="Y112" i="454"/>
  <c r="X112" i="454"/>
  <c r="W112" i="454"/>
  <c r="V112" i="454"/>
  <c r="U112" i="454"/>
  <c r="T112" i="454"/>
  <c r="S112" i="454"/>
  <c r="Q112" i="454"/>
  <c r="P112" i="454"/>
  <c r="O112" i="454"/>
  <c r="N112" i="454"/>
  <c r="M112" i="454"/>
  <c r="L112" i="454"/>
  <c r="J112" i="454"/>
  <c r="I112" i="454"/>
  <c r="H112" i="454"/>
  <c r="G112" i="454"/>
  <c r="F112" i="454"/>
  <c r="D112" i="454"/>
  <c r="Z111" i="454"/>
  <c r="Y111" i="454"/>
  <c r="X111" i="454"/>
  <c r="W111" i="454"/>
  <c r="V111" i="454"/>
  <c r="U111" i="454"/>
  <c r="T111" i="454"/>
  <c r="S111" i="454"/>
  <c r="Q111" i="454"/>
  <c r="P111" i="454"/>
  <c r="O111" i="454"/>
  <c r="N111" i="454"/>
  <c r="M111" i="454"/>
  <c r="L111" i="454"/>
  <c r="J111" i="454"/>
  <c r="I111" i="454"/>
  <c r="H111" i="454"/>
  <c r="G111" i="454"/>
  <c r="F111" i="454"/>
  <c r="D111" i="454"/>
  <c r="Z110" i="454"/>
  <c r="Y110" i="454"/>
  <c r="X110" i="454"/>
  <c r="W110" i="454"/>
  <c r="V110" i="454"/>
  <c r="U110" i="454"/>
  <c r="T110" i="454"/>
  <c r="S110" i="454"/>
  <c r="Q110" i="454"/>
  <c r="P110" i="454"/>
  <c r="O110" i="454"/>
  <c r="N110" i="454"/>
  <c r="M110" i="454"/>
  <c r="L110" i="454"/>
  <c r="J110" i="454"/>
  <c r="I110" i="454"/>
  <c r="H110" i="454"/>
  <c r="G110" i="454"/>
  <c r="F110" i="454"/>
  <c r="D110" i="454"/>
  <c r="AA109" i="454"/>
  <c r="R109" i="454"/>
  <c r="Z108" i="454"/>
  <c r="Y108" i="454"/>
  <c r="X108" i="454"/>
  <c r="W108" i="454"/>
  <c r="V108" i="454"/>
  <c r="U108" i="454"/>
  <c r="T108" i="454"/>
  <c r="S108" i="454"/>
  <c r="Q108" i="454"/>
  <c r="P108" i="454"/>
  <c r="O108" i="454"/>
  <c r="N108" i="454"/>
  <c r="M108" i="454"/>
  <c r="L108" i="454"/>
  <c r="J108" i="454"/>
  <c r="I108" i="454"/>
  <c r="H108" i="454"/>
  <c r="G108" i="454"/>
  <c r="F108" i="454"/>
  <c r="D108" i="454"/>
  <c r="Z107" i="454"/>
  <c r="Y107" i="454"/>
  <c r="X107" i="454"/>
  <c r="W107" i="454"/>
  <c r="V107" i="454"/>
  <c r="U107" i="454"/>
  <c r="T107" i="454"/>
  <c r="S107" i="454"/>
  <c r="Q107" i="454"/>
  <c r="P107" i="454"/>
  <c r="O107" i="454"/>
  <c r="N107" i="454"/>
  <c r="M107" i="454"/>
  <c r="L107" i="454"/>
  <c r="J107" i="454"/>
  <c r="I107" i="454"/>
  <c r="H107" i="454"/>
  <c r="G107" i="454"/>
  <c r="F107" i="454"/>
  <c r="D107" i="454"/>
  <c r="Z106" i="454"/>
  <c r="Y106" i="454"/>
  <c r="X106" i="454"/>
  <c r="W106" i="454"/>
  <c r="V106" i="454"/>
  <c r="U106" i="454"/>
  <c r="T106" i="454"/>
  <c r="S106" i="454"/>
  <c r="Q106" i="454"/>
  <c r="P106" i="454"/>
  <c r="O106" i="454"/>
  <c r="N106" i="454"/>
  <c r="M106" i="454"/>
  <c r="L106" i="454"/>
  <c r="J106" i="454"/>
  <c r="I106" i="454"/>
  <c r="H106" i="454"/>
  <c r="G106" i="454"/>
  <c r="F106" i="454"/>
  <c r="D106" i="454"/>
  <c r="Z105" i="454"/>
  <c r="Y105" i="454"/>
  <c r="X105" i="454"/>
  <c r="W105" i="454"/>
  <c r="V105" i="454"/>
  <c r="U105" i="454"/>
  <c r="T105" i="454"/>
  <c r="S105" i="454"/>
  <c r="Q105" i="454"/>
  <c r="P105" i="454"/>
  <c r="O105" i="454"/>
  <c r="N105" i="454"/>
  <c r="M105" i="454"/>
  <c r="L105" i="454"/>
  <c r="J105" i="454"/>
  <c r="I105" i="454"/>
  <c r="H105" i="454"/>
  <c r="G105" i="454"/>
  <c r="F105" i="454"/>
  <c r="D105" i="454"/>
  <c r="Z104" i="454"/>
  <c r="Y104" i="454"/>
  <c r="X104" i="454"/>
  <c r="W104" i="454"/>
  <c r="V104" i="454"/>
  <c r="U104" i="454"/>
  <c r="T104" i="454"/>
  <c r="S104" i="454"/>
  <c r="Q104" i="454"/>
  <c r="P104" i="454"/>
  <c r="O104" i="454"/>
  <c r="N104" i="454"/>
  <c r="M104" i="454"/>
  <c r="L104" i="454"/>
  <c r="J104" i="454"/>
  <c r="I104" i="454"/>
  <c r="H104" i="454"/>
  <c r="G104" i="454"/>
  <c r="F104" i="454"/>
  <c r="D104" i="454"/>
  <c r="Z103" i="454"/>
  <c r="Y103" i="454"/>
  <c r="X103" i="454"/>
  <c r="W103" i="454"/>
  <c r="V103" i="454"/>
  <c r="U103" i="454"/>
  <c r="T103" i="454"/>
  <c r="S103" i="454"/>
  <c r="Q103" i="454"/>
  <c r="P103" i="454"/>
  <c r="O103" i="454"/>
  <c r="N103" i="454"/>
  <c r="M103" i="454"/>
  <c r="L103" i="454"/>
  <c r="J103" i="454"/>
  <c r="I103" i="454"/>
  <c r="H103" i="454"/>
  <c r="G103" i="454"/>
  <c r="F103" i="454"/>
  <c r="D103" i="454"/>
  <c r="AA102" i="454"/>
  <c r="R102" i="454"/>
  <c r="Z101" i="454"/>
  <c r="Y101" i="454"/>
  <c r="X101" i="454"/>
  <c r="W101" i="454"/>
  <c r="V101" i="454"/>
  <c r="U101" i="454"/>
  <c r="T101" i="454"/>
  <c r="S101" i="454"/>
  <c r="Q101" i="454"/>
  <c r="P101" i="454"/>
  <c r="O101" i="454"/>
  <c r="N101" i="454"/>
  <c r="M101" i="454"/>
  <c r="L101" i="454"/>
  <c r="J101" i="454"/>
  <c r="I101" i="454"/>
  <c r="H101" i="454"/>
  <c r="G101" i="454"/>
  <c r="F101" i="454"/>
  <c r="D101" i="454"/>
  <c r="Z100" i="454"/>
  <c r="Y100" i="454"/>
  <c r="X100" i="454"/>
  <c r="W100" i="454"/>
  <c r="V100" i="454"/>
  <c r="U100" i="454"/>
  <c r="T100" i="454"/>
  <c r="S100" i="454"/>
  <c r="Q100" i="454"/>
  <c r="P100" i="454"/>
  <c r="O100" i="454"/>
  <c r="N100" i="454"/>
  <c r="M100" i="454"/>
  <c r="L100" i="454"/>
  <c r="J100" i="454"/>
  <c r="I100" i="454"/>
  <c r="H100" i="454"/>
  <c r="G100" i="454"/>
  <c r="F100" i="454"/>
  <c r="D100" i="454"/>
  <c r="Z99" i="454"/>
  <c r="Y99" i="454"/>
  <c r="X99" i="454"/>
  <c r="W99" i="454"/>
  <c r="V99" i="454"/>
  <c r="U99" i="454"/>
  <c r="T99" i="454"/>
  <c r="S99" i="454"/>
  <c r="Q99" i="454"/>
  <c r="P99" i="454"/>
  <c r="O99" i="454"/>
  <c r="N99" i="454"/>
  <c r="M99" i="454"/>
  <c r="L99" i="454"/>
  <c r="J99" i="454"/>
  <c r="I99" i="454"/>
  <c r="H99" i="454"/>
  <c r="G99" i="454"/>
  <c r="F99" i="454"/>
  <c r="D99" i="454"/>
  <c r="Z98" i="454"/>
  <c r="Y98" i="454"/>
  <c r="X98" i="454"/>
  <c r="W98" i="454"/>
  <c r="V98" i="454"/>
  <c r="U98" i="454"/>
  <c r="T98" i="454"/>
  <c r="S98" i="454"/>
  <c r="Q98" i="454"/>
  <c r="P98" i="454"/>
  <c r="O98" i="454"/>
  <c r="N98" i="454"/>
  <c r="M98" i="454"/>
  <c r="L98" i="454"/>
  <c r="J98" i="454"/>
  <c r="I98" i="454"/>
  <c r="H98" i="454"/>
  <c r="G98" i="454"/>
  <c r="F98" i="454"/>
  <c r="D98" i="454"/>
  <c r="Z97" i="454"/>
  <c r="Y97" i="454"/>
  <c r="X97" i="454"/>
  <c r="W97" i="454"/>
  <c r="V97" i="454"/>
  <c r="U97" i="454"/>
  <c r="T97" i="454"/>
  <c r="S97" i="454"/>
  <c r="Q97" i="454"/>
  <c r="P97" i="454"/>
  <c r="O97" i="454"/>
  <c r="N97" i="454"/>
  <c r="M97" i="454"/>
  <c r="L97" i="454"/>
  <c r="J97" i="454"/>
  <c r="I97" i="454"/>
  <c r="H97" i="454"/>
  <c r="G97" i="454"/>
  <c r="F97" i="454"/>
  <c r="D97" i="454"/>
  <c r="Z96" i="454"/>
  <c r="Y96" i="454"/>
  <c r="X96" i="454"/>
  <c r="W96" i="454"/>
  <c r="V96" i="454"/>
  <c r="U96" i="454"/>
  <c r="T96" i="454"/>
  <c r="S96" i="454"/>
  <c r="Q96" i="454"/>
  <c r="P96" i="454"/>
  <c r="O96" i="454"/>
  <c r="N96" i="454"/>
  <c r="M96" i="454"/>
  <c r="L96" i="454"/>
  <c r="J96" i="454"/>
  <c r="I96" i="454"/>
  <c r="H96" i="454"/>
  <c r="G96" i="454"/>
  <c r="F96" i="454"/>
  <c r="D96" i="454"/>
  <c r="AA95" i="454"/>
  <c r="R95" i="454"/>
  <c r="Z94" i="454"/>
  <c r="Y94" i="454"/>
  <c r="Y93" i="454" s="1"/>
  <c r="X94" i="454"/>
  <c r="X93" i="454" s="1"/>
  <c r="W94" i="454"/>
  <c r="W93" i="454" s="1"/>
  <c r="V94" i="454"/>
  <c r="V93" i="454" s="1"/>
  <c r="U94" i="454"/>
  <c r="U93" i="454" s="1"/>
  <c r="T94" i="454"/>
  <c r="T93" i="454" s="1"/>
  <c r="S94" i="454"/>
  <c r="S93" i="454" s="1"/>
  <c r="Q94" i="454"/>
  <c r="Q93" i="454" s="1"/>
  <c r="P94" i="454"/>
  <c r="P93" i="454" s="1"/>
  <c r="O94" i="454"/>
  <c r="O93" i="454" s="1"/>
  <c r="N94" i="454"/>
  <c r="N93" i="454" s="1"/>
  <c r="M94" i="454"/>
  <c r="M93" i="454" s="1"/>
  <c r="L94" i="454"/>
  <c r="J94" i="454"/>
  <c r="J93" i="454" s="1"/>
  <c r="I94" i="454"/>
  <c r="I93" i="454" s="1"/>
  <c r="H94" i="454"/>
  <c r="H93" i="454" s="1"/>
  <c r="G94" i="454"/>
  <c r="G93" i="454" s="1"/>
  <c r="F94" i="454"/>
  <c r="F93" i="454" s="1"/>
  <c r="D94" i="454"/>
  <c r="D93" i="454" s="1"/>
  <c r="Z93" i="454"/>
  <c r="Z92" i="454"/>
  <c r="Y92" i="454"/>
  <c r="X92" i="454"/>
  <c r="W92" i="454"/>
  <c r="V92" i="454"/>
  <c r="U92" i="454"/>
  <c r="T92" i="454"/>
  <c r="S92" i="454"/>
  <c r="Q92" i="454"/>
  <c r="P92" i="454"/>
  <c r="O92" i="454"/>
  <c r="N92" i="454"/>
  <c r="M92" i="454"/>
  <c r="L92" i="454"/>
  <c r="J92" i="454"/>
  <c r="I92" i="454"/>
  <c r="H92" i="454"/>
  <c r="G92" i="454"/>
  <c r="F92" i="454"/>
  <c r="D92" i="454"/>
  <c r="Z91" i="454"/>
  <c r="Y91" i="454"/>
  <c r="X91" i="454"/>
  <c r="W91" i="454"/>
  <c r="V91" i="454"/>
  <c r="U91" i="454"/>
  <c r="T91" i="454"/>
  <c r="S91" i="454"/>
  <c r="Q91" i="454"/>
  <c r="P91" i="454"/>
  <c r="O91" i="454"/>
  <c r="N91" i="454"/>
  <c r="M91" i="454"/>
  <c r="L91" i="454"/>
  <c r="J91" i="454"/>
  <c r="I91" i="454"/>
  <c r="H91" i="454"/>
  <c r="G91" i="454"/>
  <c r="F91" i="454"/>
  <c r="D91" i="454"/>
  <c r="Z90" i="454"/>
  <c r="Y90" i="454"/>
  <c r="X90" i="454"/>
  <c r="W90" i="454"/>
  <c r="V90" i="454"/>
  <c r="U90" i="454"/>
  <c r="T90" i="454"/>
  <c r="S90" i="454"/>
  <c r="Q90" i="454"/>
  <c r="P90" i="454"/>
  <c r="O90" i="454"/>
  <c r="N90" i="454"/>
  <c r="M90" i="454"/>
  <c r="L90" i="454"/>
  <c r="J90" i="454"/>
  <c r="I90" i="454"/>
  <c r="H90" i="454"/>
  <c r="G90" i="454"/>
  <c r="F90" i="454"/>
  <c r="D90" i="454"/>
  <c r="Z89" i="454"/>
  <c r="Y89" i="454"/>
  <c r="X89" i="454"/>
  <c r="W89" i="454"/>
  <c r="V89" i="454"/>
  <c r="U89" i="454"/>
  <c r="T89" i="454"/>
  <c r="S89" i="454"/>
  <c r="Q89" i="454"/>
  <c r="P89" i="454"/>
  <c r="O89" i="454"/>
  <c r="N89" i="454"/>
  <c r="M89" i="454"/>
  <c r="L89" i="454"/>
  <c r="J89" i="454"/>
  <c r="I89" i="454"/>
  <c r="H89" i="454"/>
  <c r="G89" i="454"/>
  <c r="F89" i="454"/>
  <c r="D89" i="454"/>
  <c r="Z88" i="454"/>
  <c r="Y88" i="454"/>
  <c r="X88" i="454"/>
  <c r="W88" i="454"/>
  <c r="V88" i="454"/>
  <c r="U88" i="454"/>
  <c r="T88" i="454"/>
  <c r="S88" i="454"/>
  <c r="Q88" i="454"/>
  <c r="P88" i="454"/>
  <c r="O88" i="454"/>
  <c r="N88" i="454"/>
  <c r="M88" i="454"/>
  <c r="L88" i="454"/>
  <c r="J88" i="454"/>
  <c r="I88" i="454"/>
  <c r="H88" i="454"/>
  <c r="G88" i="454"/>
  <c r="F88" i="454"/>
  <c r="D88" i="454"/>
  <c r="AA87" i="454"/>
  <c r="R87" i="454"/>
  <c r="Z86" i="454"/>
  <c r="W86" i="454"/>
  <c r="V86" i="454"/>
  <c r="U86" i="454"/>
  <c r="T86" i="454"/>
  <c r="S86" i="454"/>
  <c r="Q86" i="454"/>
  <c r="P86" i="454"/>
  <c r="O86" i="454"/>
  <c r="N86" i="454"/>
  <c r="M86" i="454"/>
  <c r="L86" i="454"/>
  <c r="J86" i="454"/>
  <c r="I86" i="454"/>
  <c r="F86" i="454"/>
  <c r="Z85" i="454"/>
  <c r="W85" i="454"/>
  <c r="V85" i="454"/>
  <c r="U85" i="454"/>
  <c r="T85" i="454"/>
  <c r="S85" i="454"/>
  <c r="Q85" i="454"/>
  <c r="P85" i="454"/>
  <c r="O85" i="454"/>
  <c r="N85" i="454"/>
  <c r="M85" i="454"/>
  <c r="L85" i="454"/>
  <c r="J85" i="454"/>
  <c r="I85" i="454"/>
  <c r="F85" i="454"/>
  <c r="Z84" i="454"/>
  <c r="W84" i="454"/>
  <c r="V84" i="454"/>
  <c r="U84" i="454"/>
  <c r="T84" i="454"/>
  <c r="S84" i="454"/>
  <c r="Q84" i="454"/>
  <c r="P84" i="454"/>
  <c r="O84" i="454"/>
  <c r="N84" i="454"/>
  <c r="M84" i="454"/>
  <c r="L84" i="454"/>
  <c r="J84" i="454"/>
  <c r="I84" i="454"/>
  <c r="F84" i="454"/>
  <c r="Z83" i="454"/>
  <c r="W83" i="454"/>
  <c r="V83" i="454"/>
  <c r="U83" i="454"/>
  <c r="T83" i="454"/>
  <c r="S83" i="454"/>
  <c r="Q83" i="454"/>
  <c r="P83" i="454"/>
  <c r="O83" i="454"/>
  <c r="N83" i="454"/>
  <c r="M83" i="454"/>
  <c r="L83" i="454"/>
  <c r="J83" i="454"/>
  <c r="I83" i="454"/>
  <c r="F83" i="454"/>
  <c r="AA82" i="454"/>
  <c r="R82" i="454"/>
  <c r="Z81" i="454"/>
  <c r="W81" i="454"/>
  <c r="V81" i="454"/>
  <c r="U81" i="454"/>
  <c r="T81" i="454"/>
  <c r="S81" i="454"/>
  <c r="Q81" i="454"/>
  <c r="P81" i="454"/>
  <c r="O81" i="454"/>
  <c r="N81" i="454"/>
  <c r="M81" i="454"/>
  <c r="L81" i="454"/>
  <c r="J81" i="454"/>
  <c r="I81" i="454"/>
  <c r="F81" i="454"/>
  <c r="H80" i="454"/>
  <c r="H79" i="454" s="1"/>
  <c r="G80" i="454"/>
  <c r="G79" i="454" s="1"/>
  <c r="D80" i="454"/>
  <c r="D79" i="454" s="1"/>
  <c r="Z79" i="454"/>
  <c r="Y79" i="454"/>
  <c r="J79" i="454"/>
  <c r="I79" i="454"/>
  <c r="F79" i="454"/>
  <c r="Z78" i="454"/>
  <c r="Y78" i="454"/>
  <c r="X78" i="454"/>
  <c r="W78" i="454"/>
  <c r="V78" i="454"/>
  <c r="U78" i="454"/>
  <c r="T78" i="454"/>
  <c r="S78" i="454"/>
  <c r="Q78" i="454"/>
  <c r="P78" i="454"/>
  <c r="O78" i="454"/>
  <c r="N78" i="454"/>
  <c r="M78" i="454"/>
  <c r="L78" i="454"/>
  <c r="J78" i="454"/>
  <c r="I78" i="454"/>
  <c r="H78" i="454"/>
  <c r="G78" i="454"/>
  <c r="F78" i="454"/>
  <c r="D78" i="454"/>
  <c r="Z77" i="454"/>
  <c r="Y77" i="454"/>
  <c r="X77" i="454"/>
  <c r="W77" i="454"/>
  <c r="V77" i="454"/>
  <c r="U77" i="454"/>
  <c r="T77" i="454"/>
  <c r="S77" i="454"/>
  <c r="Q77" i="454"/>
  <c r="P77" i="454"/>
  <c r="O77" i="454"/>
  <c r="N77" i="454"/>
  <c r="M77" i="454"/>
  <c r="L77" i="454"/>
  <c r="J77" i="454"/>
  <c r="I77" i="454"/>
  <c r="H77" i="454"/>
  <c r="G77" i="454"/>
  <c r="F77" i="454"/>
  <c r="D77" i="454"/>
  <c r="Z76" i="454"/>
  <c r="Y76" i="454"/>
  <c r="X76" i="454"/>
  <c r="W76" i="454"/>
  <c r="V76" i="454"/>
  <c r="U76" i="454"/>
  <c r="T76" i="454"/>
  <c r="S76" i="454"/>
  <c r="Q76" i="454"/>
  <c r="P76" i="454"/>
  <c r="O76" i="454"/>
  <c r="N76" i="454"/>
  <c r="M76" i="454"/>
  <c r="L76" i="454"/>
  <c r="J76" i="454"/>
  <c r="I76" i="454"/>
  <c r="H76" i="454"/>
  <c r="G76" i="454"/>
  <c r="F76" i="454"/>
  <c r="D76" i="454"/>
  <c r="Z75" i="454"/>
  <c r="Y75" i="454"/>
  <c r="X75" i="454"/>
  <c r="W75" i="454"/>
  <c r="V75" i="454"/>
  <c r="U75" i="454"/>
  <c r="T75" i="454"/>
  <c r="S75" i="454"/>
  <c r="Q75" i="454"/>
  <c r="P75" i="454"/>
  <c r="O75" i="454"/>
  <c r="N75" i="454"/>
  <c r="M75" i="454"/>
  <c r="L75" i="454"/>
  <c r="J75" i="454"/>
  <c r="I75" i="454"/>
  <c r="H75" i="454"/>
  <c r="G75" i="454"/>
  <c r="F75" i="454"/>
  <c r="D75" i="454"/>
  <c r="Z74" i="454"/>
  <c r="Y74" i="454"/>
  <c r="X74" i="454"/>
  <c r="W74" i="454"/>
  <c r="V74" i="454"/>
  <c r="U74" i="454"/>
  <c r="T74" i="454"/>
  <c r="S74" i="454"/>
  <c r="Q74" i="454"/>
  <c r="P74" i="454"/>
  <c r="O74" i="454"/>
  <c r="N74" i="454"/>
  <c r="M74" i="454"/>
  <c r="L74" i="454"/>
  <c r="J74" i="454"/>
  <c r="I74" i="454"/>
  <c r="H74" i="454"/>
  <c r="G74" i="454"/>
  <c r="F74" i="454"/>
  <c r="D74" i="454"/>
  <c r="AA73" i="454"/>
  <c r="R73" i="454"/>
  <c r="Z72" i="454"/>
  <c r="Y72" i="454"/>
  <c r="X72" i="454"/>
  <c r="W72" i="454"/>
  <c r="V72" i="454"/>
  <c r="U72" i="454"/>
  <c r="T72" i="454"/>
  <c r="S72" i="454"/>
  <c r="Q72" i="454"/>
  <c r="P72" i="454"/>
  <c r="O72" i="454"/>
  <c r="N72" i="454"/>
  <c r="M72" i="454"/>
  <c r="L72" i="454"/>
  <c r="J72" i="454"/>
  <c r="I72" i="454"/>
  <c r="H72" i="454"/>
  <c r="G72" i="454"/>
  <c r="F72" i="454"/>
  <c r="D72" i="454"/>
  <c r="Z71" i="454"/>
  <c r="Y71" i="454"/>
  <c r="X71" i="454"/>
  <c r="W71" i="454"/>
  <c r="V71" i="454"/>
  <c r="U71" i="454"/>
  <c r="T71" i="454"/>
  <c r="S71" i="454"/>
  <c r="Q71" i="454"/>
  <c r="P71" i="454"/>
  <c r="O71" i="454"/>
  <c r="N71" i="454"/>
  <c r="M71" i="454"/>
  <c r="L71" i="454"/>
  <c r="J71" i="454"/>
  <c r="I71" i="454"/>
  <c r="H71" i="454"/>
  <c r="G71" i="454"/>
  <c r="F71" i="454"/>
  <c r="D71" i="454"/>
  <c r="Z70" i="454"/>
  <c r="Y70" i="454"/>
  <c r="X70" i="454"/>
  <c r="W70" i="454"/>
  <c r="V70" i="454"/>
  <c r="U70" i="454"/>
  <c r="T70" i="454"/>
  <c r="S70" i="454"/>
  <c r="Q70" i="454"/>
  <c r="P70" i="454"/>
  <c r="O70" i="454"/>
  <c r="N70" i="454"/>
  <c r="M70" i="454"/>
  <c r="L70" i="454"/>
  <c r="J70" i="454"/>
  <c r="I70" i="454"/>
  <c r="H70" i="454"/>
  <c r="G70" i="454"/>
  <c r="F70" i="454"/>
  <c r="D70" i="454"/>
  <c r="Z69" i="454"/>
  <c r="Y69" i="454"/>
  <c r="X69" i="454"/>
  <c r="W69" i="454"/>
  <c r="V69" i="454"/>
  <c r="U69" i="454"/>
  <c r="T69" i="454"/>
  <c r="S69" i="454"/>
  <c r="Q69" i="454"/>
  <c r="P69" i="454"/>
  <c r="O69" i="454"/>
  <c r="N69" i="454"/>
  <c r="M69" i="454"/>
  <c r="L69" i="454"/>
  <c r="J69" i="454"/>
  <c r="I69" i="454"/>
  <c r="H69" i="454"/>
  <c r="G69" i="454"/>
  <c r="F69" i="454"/>
  <c r="D69" i="454"/>
  <c r="Z68" i="454"/>
  <c r="Y68" i="454"/>
  <c r="X68" i="454"/>
  <c r="W68" i="454"/>
  <c r="V68" i="454"/>
  <c r="U68" i="454"/>
  <c r="T68" i="454"/>
  <c r="S68" i="454"/>
  <c r="Q68" i="454"/>
  <c r="P68" i="454"/>
  <c r="O68" i="454"/>
  <c r="N68" i="454"/>
  <c r="M68" i="454"/>
  <c r="L68" i="454"/>
  <c r="J68" i="454"/>
  <c r="I68" i="454"/>
  <c r="H68" i="454"/>
  <c r="G68" i="454"/>
  <c r="F68" i="454"/>
  <c r="D68" i="454"/>
  <c r="AA67" i="454"/>
  <c r="R67" i="454"/>
  <c r="Z66" i="454"/>
  <c r="Y66" i="454"/>
  <c r="X66" i="454"/>
  <c r="W66" i="454"/>
  <c r="V66" i="454"/>
  <c r="U66" i="454"/>
  <c r="T66" i="454"/>
  <c r="S66" i="454"/>
  <c r="Q66" i="454"/>
  <c r="P66" i="454"/>
  <c r="O66" i="454"/>
  <c r="N66" i="454"/>
  <c r="M66" i="454"/>
  <c r="L66" i="454"/>
  <c r="J66" i="454"/>
  <c r="I66" i="454"/>
  <c r="H66" i="454"/>
  <c r="G66" i="454"/>
  <c r="F66" i="454"/>
  <c r="D66" i="454"/>
  <c r="Z65" i="454"/>
  <c r="Y65" i="454"/>
  <c r="X65" i="454"/>
  <c r="W65" i="454"/>
  <c r="V65" i="454"/>
  <c r="U65" i="454"/>
  <c r="T65" i="454"/>
  <c r="S65" i="454"/>
  <c r="Q65" i="454"/>
  <c r="P65" i="454"/>
  <c r="O65" i="454"/>
  <c r="N65" i="454"/>
  <c r="M65" i="454"/>
  <c r="L65" i="454"/>
  <c r="J65" i="454"/>
  <c r="I65" i="454"/>
  <c r="H65" i="454"/>
  <c r="G65" i="454"/>
  <c r="F65" i="454"/>
  <c r="D65" i="454"/>
  <c r="Z64" i="454"/>
  <c r="Y64" i="454"/>
  <c r="X64" i="454"/>
  <c r="W64" i="454"/>
  <c r="V64" i="454"/>
  <c r="U64" i="454"/>
  <c r="T64" i="454"/>
  <c r="S64" i="454"/>
  <c r="Q64" i="454"/>
  <c r="P64" i="454"/>
  <c r="O64" i="454"/>
  <c r="N64" i="454"/>
  <c r="M64" i="454"/>
  <c r="L64" i="454"/>
  <c r="J64" i="454"/>
  <c r="I64" i="454"/>
  <c r="H64" i="454"/>
  <c r="G64" i="454"/>
  <c r="F64" i="454"/>
  <c r="D64" i="454"/>
  <c r="Z63" i="454"/>
  <c r="Y63" i="454"/>
  <c r="X63" i="454"/>
  <c r="W63" i="454"/>
  <c r="V63" i="454"/>
  <c r="U63" i="454"/>
  <c r="T63" i="454"/>
  <c r="S63" i="454"/>
  <c r="Q63" i="454"/>
  <c r="P63" i="454"/>
  <c r="O63" i="454"/>
  <c r="N63" i="454"/>
  <c r="M63" i="454"/>
  <c r="L63" i="454"/>
  <c r="J63" i="454"/>
  <c r="I63" i="454"/>
  <c r="H63" i="454"/>
  <c r="G63" i="454"/>
  <c r="F63" i="454"/>
  <c r="D63" i="454"/>
  <c r="Z62" i="454"/>
  <c r="Y62" i="454"/>
  <c r="X62" i="454"/>
  <c r="W62" i="454"/>
  <c r="V62" i="454"/>
  <c r="U62" i="454"/>
  <c r="T62" i="454"/>
  <c r="S62" i="454"/>
  <c r="Q62" i="454"/>
  <c r="P62" i="454"/>
  <c r="O62" i="454"/>
  <c r="N62" i="454"/>
  <c r="M62" i="454"/>
  <c r="L62" i="454"/>
  <c r="J62" i="454"/>
  <c r="I62" i="454"/>
  <c r="H62" i="454"/>
  <c r="G62" i="454"/>
  <c r="F62" i="454"/>
  <c r="D62" i="454"/>
  <c r="Z61" i="454"/>
  <c r="Y61" i="454"/>
  <c r="X61" i="454"/>
  <c r="W61" i="454"/>
  <c r="V61" i="454"/>
  <c r="U61" i="454"/>
  <c r="T61" i="454"/>
  <c r="S61" i="454"/>
  <c r="Q61" i="454"/>
  <c r="P61" i="454"/>
  <c r="O61" i="454"/>
  <c r="N61" i="454"/>
  <c r="M61" i="454"/>
  <c r="L61" i="454"/>
  <c r="J61" i="454"/>
  <c r="I61" i="454"/>
  <c r="H61" i="454"/>
  <c r="G61" i="454"/>
  <c r="F61" i="454"/>
  <c r="D61" i="454"/>
  <c r="AA60" i="454"/>
  <c r="R60" i="454"/>
  <c r="Z59" i="454"/>
  <c r="Y59" i="454"/>
  <c r="X59" i="454"/>
  <c r="W59" i="454"/>
  <c r="V59" i="454"/>
  <c r="U59" i="454"/>
  <c r="T59" i="454"/>
  <c r="S59" i="454"/>
  <c r="Q59" i="454"/>
  <c r="P59" i="454"/>
  <c r="O59" i="454"/>
  <c r="N59" i="454"/>
  <c r="M59" i="454"/>
  <c r="L59" i="454"/>
  <c r="J59" i="454"/>
  <c r="I59" i="454"/>
  <c r="H59" i="454"/>
  <c r="G59" i="454"/>
  <c r="F59" i="454"/>
  <c r="D59" i="454"/>
  <c r="Z58" i="454"/>
  <c r="Y58" i="454"/>
  <c r="X58" i="454"/>
  <c r="W58" i="454"/>
  <c r="V58" i="454"/>
  <c r="U58" i="454"/>
  <c r="T58" i="454"/>
  <c r="S58" i="454"/>
  <c r="Q58" i="454"/>
  <c r="P58" i="454"/>
  <c r="O58" i="454"/>
  <c r="N58" i="454"/>
  <c r="M58" i="454"/>
  <c r="L58" i="454"/>
  <c r="J58" i="454"/>
  <c r="I58" i="454"/>
  <c r="H58" i="454"/>
  <c r="G58" i="454"/>
  <c r="F58" i="454"/>
  <c r="D58" i="454"/>
  <c r="Z57" i="454"/>
  <c r="Y57" i="454"/>
  <c r="X57" i="454"/>
  <c r="W57" i="454"/>
  <c r="V57" i="454"/>
  <c r="U57" i="454"/>
  <c r="T57" i="454"/>
  <c r="S57" i="454"/>
  <c r="Q57" i="454"/>
  <c r="P57" i="454"/>
  <c r="O57" i="454"/>
  <c r="N57" i="454"/>
  <c r="M57" i="454"/>
  <c r="L57" i="454"/>
  <c r="J57" i="454"/>
  <c r="I57" i="454"/>
  <c r="H57" i="454"/>
  <c r="G57" i="454"/>
  <c r="F57" i="454"/>
  <c r="D57" i="454"/>
  <c r="Z56" i="454"/>
  <c r="Y56" i="454"/>
  <c r="X56" i="454"/>
  <c r="W56" i="454"/>
  <c r="V56" i="454"/>
  <c r="U56" i="454"/>
  <c r="T56" i="454"/>
  <c r="S56" i="454"/>
  <c r="Q56" i="454"/>
  <c r="P56" i="454"/>
  <c r="O56" i="454"/>
  <c r="N56" i="454"/>
  <c r="M56" i="454"/>
  <c r="L56" i="454"/>
  <c r="J56" i="454"/>
  <c r="I56" i="454"/>
  <c r="H56" i="454"/>
  <c r="G56" i="454"/>
  <c r="F56" i="454"/>
  <c r="D56" i="454"/>
  <c r="Z55" i="454"/>
  <c r="Y55" i="454"/>
  <c r="X55" i="454"/>
  <c r="W55" i="454"/>
  <c r="V55" i="454"/>
  <c r="U55" i="454"/>
  <c r="T55" i="454"/>
  <c r="S55" i="454"/>
  <c r="Q55" i="454"/>
  <c r="P55" i="454"/>
  <c r="O55" i="454"/>
  <c r="N55" i="454"/>
  <c r="M55" i="454"/>
  <c r="L55" i="454"/>
  <c r="J55" i="454"/>
  <c r="I55" i="454"/>
  <c r="H55" i="454"/>
  <c r="G55" i="454"/>
  <c r="F55" i="454"/>
  <c r="D55" i="454"/>
  <c r="AA54" i="454"/>
  <c r="R54" i="454"/>
  <c r="Z53" i="454"/>
  <c r="Y53" i="454"/>
  <c r="X53" i="454"/>
  <c r="W53" i="454"/>
  <c r="V53" i="454"/>
  <c r="U53" i="454"/>
  <c r="T53" i="454"/>
  <c r="S53" i="454"/>
  <c r="Q53" i="454"/>
  <c r="P53" i="454"/>
  <c r="O53" i="454"/>
  <c r="N53" i="454"/>
  <c r="M53" i="454"/>
  <c r="L53" i="454"/>
  <c r="J53" i="454"/>
  <c r="I53" i="454"/>
  <c r="H53" i="454"/>
  <c r="G53" i="454"/>
  <c r="F53" i="454"/>
  <c r="D53" i="454"/>
  <c r="Z51" i="454"/>
  <c r="Y51" i="454"/>
  <c r="X51" i="454"/>
  <c r="W51" i="454"/>
  <c r="V51" i="454"/>
  <c r="U51" i="454"/>
  <c r="T51" i="454"/>
  <c r="S51" i="454"/>
  <c r="Q51" i="454"/>
  <c r="P51" i="454"/>
  <c r="O51" i="454"/>
  <c r="N51" i="454"/>
  <c r="M51" i="454"/>
  <c r="L51" i="454"/>
  <c r="J51" i="454"/>
  <c r="I51" i="454"/>
  <c r="H51" i="454"/>
  <c r="G51" i="454"/>
  <c r="F51" i="454"/>
  <c r="D51" i="454"/>
  <c r="Z50" i="454"/>
  <c r="Y50" i="454"/>
  <c r="X50" i="454"/>
  <c r="W50" i="454"/>
  <c r="V50" i="454"/>
  <c r="U50" i="454"/>
  <c r="T50" i="454"/>
  <c r="S50" i="454"/>
  <c r="Q50" i="454"/>
  <c r="P50" i="454"/>
  <c r="O50" i="454"/>
  <c r="N50" i="454"/>
  <c r="M50" i="454"/>
  <c r="L50" i="454"/>
  <c r="J50" i="454"/>
  <c r="I50" i="454"/>
  <c r="H50" i="454"/>
  <c r="G50" i="454"/>
  <c r="F50" i="454"/>
  <c r="D50" i="454"/>
  <c r="Z49" i="454"/>
  <c r="Y49" i="454"/>
  <c r="X49" i="454"/>
  <c r="W49" i="454"/>
  <c r="V49" i="454"/>
  <c r="U49" i="454"/>
  <c r="T49" i="454"/>
  <c r="S49" i="454"/>
  <c r="Q49" i="454"/>
  <c r="P49" i="454"/>
  <c r="O49" i="454"/>
  <c r="N49" i="454"/>
  <c r="M49" i="454"/>
  <c r="L49" i="454"/>
  <c r="J49" i="454"/>
  <c r="I49" i="454"/>
  <c r="H49" i="454"/>
  <c r="G49" i="454"/>
  <c r="F49" i="454"/>
  <c r="D49" i="454"/>
  <c r="Z48" i="454"/>
  <c r="Y48" i="454"/>
  <c r="X48" i="454"/>
  <c r="W48" i="454"/>
  <c r="V48" i="454"/>
  <c r="U48" i="454"/>
  <c r="T48" i="454"/>
  <c r="S48" i="454"/>
  <c r="Q48" i="454"/>
  <c r="P48" i="454"/>
  <c r="O48" i="454"/>
  <c r="N48" i="454"/>
  <c r="M48" i="454"/>
  <c r="L48" i="454"/>
  <c r="J48" i="454"/>
  <c r="I48" i="454"/>
  <c r="H48" i="454"/>
  <c r="G48" i="454"/>
  <c r="F48" i="454"/>
  <c r="D48" i="454"/>
  <c r="Z47" i="454"/>
  <c r="Y47" i="454"/>
  <c r="X47" i="454"/>
  <c r="W47" i="454"/>
  <c r="V47" i="454"/>
  <c r="U47" i="454"/>
  <c r="T47" i="454"/>
  <c r="S47" i="454"/>
  <c r="Q47" i="454"/>
  <c r="P47" i="454"/>
  <c r="O47" i="454"/>
  <c r="N47" i="454"/>
  <c r="M47" i="454"/>
  <c r="L47" i="454"/>
  <c r="J47" i="454"/>
  <c r="I47" i="454"/>
  <c r="H47" i="454"/>
  <c r="G47" i="454"/>
  <c r="F47" i="454"/>
  <c r="D47" i="454"/>
  <c r="AA46" i="454"/>
  <c r="R46" i="454"/>
  <c r="Z45" i="454"/>
  <c r="Y45" i="454"/>
  <c r="X45" i="454"/>
  <c r="W45" i="454"/>
  <c r="V45" i="454"/>
  <c r="U45" i="454"/>
  <c r="T45" i="454"/>
  <c r="S45" i="454"/>
  <c r="Q45" i="454"/>
  <c r="P45" i="454"/>
  <c r="O45" i="454"/>
  <c r="N45" i="454"/>
  <c r="M45" i="454"/>
  <c r="L45" i="454"/>
  <c r="J45" i="454"/>
  <c r="I45" i="454"/>
  <c r="H45" i="454"/>
  <c r="G45" i="454"/>
  <c r="D45" i="454"/>
  <c r="Z44" i="454"/>
  <c r="Y44" i="454"/>
  <c r="X44" i="454"/>
  <c r="W44" i="454"/>
  <c r="V44" i="454"/>
  <c r="U44" i="454"/>
  <c r="T44" i="454"/>
  <c r="S44" i="454"/>
  <c r="Q44" i="454"/>
  <c r="P44" i="454"/>
  <c r="O44" i="454"/>
  <c r="N44" i="454"/>
  <c r="M44" i="454"/>
  <c r="L44" i="454"/>
  <c r="J44" i="454"/>
  <c r="I44" i="454"/>
  <c r="H44" i="454"/>
  <c r="G44" i="454"/>
  <c r="D44" i="454"/>
  <c r="Z43" i="454"/>
  <c r="Y43" i="454"/>
  <c r="X43" i="454"/>
  <c r="W43" i="454"/>
  <c r="V43" i="454"/>
  <c r="U43" i="454"/>
  <c r="T43" i="454"/>
  <c r="S43" i="454"/>
  <c r="Q43" i="454"/>
  <c r="P43" i="454"/>
  <c r="O43" i="454"/>
  <c r="N43" i="454"/>
  <c r="M43" i="454"/>
  <c r="L43" i="454"/>
  <c r="J43" i="454"/>
  <c r="I43" i="454"/>
  <c r="H43" i="454"/>
  <c r="G43" i="454"/>
  <c r="D43" i="454"/>
  <c r="Z42" i="454"/>
  <c r="Y42" i="454"/>
  <c r="X42" i="454"/>
  <c r="W42" i="454"/>
  <c r="V42" i="454"/>
  <c r="U42" i="454"/>
  <c r="T42" i="454"/>
  <c r="S42" i="454"/>
  <c r="Q42" i="454"/>
  <c r="P42" i="454"/>
  <c r="O42" i="454"/>
  <c r="N42" i="454"/>
  <c r="M42" i="454"/>
  <c r="L42" i="454"/>
  <c r="J42" i="454"/>
  <c r="I42" i="454"/>
  <c r="H42" i="454"/>
  <c r="G42" i="454"/>
  <c r="D42" i="454"/>
  <c r="Z41" i="454"/>
  <c r="Y41" i="454"/>
  <c r="X41" i="454"/>
  <c r="W41" i="454"/>
  <c r="V41" i="454"/>
  <c r="U41" i="454"/>
  <c r="T41" i="454"/>
  <c r="S41" i="454"/>
  <c r="Q41" i="454"/>
  <c r="P41" i="454"/>
  <c r="O41" i="454"/>
  <c r="N41" i="454"/>
  <c r="M41" i="454"/>
  <c r="L41" i="454"/>
  <c r="J41" i="454"/>
  <c r="I41" i="454"/>
  <c r="H41" i="454"/>
  <c r="G41" i="454"/>
  <c r="D41" i="454"/>
  <c r="Z40" i="454"/>
  <c r="Y40" i="454"/>
  <c r="X40" i="454"/>
  <c r="W40" i="454"/>
  <c r="V40" i="454"/>
  <c r="U40" i="454"/>
  <c r="T40" i="454"/>
  <c r="S40" i="454"/>
  <c r="Q40" i="454"/>
  <c r="P40" i="454"/>
  <c r="O40" i="454"/>
  <c r="N40" i="454"/>
  <c r="M40" i="454"/>
  <c r="L40" i="454"/>
  <c r="J40" i="454"/>
  <c r="I40" i="454"/>
  <c r="H40" i="454"/>
  <c r="G40" i="454"/>
  <c r="D40" i="454"/>
  <c r="AA39" i="454"/>
  <c r="R39" i="454"/>
  <c r="Z38" i="454"/>
  <c r="Y38" i="454"/>
  <c r="X38" i="454"/>
  <c r="W38" i="454"/>
  <c r="V38" i="454"/>
  <c r="U38" i="454"/>
  <c r="T38" i="454"/>
  <c r="S38" i="454"/>
  <c r="Q38" i="454"/>
  <c r="P38" i="454"/>
  <c r="O38" i="454"/>
  <c r="N38" i="454"/>
  <c r="M38" i="454"/>
  <c r="L38" i="454"/>
  <c r="J38" i="454"/>
  <c r="I38" i="454"/>
  <c r="H38" i="454"/>
  <c r="G38" i="454"/>
  <c r="D38" i="454"/>
  <c r="Z37" i="454"/>
  <c r="Y37" i="454"/>
  <c r="X37" i="454"/>
  <c r="W37" i="454"/>
  <c r="V37" i="454"/>
  <c r="U37" i="454"/>
  <c r="T37" i="454"/>
  <c r="S37" i="454"/>
  <c r="Q37" i="454"/>
  <c r="P37" i="454"/>
  <c r="O37" i="454"/>
  <c r="N37" i="454"/>
  <c r="M37" i="454"/>
  <c r="L37" i="454"/>
  <c r="J37" i="454"/>
  <c r="I37" i="454"/>
  <c r="H37" i="454"/>
  <c r="G37" i="454"/>
  <c r="D37" i="454"/>
  <c r="Z36" i="454"/>
  <c r="Y36" i="454"/>
  <c r="X36" i="454"/>
  <c r="W36" i="454"/>
  <c r="V36" i="454"/>
  <c r="U36" i="454"/>
  <c r="T36" i="454"/>
  <c r="S36" i="454"/>
  <c r="Q36" i="454"/>
  <c r="P36" i="454"/>
  <c r="O36" i="454"/>
  <c r="N36" i="454"/>
  <c r="M36" i="454"/>
  <c r="L36" i="454"/>
  <c r="J36" i="454"/>
  <c r="I36" i="454"/>
  <c r="H36" i="454"/>
  <c r="G36" i="454"/>
  <c r="D36" i="454"/>
  <c r="Z35" i="454"/>
  <c r="Y35" i="454"/>
  <c r="X35" i="454"/>
  <c r="W35" i="454"/>
  <c r="V35" i="454"/>
  <c r="U35" i="454"/>
  <c r="T35" i="454"/>
  <c r="S35" i="454"/>
  <c r="Q35" i="454"/>
  <c r="P35" i="454"/>
  <c r="O35" i="454"/>
  <c r="N35" i="454"/>
  <c r="M35" i="454"/>
  <c r="L35" i="454"/>
  <c r="J35" i="454"/>
  <c r="I35" i="454"/>
  <c r="H35" i="454"/>
  <c r="G35" i="454"/>
  <c r="D35" i="454"/>
  <c r="Z34" i="454"/>
  <c r="Y34" i="454"/>
  <c r="X34" i="454"/>
  <c r="W34" i="454"/>
  <c r="V34" i="454"/>
  <c r="U34" i="454"/>
  <c r="T34" i="454"/>
  <c r="S34" i="454"/>
  <c r="Q34" i="454"/>
  <c r="P34" i="454"/>
  <c r="O34" i="454"/>
  <c r="N34" i="454"/>
  <c r="M34" i="454"/>
  <c r="L34" i="454"/>
  <c r="J34" i="454"/>
  <c r="I34" i="454"/>
  <c r="H34" i="454"/>
  <c r="G34" i="454"/>
  <c r="D34" i="454"/>
  <c r="Z33" i="454"/>
  <c r="Y33" i="454"/>
  <c r="X33" i="454"/>
  <c r="W33" i="454"/>
  <c r="V33" i="454"/>
  <c r="U33" i="454"/>
  <c r="T33" i="454"/>
  <c r="S33" i="454"/>
  <c r="Q33" i="454"/>
  <c r="P33" i="454"/>
  <c r="O33" i="454"/>
  <c r="N33" i="454"/>
  <c r="M33" i="454"/>
  <c r="L33" i="454"/>
  <c r="J33" i="454"/>
  <c r="I33" i="454"/>
  <c r="H33" i="454"/>
  <c r="G33" i="454"/>
  <c r="D33" i="454"/>
  <c r="AA32" i="454"/>
  <c r="R32" i="454"/>
  <c r="Z31" i="454"/>
  <c r="Y31" i="454"/>
  <c r="X31" i="454"/>
  <c r="W31" i="454"/>
  <c r="V31" i="454"/>
  <c r="U31" i="454"/>
  <c r="T31" i="454"/>
  <c r="S31" i="454"/>
  <c r="Q31" i="454"/>
  <c r="P31" i="454"/>
  <c r="O31" i="454"/>
  <c r="N31" i="454"/>
  <c r="M31" i="454"/>
  <c r="L31" i="454"/>
  <c r="J31" i="454"/>
  <c r="I31" i="454"/>
  <c r="H31" i="454"/>
  <c r="G31" i="454"/>
  <c r="F31" i="454"/>
  <c r="D31" i="454"/>
  <c r="Z29" i="454"/>
  <c r="Y29" i="454"/>
  <c r="X29" i="454"/>
  <c r="W29" i="454"/>
  <c r="V29" i="454"/>
  <c r="U29" i="454"/>
  <c r="T29" i="454"/>
  <c r="S29" i="454"/>
  <c r="Q29" i="454"/>
  <c r="P29" i="454"/>
  <c r="O29" i="454"/>
  <c r="N29" i="454"/>
  <c r="M29" i="454"/>
  <c r="L29" i="454"/>
  <c r="J29" i="454"/>
  <c r="I29" i="454"/>
  <c r="H29" i="454"/>
  <c r="G29" i="454"/>
  <c r="F29" i="454"/>
  <c r="D29" i="454"/>
  <c r="Z28" i="454"/>
  <c r="Y28" i="454"/>
  <c r="X28" i="454"/>
  <c r="W28" i="454"/>
  <c r="V28" i="454"/>
  <c r="U28" i="454"/>
  <c r="T28" i="454"/>
  <c r="S28" i="454"/>
  <c r="Q28" i="454"/>
  <c r="P28" i="454"/>
  <c r="O28" i="454"/>
  <c r="N28" i="454"/>
  <c r="M28" i="454"/>
  <c r="L28" i="454"/>
  <c r="J28" i="454"/>
  <c r="I28" i="454"/>
  <c r="H28" i="454"/>
  <c r="G28" i="454"/>
  <c r="F28" i="454"/>
  <c r="D28" i="454"/>
  <c r="Z27" i="454"/>
  <c r="Y27" i="454"/>
  <c r="X27" i="454"/>
  <c r="W27" i="454"/>
  <c r="V27" i="454"/>
  <c r="U27" i="454"/>
  <c r="T27" i="454"/>
  <c r="S27" i="454"/>
  <c r="Q27" i="454"/>
  <c r="P27" i="454"/>
  <c r="O27" i="454"/>
  <c r="N27" i="454"/>
  <c r="M27" i="454"/>
  <c r="L27" i="454"/>
  <c r="J27" i="454"/>
  <c r="I27" i="454"/>
  <c r="H27" i="454"/>
  <c r="G27" i="454"/>
  <c r="F27" i="454"/>
  <c r="D27" i="454"/>
  <c r="Z26" i="454"/>
  <c r="Y26" i="454"/>
  <c r="X26" i="454"/>
  <c r="W26" i="454"/>
  <c r="V26" i="454"/>
  <c r="U26" i="454"/>
  <c r="T26" i="454"/>
  <c r="S26" i="454"/>
  <c r="Q26" i="454"/>
  <c r="P26" i="454"/>
  <c r="O26" i="454"/>
  <c r="N26" i="454"/>
  <c r="M26" i="454"/>
  <c r="L26" i="454"/>
  <c r="J26" i="454"/>
  <c r="I26" i="454"/>
  <c r="H26" i="454"/>
  <c r="G26" i="454"/>
  <c r="F26" i="454"/>
  <c r="D26" i="454"/>
  <c r="Z25" i="454"/>
  <c r="Y25" i="454"/>
  <c r="X25" i="454"/>
  <c r="W25" i="454"/>
  <c r="V25" i="454"/>
  <c r="U25" i="454"/>
  <c r="T25" i="454"/>
  <c r="S25" i="454"/>
  <c r="Q25" i="454"/>
  <c r="P25" i="454"/>
  <c r="O25" i="454"/>
  <c r="N25" i="454"/>
  <c r="M25" i="454"/>
  <c r="L25" i="454"/>
  <c r="J25" i="454"/>
  <c r="I25" i="454"/>
  <c r="H25" i="454"/>
  <c r="G25" i="454"/>
  <c r="F25" i="454"/>
  <c r="D25" i="454"/>
  <c r="Z24" i="454"/>
  <c r="Y24" i="454"/>
  <c r="X24" i="454"/>
  <c r="W24" i="454"/>
  <c r="V24" i="454"/>
  <c r="U24" i="454"/>
  <c r="T24" i="454"/>
  <c r="S24" i="454"/>
  <c r="Q24" i="454"/>
  <c r="P24" i="454"/>
  <c r="O24" i="454"/>
  <c r="N24" i="454"/>
  <c r="M24" i="454"/>
  <c r="L24" i="454"/>
  <c r="J24" i="454"/>
  <c r="I24" i="454"/>
  <c r="H24" i="454"/>
  <c r="G24" i="454"/>
  <c r="F24" i="454"/>
  <c r="D24" i="454"/>
  <c r="AA23" i="454"/>
  <c r="R23" i="454"/>
  <c r="K23" i="454"/>
  <c r="Z22" i="454"/>
  <c r="Y22" i="454"/>
  <c r="X22" i="454"/>
  <c r="W22" i="454"/>
  <c r="V22" i="454"/>
  <c r="U22" i="454"/>
  <c r="T22" i="454"/>
  <c r="S22" i="454"/>
  <c r="Q22" i="454"/>
  <c r="P22" i="454"/>
  <c r="O22" i="454"/>
  <c r="N22" i="454"/>
  <c r="M22" i="454"/>
  <c r="L22" i="454"/>
  <c r="J22" i="454"/>
  <c r="I22" i="454"/>
  <c r="H22" i="454"/>
  <c r="G22" i="454"/>
  <c r="F22" i="454"/>
  <c r="D22" i="454"/>
  <c r="Z21" i="454"/>
  <c r="Y21" i="454"/>
  <c r="X21" i="454"/>
  <c r="W21" i="454"/>
  <c r="V21" i="454"/>
  <c r="U21" i="454"/>
  <c r="T21" i="454"/>
  <c r="S21" i="454"/>
  <c r="Q21" i="454"/>
  <c r="P21" i="454"/>
  <c r="O21" i="454"/>
  <c r="N21" i="454"/>
  <c r="M21" i="454"/>
  <c r="L21" i="454"/>
  <c r="J21" i="454"/>
  <c r="I21" i="454"/>
  <c r="H21" i="454"/>
  <c r="G21" i="454"/>
  <c r="F21" i="454"/>
  <c r="D21" i="454"/>
  <c r="Z20" i="454"/>
  <c r="Y20" i="454"/>
  <c r="X20" i="454"/>
  <c r="W20" i="454"/>
  <c r="V20" i="454"/>
  <c r="U20" i="454"/>
  <c r="T20" i="454"/>
  <c r="S20" i="454"/>
  <c r="Q20" i="454"/>
  <c r="P20" i="454"/>
  <c r="O20" i="454"/>
  <c r="N20" i="454"/>
  <c r="M20" i="454"/>
  <c r="L20" i="454"/>
  <c r="J20" i="454"/>
  <c r="I20" i="454"/>
  <c r="H20" i="454"/>
  <c r="G20" i="454"/>
  <c r="F20" i="454"/>
  <c r="D20" i="454"/>
  <c r="Z19" i="454"/>
  <c r="Y19" i="454"/>
  <c r="X19" i="454"/>
  <c r="W19" i="454"/>
  <c r="V19" i="454"/>
  <c r="U19" i="454"/>
  <c r="T19" i="454"/>
  <c r="S19" i="454"/>
  <c r="Q19" i="454"/>
  <c r="P19" i="454"/>
  <c r="O19" i="454"/>
  <c r="N19" i="454"/>
  <c r="M19" i="454"/>
  <c r="L19" i="454"/>
  <c r="J19" i="454"/>
  <c r="I19" i="454"/>
  <c r="H19" i="454"/>
  <c r="G19" i="454"/>
  <c r="F19" i="454"/>
  <c r="D19" i="454"/>
  <c r="Z18" i="454"/>
  <c r="Y18" i="454"/>
  <c r="X18" i="454"/>
  <c r="W18" i="454"/>
  <c r="V18" i="454"/>
  <c r="U18" i="454"/>
  <c r="T18" i="454"/>
  <c r="S18" i="454"/>
  <c r="Q18" i="454"/>
  <c r="P18" i="454"/>
  <c r="O18" i="454"/>
  <c r="N18" i="454"/>
  <c r="M18" i="454"/>
  <c r="L18" i="454"/>
  <c r="J18" i="454"/>
  <c r="I18" i="454"/>
  <c r="H18" i="454"/>
  <c r="G18" i="454"/>
  <c r="F18" i="454"/>
  <c r="D18" i="454"/>
  <c r="Z17" i="454"/>
  <c r="Y17" i="454"/>
  <c r="X17" i="454"/>
  <c r="W17" i="454"/>
  <c r="V17" i="454"/>
  <c r="U17" i="454"/>
  <c r="T17" i="454"/>
  <c r="S17" i="454"/>
  <c r="Q17" i="454"/>
  <c r="P17" i="454"/>
  <c r="O17" i="454"/>
  <c r="N17" i="454"/>
  <c r="M17" i="454"/>
  <c r="L17" i="454"/>
  <c r="J17" i="454"/>
  <c r="I17" i="454"/>
  <c r="H17" i="454"/>
  <c r="G17" i="454"/>
  <c r="F17" i="454"/>
  <c r="D17" i="454"/>
  <c r="AA16" i="454"/>
  <c r="R16" i="454"/>
  <c r="Z15" i="454"/>
  <c r="Z14" i="454" s="1"/>
  <c r="Y15" i="454"/>
  <c r="Y14" i="454" s="1"/>
  <c r="X15" i="454"/>
  <c r="X14" i="454" s="1"/>
  <c r="W15" i="454"/>
  <c r="W14" i="454" s="1"/>
  <c r="V15" i="454"/>
  <c r="V14" i="454" s="1"/>
  <c r="U15" i="454"/>
  <c r="U14" i="454" s="1"/>
  <c r="T15" i="454"/>
  <c r="T14" i="454" s="1"/>
  <c r="S15" i="454"/>
  <c r="S14" i="454" s="1"/>
  <c r="Q15" i="454"/>
  <c r="Q14" i="454" s="1"/>
  <c r="P15" i="454"/>
  <c r="P14" i="454" s="1"/>
  <c r="O15" i="454"/>
  <c r="O14" i="454" s="1"/>
  <c r="N15" i="454"/>
  <c r="N14" i="454" s="1"/>
  <c r="M15" i="454"/>
  <c r="M14" i="454" s="1"/>
  <c r="L15" i="454"/>
  <c r="J15" i="454"/>
  <c r="J14" i="454" s="1"/>
  <c r="I15" i="454"/>
  <c r="I14" i="454" s="1"/>
  <c r="H15" i="454"/>
  <c r="H14" i="454" s="1"/>
  <c r="G15" i="454"/>
  <c r="G14" i="454" s="1"/>
  <c r="F15" i="454"/>
  <c r="F14" i="454" s="1"/>
  <c r="D15" i="454"/>
  <c r="D14" i="454" s="1"/>
  <c r="AA14" i="456" l="1"/>
  <c r="AA23" i="456"/>
  <c r="AA33" i="456"/>
  <c r="AA57" i="456"/>
  <c r="AA61" i="456"/>
  <c r="AA67" i="456"/>
  <c r="AA79" i="456"/>
  <c r="AA130" i="456"/>
  <c r="Z131" i="456"/>
  <c r="AA134" i="456"/>
  <c r="Z135" i="456"/>
  <c r="Z139" i="456"/>
  <c r="AA142" i="456"/>
  <c r="Z143" i="456"/>
  <c r="Z147" i="456"/>
  <c r="AA152" i="456"/>
  <c r="Z153" i="456"/>
  <c r="W176" i="456"/>
  <c r="Z19" i="456"/>
  <c r="AA19" i="456" s="1"/>
  <c r="Z39" i="456"/>
  <c r="AA39" i="456" s="1"/>
  <c r="Z50" i="456"/>
  <c r="AA50" i="456" s="1"/>
  <c r="Z69" i="456"/>
  <c r="AA69" i="456" s="1"/>
  <c r="Z73" i="456"/>
  <c r="AA73" i="456" s="1"/>
  <c r="Z87" i="456"/>
  <c r="Z96" i="456"/>
  <c r="Z98" i="456"/>
  <c r="AA98" i="456" s="1"/>
  <c r="Z102" i="456"/>
  <c r="AA102" i="456" s="1"/>
  <c r="Z107" i="456"/>
  <c r="AA107" i="456" s="1"/>
  <c r="K6" i="456"/>
  <c r="K5" i="456" s="1"/>
  <c r="K119" i="456" s="1"/>
  <c r="K176" i="456" s="1"/>
  <c r="O176" i="456"/>
  <c r="T176" i="456"/>
  <c r="X176" i="456"/>
  <c r="Z18" i="456"/>
  <c r="AA18" i="456" s="1"/>
  <c r="Z21" i="456"/>
  <c r="AA21" i="456" s="1"/>
  <c r="Z101" i="456"/>
  <c r="AA101" i="456" s="1"/>
  <c r="Z110" i="456"/>
  <c r="AA110" i="456" s="1"/>
  <c r="Z113" i="456"/>
  <c r="Z116" i="456"/>
  <c r="AA116" i="456" s="1"/>
  <c r="Z125" i="456"/>
  <c r="AA125" i="456" s="1"/>
  <c r="Z165" i="456"/>
  <c r="Z169" i="456"/>
  <c r="AA169" i="456" s="1"/>
  <c r="Z118" i="456"/>
  <c r="AA165" i="456"/>
  <c r="Z138" i="456"/>
  <c r="AA138" i="456" s="1"/>
  <c r="AA146" i="456"/>
  <c r="Z11" i="456"/>
  <c r="AA11" i="456" s="1"/>
  <c r="Z12" i="456"/>
  <c r="AA12" i="456" s="1"/>
  <c r="AA118" i="456"/>
  <c r="Z8" i="456"/>
  <c r="F176" i="456"/>
  <c r="AA8" i="456"/>
  <c r="AB221" i="457"/>
  <c r="AC221" i="457" s="1"/>
  <c r="AA821" i="457"/>
  <c r="S820" i="457"/>
  <c r="R142" i="457"/>
  <c r="AB142" i="457" s="1"/>
  <c r="AC142" i="457" s="1"/>
  <c r="L12" i="457"/>
  <c r="L1104" i="457"/>
  <c r="R820" i="457"/>
  <c r="D1104" i="457"/>
  <c r="K820" i="457"/>
  <c r="K1104" i="457" s="1"/>
  <c r="AA142" i="457"/>
  <c r="S12" i="457"/>
  <c r="K12" i="457"/>
  <c r="D11" i="457"/>
  <c r="AC1111" i="457"/>
  <c r="AB1135" i="457"/>
  <c r="AC1135" i="457" s="1"/>
  <c r="AB821" i="457"/>
  <c r="AC821" i="457" s="1"/>
  <c r="L955" i="454"/>
  <c r="L954" i="454" s="1"/>
  <c r="L953" i="454" s="1"/>
  <c r="P955" i="454"/>
  <c r="P954" i="454" s="1"/>
  <c r="P953" i="454" s="1"/>
  <c r="U955" i="454"/>
  <c r="AC1025" i="454"/>
  <c r="AC999" i="454"/>
  <c r="AC995" i="454"/>
  <c r="AC996" i="454"/>
  <c r="AC994" i="454"/>
  <c r="AC888" i="454"/>
  <c r="AC890" i="454"/>
  <c r="AC891" i="454"/>
  <c r="AC887" i="454"/>
  <c r="AC889" i="454"/>
  <c r="AB973" i="454"/>
  <c r="AC973" i="454" s="1"/>
  <c r="AB972" i="454"/>
  <c r="AC972" i="454" s="1"/>
  <c r="N955" i="454"/>
  <c r="N954" i="454" s="1"/>
  <c r="N953" i="454" s="1"/>
  <c r="S955" i="454"/>
  <c r="S954" i="454" s="1"/>
  <c r="S953" i="454" s="1"/>
  <c r="W955" i="454"/>
  <c r="W954" i="454" s="1"/>
  <c r="W953" i="454" s="1"/>
  <c r="AC706" i="454"/>
  <c r="W80" i="454"/>
  <c r="W79" i="454" s="1"/>
  <c r="AB704" i="454"/>
  <c r="AC704" i="454" s="1"/>
  <c r="U954" i="454"/>
  <c r="U953" i="454" s="1"/>
  <c r="AC969" i="454"/>
  <c r="AC968" i="454"/>
  <c r="G928" i="454"/>
  <c r="G927" i="454" s="1"/>
  <c r="F928" i="454"/>
  <c r="F927" i="454" s="1"/>
  <c r="F920" i="454" s="1"/>
  <c r="F909" i="454" s="1"/>
  <c r="L745" i="454"/>
  <c r="AC705" i="454"/>
  <c r="AC703" i="454"/>
  <c r="M955" i="454"/>
  <c r="M954" i="454" s="1"/>
  <c r="M953" i="454" s="1"/>
  <c r="O955" i="454"/>
  <c r="O954" i="454" s="1"/>
  <c r="O953" i="454" s="1"/>
  <c r="Q955" i="454"/>
  <c r="Q954" i="454" s="1"/>
  <c r="Q953" i="454" s="1"/>
  <c r="T955" i="454"/>
  <c r="T954" i="454" s="1"/>
  <c r="T953" i="454" s="1"/>
  <c r="V955" i="454"/>
  <c r="V954" i="454" s="1"/>
  <c r="V953" i="454" s="1"/>
  <c r="O902" i="454"/>
  <c r="O901" i="454" s="1"/>
  <c r="I902" i="454"/>
  <c r="I901" i="454" s="1"/>
  <c r="N902" i="454"/>
  <c r="N901" i="454" s="1"/>
  <c r="W902" i="454"/>
  <c r="W901" i="454" s="1"/>
  <c r="V981" i="454"/>
  <c r="V980" i="454" s="1"/>
  <c r="Q981" i="454"/>
  <c r="Q980" i="454" s="1"/>
  <c r="AB539" i="454"/>
  <c r="AC539" i="454" s="1"/>
  <c r="AB541" i="454"/>
  <c r="W861" i="454"/>
  <c r="W851" i="454" s="1"/>
  <c r="AB872" i="454"/>
  <c r="AC872" i="454" s="1"/>
  <c r="Z884" i="454"/>
  <c r="G52" i="454"/>
  <c r="G30" i="454" s="1"/>
  <c r="G13" i="454" s="1"/>
  <c r="I52" i="454"/>
  <c r="I30" i="454" s="1"/>
  <c r="I13" i="454" s="1"/>
  <c r="L52" i="454"/>
  <c r="N52" i="454"/>
  <c r="P52" i="454"/>
  <c r="S52" i="454"/>
  <c r="U52" i="454"/>
  <c r="Y52" i="454"/>
  <c r="Y30" i="454" s="1"/>
  <c r="Y13" i="454" s="1"/>
  <c r="T52" i="454"/>
  <c r="U151" i="454"/>
  <c r="AB325" i="454"/>
  <c r="AB336" i="454"/>
  <c r="AB778" i="454"/>
  <c r="AB806" i="454"/>
  <c r="AB811" i="454"/>
  <c r="AB814" i="454"/>
  <c r="H928" i="454"/>
  <c r="H927" i="454" s="1"/>
  <c r="M928" i="454"/>
  <c r="N981" i="454"/>
  <c r="N980" i="454" s="1"/>
  <c r="S1002" i="454"/>
  <c r="G1016" i="454"/>
  <c r="G1015" i="454" s="1"/>
  <c r="I1016" i="454"/>
  <c r="I1015" i="454" s="1"/>
  <c r="N1016" i="454"/>
  <c r="N1015" i="454" s="1"/>
  <c r="U1016" i="454"/>
  <c r="U1015" i="454" s="1"/>
  <c r="W1016" i="454"/>
  <c r="W1015" i="454" s="1"/>
  <c r="Y1016" i="454"/>
  <c r="Y1015" i="454" s="1"/>
  <c r="AB1091" i="454"/>
  <c r="AC1091" i="454" s="1"/>
  <c r="AB1095" i="454"/>
  <c r="AC1095" i="454" s="1"/>
  <c r="L354" i="454"/>
  <c r="M981" i="454"/>
  <c r="M980" i="454" s="1"/>
  <c r="N225" i="454"/>
  <c r="N224" i="454" s="1"/>
  <c r="N223" i="454" s="1"/>
  <c r="N222" i="454" s="1"/>
  <c r="N221" i="454" s="1"/>
  <c r="AB300" i="454"/>
  <c r="AB418" i="454"/>
  <c r="AB425" i="454"/>
  <c r="AC425" i="454" s="1"/>
  <c r="R483" i="454"/>
  <c r="AB566" i="454"/>
  <c r="AB574" i="454"/>
  <c r="AB755" i="454"/>
  <c r="AC755" i="454" s="1"/>
  <c r="AB790" i="454"/>
  <c r="AB827" i="454"/>
  <c r="AC827" i="454" s="1"/>
  <c r="G1002" i="454"/>
  <c r="G1001" i="454" s="1"/>
  <c r="G1000" i="454" s="1"/>
  <c r="I1002" i="454"/>
  <c r="I1001" i="454" s="1"/>
  <c r="N1002" i="454"/>
  <c r="N1001" i="454" s="1"/>
  <c r="N1000" i="454" s="1"/>
  <c r="AB1014" i="454"/>
  <c r="AC1014" i="454" s="1"/>
  <c r="AB203" i="454"/>
  <c r="AB293" i="454"/>
  <c r="AB297" i="454"/>
  <c r="AB316" i="454"/>
  <c r="AB321" i="454"/>
  <c r="AB427" i="454"/>
  <c r="AB709" i="454"/>
  <c r="AB732" i="454"/>
  <c r="K854" i="454"/>
  <c r="AB886" i="454"/>
  <c r="T884" i="454"/>
  <c r="O981" i="454"/>
  <c r="O980" i="454" s="1"/>
  <c r="Z981" i="454"/>
  <c r="Z980" i="454" s="1"/>
  <c r="J1016" i="454"/>
  <c r="J1015" i="454" s="1"/>
  <c r="AB1119" i="454"/>
  <c r="AC1119" i="454" s="1"/>
  <c r="R17" i="454"/>
  <c r="AA19" i="454"/>
  <c r="R26" i="454"/>
  <c r="AB32" i="454"/>
  <c r="AA36" i="454"/>
  <c r="AA45" i="454"/>
  <c r="T354" i="454"/>
  <c r="AB367" i="454"/>
  <c r="AB550" i="454"/>
  <c r="AB558" i="454"/>
  <c r="I707" i="454"/>
  <c r="I697" i="454" s="1"/>
  <c r="N707" i="454"/>
  <c r="N697" i="454" s="1"/>
  <c r="N696" i="454" s="1"/>
  <c r="S707" i="454"/>
  <c r="S697" i="454" s="1"/>
  <c r="U707" i="454"/>
  <c r="U697" i="454" s="1"/>
  <c r="U696" i="454" s="1"/>
  <c r="W707" i="454"/>
  <c r="W697" i="454" s="1"/>
  <c r="W696" i="454" s="1"/>
  <c r="H707" i="454"/>
  <c r="H697" i="454" s="1"/>
  <c r="H696" i="454" s="1"/>
  <c r="AB863" i="454"/>
  <c r="AB867" i="454"/>
  <c r="O861" i="454"/>
  <c r="T861" i="454"/>
  <c r="T851" i="454" s="1"/>
  <c r="X861" i="454"/>
  <c r="AB881" i="454"/>
  <c r="AC881" i="454" s="1"/>
  <c r="J884" i="454"/>
  <c r="AB912" i="454"/>
  <c r="AC912" i="454" s="1"/>
  <c r="AB932" i="454"/>
  <c r="AB934" i="454"/>
  <c r="AC934" i="454" s="1"/>
  <c r="AB942" i="454"/>
  <c r="R970" i="454"/>
  <c r="AA970" i="454"/>
  <c r="O1016" i="454"/>
  <c r="O1015" i="454" s="1"/>
  <c r="X1016" i="454"/>
  <c r="X1015" i="454" s="1"/>
  <c r="AB1051" i="454"/>
  <c r="AC1051" i="454" s="1"/>
  <c r="AB1052" i="454"/>
  <c r="AB1055" i="454"/>
  <c r="AC1055" i="454" s="1"/>
  <c r="AB1056" i="454"/>
  <c r="AB1076" i="454"/>
  <c r="AC1076" i="454" s="1"/>
  <c r="AB1117" i="454"/>
  <c r="J1120" i="454"/>
  <c r="J1111" i="454" s="1"/>
  <c r="J1135" i="454" s="1"/>
  <c r="R43" i="454"/>
  <c r="W191" i="454"/>
  <c r="O52" i="454"/>
  <c r="AB82" i="454"/>
  <c r="V151" i="454"/>
  <c r="F151" i="454"/>
  <c r="J151" i="454"/>
  <c r="M151" i="454"/>
  <c r="O151" i="454"/>
  <c r="T151" i="454"/>
  <c r="X151" i="454"/>
  <c r="AB161" i="454"/>
  <c r="AA163" i="454"/>
  <c r="AA172" i="454"/>
  <c r="AB185" i="454"/>
  <c r="AB195" i="454"/>
  <c r="AB210" i="454"/>
  <c r="AB214" i="454"/>
  <c r="R230" i="454"/>
  <c r="R234" i="454"/>
  <c r="AB304" i="454"/>
  <c r="AB307" i="454"/>
  <c r="AB311" i="454"/>
  <c r="AB314" i="454"/>
  <c r="AB328" i="454"/>
  <c r="AB332" i="454"/>
  <c r="AB334" i="454"/>
  <c r="AB342" i="454"/>
  <c r="F354" i="454"/>
  <c r="J354" i="454"/>
  <c r="O354" i="454"/>
  <c r="X354" i="454"/>
  <c r="F707" i="454"/>
  <c r="F697" i="454" s="1"/>
  <c r="J707" i="454"/>
  <c r="O707" i="454"/>
  <c r="T707" i="454"/>
  <c r="T697" i="454" s="1"/>
  <c r="T696" i="454" s="1"/>
  <c r="X707" i="454"/>
  <c r="X697" i="454" s="1"/>
  <c r="X696" i="454" s="1"/>
  <c r="AB364" i="454"/>
  <c r="AB369" i="454"/>
  <c r="AB380" i="454"/>
  <c r="AB384" i="454"/>
  <c r="AB385" i="454"/>
  <c r="AB388" i="454"/>
  <c r="AB393" i="454"/>
  <c r="AB396" i="454"/>
  <c r="AB401" i="454"/>
  <c r="AB412" i="454"/>
  <c r="AB416" i="454"/>
  <c r="AB417" i="454"/>
  <c r="AB436" i="454"/>
  <c r="AB437" i="454"/>
  <c r="AB444" i="454"/>
  <c r="AB452" i="454"/>
  <c r="AB460" i="454"/>
  <c r="AC460" i="454" s="1"/>
  <c r="AB518" i="454"/>
  <c r="AB535" i="454"/>
  <c r="AB547" i="454"/>
  <c r="AB554" i="454"/>
  <c r="AB562" i="454"/>
  <c r="AB570" i="454"/>
  <c r="AB579" i="454"/>
  <c r="D605" i="454"/>
  <c r="AB607" i="454"/>
  <c r="AB622" i="454"/>
  <c r="AB717" i="454"/>
  <c r="AB727" i="454"/>
  <c r="D745" i="454"/>
  <c r="G745" i="454"/>
  <c r="P745" i="454"/>
  <c r="J745" i="454"/>
  <c r="T745" i="454"/>
  <c r="AB757" i="454"/>
  <c r="G758" i="454"/>
  <c r="L758" i="454"/>
  <c r="P758" i="454"/>
  <c r="W758" i="454"/>
  <c r="AB789" i="454"/>
  <c r="AB793" i="454"/>
  <c r="AB808" i="454"/>
  <c r="AB809" i="454"/>
  <c r="AB816" i="454"/>
  <c r="AC816" i="454" s="1"/>
  <c r="AB829" i="454"/>
  <c r="AB834" i="454"/>
  <c r="AC834" i="454" s="1"/>
  <c r="AB842" i="454"/>
  <c r="AC842" i="454" s="1"/>
  <c r="AB860" i="454"/>
  <c r="AB870" i="454"/>
  <c r="W981" i="454"/>
  <c r="W980" i="454" s="1"/>
  <c r="I1120" i="454"/>
  <c r="I1111" i="454" s="1"/>
  <c r="I1135" i="454" s="1"/>
  <c r="W1120" i="454"/>
  <c r="W1111" i="454" s="1"/>
  <c r="W1135" i="454" s="1"/>
  <c r="G884" i="454"/>
  <c r="L884" i="454"/>
  <c r="P884" i="454"/>
  <c r="U884" i="454"/>
  <c r="AB936" i="454"/>
  <c r="AB945" i="454"/>
  <c r="AB966" i="454"/>
  <c r="AB967" i="454"/>
  <c r="AB979" i="454"/>
  <c r="AB1005" i="454"/>
  <c r="AC1005" i="454" s="1"/>
  <c r="O1002" i="454"/>
  <c r="O1001" i="454" s="1"/>
  <c r="AB1026" i="454"/>
  <c r="AB1057" i="454"/>
  <c r="AC1057" i="454" s="1"/>
  <c r="AB1059" i="454"/>
  <c r="AB1067" i="454"/>
  <c r="AC1067" i="454" s="1"/>
  <c r="AB1068" i="454"/>
  <c r="AC1068" i="454" s="1"/>
  <c r="AB1071" i="454"/>
  <c r="AC1071" i="454" s="1"/>
  <c r="AB1072" i="454"/>
  <c r="AC1072" i="454" s="1"/>
  <c r="AB1079" i="454"/>
  <c r="AB1085" i="454"/>
  <c r="AC1085" i="454" s="1"/>
  <c r="AB1086" i="454"/>
  <c r="AB1131" i="454"/>
  <c r="AC1131" i="454" s="1"/>
  <c r="AA1132" i="454"/>
  <c r="E1108" i="454"/>
  <c r="K1107" i="454"/>
  <c r="K1108" i="454" s="1"/>
  <c r="T80" i="454"/>
  <c r="T79" i="454" s="1"/>
  <c r="I151" i="454"/>
  <c r="P151" i="454"/>
  <c r="AB274" i="454"/>
  <c r="R275" i="454"/>
  <c r="AB286" i="454"/>
  <c r="AB296" i="454"/>
  <c r="AB303" i="454"/>
  <c r="AB310" i="454"/>
  <c r="AB320" i="454"/>
  <c r="AB327" i="454"/>
  <c r="AB340" i="454"/>
  <c r="AA350" i="454"/>
  <c r="AB352" i="454"/>
  <c r="AB360" i="454"/>
  <c r="AB370" i="454"/>
  <c r="AB375" i="454"/>
  <c r="AB378" i="454"/>
  <c r="AB402" i="454"/>
  <c r="AB407" i="454"/>
  <c r="AB410" i="454"/>
  <c r="AB422" i="454"/>
  <c r="AB447" i="454"/>
  <c r="AB448" i="454"/>
  <c r="AB450" i="454"/>
  <c r="AB454" i="454"/>
  <c r="AB458" i="454"/>
  <c r="AB462" i="454"/>
  <c r="AB470" i="454"/>
  <c r="AB475" i="454"/>
  <c r="AB482" i="454"/>
  <c r="R57" i="454"/>
  <c r="H52" i="454"/>
  <c r="H30" i="454" s="1"/>
  <c r="H13" i="454" s="1"/>
  <c r="X52" i="454"/>
  <c r="X30" i="454" s="1"/>
  <c r="X13" i="454" s="1"/>
  <c r="R68" i="454"/>
  <c r="AA70" i="454"/>
  <c r="S80" i="454"/>
  <c r="S79" i="454" s="1"/>
  <c r="AB95" i="454"/>
  <c r="AA97" i="454"/>
  <c r="AA101" i="454"/>
  <c r="R106" i="454"/>
  <c r="AB109" i="454"/>
  <c r="AC109" i="454" s="1"/>
  <c r="AA111" i="454"/>
  <c r="R113" i="454"/>
  <c r="R120" i="454"/>
  <c r="AB148" i="454"/>
  <c r="AB149" i="454"/>
  <c r="V225" i="454"/>
  <c r="V224" i="454" s="1"/>
  <c r="V223" i="454" s="1"/>
  <c r="V222" i="454" s="1"/>
  <c r="V221" i="454" s="1"/>
  <c r="AB229" i="454"/>
  <c r="AB258" i="454"/>
  <c r="AB260" i="454"/>
  <c r="AB484" i="454"/>
  <c r="AB488" i="454"/>
  <c r="AB504" i="454"/>
  <c r="AB509" i="454"/>
  <c r="AB512" i="454"/>
  <c r="AB514" i="454"/>
  <c r="AA517" i="454"/>
  <c r="AB520" i="454"/>
  <c r="R521" i="454"/>
  <c r="AB522" i="454"/>
  <c r="R524" i="454"/>
  <c r="AB527" i="454"/>
  <c r="R532" i="454"/>
  <c r="AB533" i="454"/>
  <c r="AB543" i="454"/>
  <c r="AC543" i="454" s="1"/>
  <c r="AB590" i="454"/>
  <c r="AB595" i="454"/>
  <c r="AC595" i="454" s="1"/>
  <c r="AB598" i="454"/>
  <c r="AB602" i="454"/>
  <c r="AB608" i="454"/>
  <c r="AB616" i="454"/>
  <c r="W617" i="454"/>
  <c r="W612" i="454" s="1"/>
  <c r="W611" i="454" s="1"/>
  <c r="AB620" i="454"/>
  <c r="AB624" i="454"/>
  <c r="R625" i="454"/>
  <c r="AB640" i="454"/>
  <c r="AB641" i="454"/>
  <c r="AB643" i="454"/>
  <c r="AB651" i="454"/>
  <c r="AB659" i="454"/>
  <c r="AB662" i="454"/>
  <c r="AB664" i="454"/>
  <c r="AB665" i="454"/>
  <c r="AB670" i="454"/>
  <c r="AB672" i="454"/>
  <c r="AB675" i="454"/>
  <c r="AB680" i="454"/>
  <c r="AB681" i="454"/>
  <c r="AB691" i="454"/>
  <c r="AB701" i="454"/>
  <c r="AB740" i="454"/>
  <c r="AA761" i="454"/>
  <c r="AB762" i="454"/>
  <c r="R763" i="454"/>
  <c r="AB773" i="454"/>
  <c r="AB782" i="454"/>
  <c r="AB785" i="454"/>
  <c r="AB797" i="454"/>
  <c r="AB825" i="454"/>
  <c r="AC825" i="454" s="1"/>
  <c r="AB846" i="454"/>
  <c r="AC846" i="454" s="1"/>
  <c r="AB878" i="454"/>
  <c r="AB879" i="454"/>
  <c r="U861" i="454"/>
  <c r="U851" i="454" s="1"/>
  <c r="AB882" i="454"/>
  <c r="AB883" i="454"/>
  <c r="AC883" i="454" s="1"/>
  <c r="AB900" i="454"/>
  <c r="AB919" i="454"/>
  <c r="AC919" i="454" s="1"/>
  <c r="AB947" i="454"/>
  <c r="AB950" i="454"/>
  <c r="AC950" i="454" s="1"/>
  <c r="AB978" i="454"/>
  <c r="H981" i="454"/>
  <c r="H980" i="454" s="1"/>
  <c r="J981" i="454"/>
  <c r="J980" i="454" s="1"/>
  <c r="AB984" i="454"/>
  <c r="AC984" i="454" s="1"/>
  <c r="D981" i="454"/>
  <c r="D980" i="454" s="1"/>
  <c r="AB988" i="454"/>
  <c r="AC988" i="454" s="1"/>
  <c r="AB989" i="454"/>
  <c r="R990" i="454"/>
  <c r="J577" i="454"/>
  <c r="J902" i="454"/>
  <c r="J901" i="454" s="1"/>
  <c r="Q902" i="454"/>
  <c r="Q901" i="454" s="1"/>
  <c r="Z902" i="454"/>
  <c r="Z901" i="454" s="1"/>
  <c r="U928" i="454"/>
  <c r="X981" i="454"/>
  <c r="X980" i="454" s="1"/>
  <c r="S1120" i="454"/>
  <c r="H1120" i="454"/>
  <c r="H1111" i="454" s="1"/>
  <c r="H1135" i="454" s="1"/>
  <c r="Y1120" i="454"/>
  <c r="Y1111" i="454" s="1"/>
  <c r="Y1135" i="454" s="1"/>
  <c r="N1120" i="454"/>
  <c r="N1111" i="454" s="1"/>
  <c r="N1135" i="454" s="1"/>
  <c r="P1120" i="454"/>
  <c r="P1111" i="454" s="1"/>
  <c r="P1135" i="454" s="1"/>
  <c r="AB993" i="454"/>
  <c r="R997" i="454"/>
  <c r="J1002" i="454"/>
  <c r="J1001" i="454" s="1"/>
  <c r="T1002" i="454"/>
  <c r="T1001" i="454" s="1"/>
  <c r="V1002" i="454"/>
  <c r="V1001" i="454" s="1"/>
  <c r="X1002" i="454"/>
  <c r="X1001" i="454" s="1"/>
  <c r="Z1002" i="454"/>
  <c r="Z1001" i="454" s="1"/>
  <c r="H1016" i="454"/>
  <c r="H1015" i="454" s="1"/>
  <c r="M1016" i="454"/>
  <c r="M1015" i="454" s="1"/>
  <c r="T1016" i="454"/>
  <c r="T1015" i="454" s="1"/>
  <c r="AB1020" i="454"/>
  <c r="AC1020" i="454" s="1"/>
  <c r="AB1024" i="454"/>
  <c r="AB1030" i="454"/>
  <c r="AC1030" i="454" s="1"/>
  <c r="AB1034" i="454"/>
  <c r="AB1038" i="454"/>
  <c r="AB1042" i="454"/>
  <c r="AB1046" i="454"/>
  <c r="AB1048" i="454"/>
  <c r="AC1048" i="454" s="1"/>
  <c r="AB1049" i="454"/>
  <c r="AC1049" i="454" s="1"/>
  <c r="AB1061" i="454"/>
  <c r="AB1063" i="454"/>
  <c r="AC1063" i="454" s="1"/>
  <c r="AB1064" i="454"/>
  <c r="AC1064" i="454" s="1"/>
  <c r="AB1065" i="454"/>
  <c r="AC1065" i="454" s="1"/>
  <c r="AB1080" i="454"/>
  <c r="AB1087" i="454"/>
  <c r="AC1087" i="454" s="1"/>
  <c r="AB1090" i="454"/>
  <c r="AB1098" i="454"/>
  <c r="AC1098" i="454" s="1"/>
  <c r="AB1102" i="454"/>
  <c r="AC1102" i="454" s="1"/>
  <c r="AA1118" i="454"/>
  <c r="M1120" i="454"/>
  <c r="M1111" i="454" s="1"/>
  <c r="M1135" i="454" s="1"/>
  <c r="V1120" i="454"/>
  <c r="V1111" i="454" s="1"/>
  <c r="V1135" i="454" s="1"/>
  <c r="AB1124" i="454"/>
  <c r="AC1124" i="454" s="1"/>
  <c r="AB1126" i="454"/>
  <c r="AC1126" i="454" s="1"/>
  <c r="AB1128" i="454"/>
  <c r="AC1128" i="454" s="1"/>
  <c r="AB1130" i="454"/>
  <c r="AC1130" i="454" s="1"/>
  <c r="O80" i="454"/>
  <c r="O79" i="454" s="1"/>
  <c r="V80" i="454"/>
  <c r="V79" i="454" s="1"/>
  <c r="R138" i="454"/>
  <c r="R172" i="454"/>
  <c r="R20" i="454"/>
  <c r="AA25" i="454"/>
  <c r="AA29" i="454"/>
  <c r="AA33" i="454"/>
  <c r="R34" i="454"/>
  <c r="AB39" i="454"/>
  <c r="AA42" i="454"/>
  <c r="R47" i="454"/>
  <c r="AA49" i="454"/>
  <c r="F52" i="454"/>
  <c r="J52" i="454"/>
  <c r="J30" i="454" s="1"/>
  <c r="J13" i="454" s="1"/>
  <c r="AB54" i="454"/>
  <c r="AA56" i="454"/>
  <c r="D52" i="454"/>
  <c r="AB73" i="454"/>
  <c r="R75" i="454"/>
  <c r="M80" i="454"/>
  <c r="M79" i="454" s="1"/>
  <c r="Q80" i="454"/>
  <c r="Q79" i="454" s="1"/>
  <c r="P80" i="454"/>
  <c r="P79" i="454" s="1"/>
  <c r="R84" i="454"/>
  <c r="R85" i="454"/>
  <c r="R88" i="454"/>
  <c r="AA90" i="454"/>
  <c r="AA103" i="454"/>
  <c r="R105" i="454"/>
  <c r="AA106" i="454"/>
  <c r="AA119" i="454"/>
  <c r="AA128" i="454"/>
  <c r="N151" i="454"/>
  <c r="W151" i="454"/>
  <c r="G151" i="454"/>
  <c r="S151" i="454"/>
  <c r="Y151" i="454"/>
  <c r="AA159" i="454"/>
  <c r="H151" i="454"/>
  <c r="Q151" i="454"/>
  <c r="AB175" i="454"/>
  <c r="R179" i="454"/>
  <c r="R188" i="454"/>
  <c r="AA188" i="454"/>
  <c r="H191" i="454"/>
  <c r="Q191" i="454"/>
  <c r="M191" i="454"/>
  <c r="AB204" i="454"/>
  <c r="R208" i="454"/>
  <c r="P191" i="454"/>
  <c r="Y191" i="454"/>
  <c r="AB213" i="454"/>
  <c r="AB218" i="454"/>
  <c r="AB220" i="454"/>
  <c r="S225" i="454"/>
  <c r="S224" i="454" s="1"/>
  <c r="W225" i="454"/>
  <c r="W224" i="454" s="1"/>
  <c r="W223" i="454" s="1"/>
  <c r="W222" i="454" s="1"/>
  <c r="W221" i="454" s="1"/>
  <c r="U225" i="454"/>
  <c r="U224" i="454" s="1"/>
  <c r="U223" i="454" s="1"/>
  <c r="U222" i="454" s="1"/>
  <c r="U221" i="454" s="1"/>
  <c r="R231" i="454"/>
  <c r="R232" i="454"/>
  <c r="R233" i="454"/>
  <c r="R235" i="454"/>
  <c r="AB256" i="454"/>
  <c r="AB259" i="454"/>
  <c r="AB263" i="454"/>
  <c r="AB264" i="454"/>
  <c r="AB267" i="454"/>
  <c r="AB276" i="454"/>
  <c r="R281" i="454"/>
  <c r="AB281" i="454" s="1"/>
  <c r="AA283" i="454"/>
  <c r="AB308" i="454"/>
  <c r="AB317" i="454"/>
  <c r="AB356" i="454"/>
  <c r="I354" i="454"/>
  <c r="AB359" i="454"/>
  <c r="D354" i="454"/>
  <c r="P354" i="454"/>
  <c r="AB372" i="454"/>
  <c r="AB376" i="454"/>
  <c r="AB377" i="454"/>
  <c r="AB383" i="454"/>
  <c r="AB386" i="454"/>
  <c r="AB391" i="454"/>
  <c r="AB394" i="454"/>
  <c r="AB399" i="454"/>
  <c r="AB404" i="454"/>
  <c r="AB408" i="454"/>
  <c r="AB409" i="454"/>
  <c r="AB420" i="454"/>
  <c r="AB428" i="454"/>
  <c r="AB429" i="454"/>
  <c r="AB430" i="454"/>
  <c r="R432" i="454"/>
  <c r="AB441" i="454"/>
  <c r="AC441" i="454" s="1"/>
  <c r="AB456" i="454"/>
  <c r="AB464" i="454"/>
  <c r="AB467" i="454"/>
  <c r="AC467" i="454" s="1"/>
  <c r="AB468" i="454"/>
  <c r="AB469" i="454"/>
  <c r="AB474" i="454"/>
  <c r="AB477" i="454"/>
  <c r="AB478" i="454"/>
  <c r="AC478" i="454" s="1"/>
  <c r="R487" i="454"/>
  <c r="AB493" i="454"/>
  <c r="AB494" i="454"/>
  <c r="AB497" i="454"/>
  <c r="AB499" i="454"/>
  <c r="AB502" i="454"/>
  <c r="R515" i="454"/>
  <c r="AB516" i="454"/>
  <c r="R519" i="454"/>
  <c r="AB529" i="454"/>
  <c r="AB545" i="454"/>
  <c r="AC545" i="454" s="1"/>
  <c r="AB548" i="454"/>
  <c r="AB552" i="454"/>
  <c r="AB556" i="454"/>
  <c r="AB560" i="454"/>
  <c r="AB564" i="454"/>
  <c r="AB568" i="454"/>
  <c r="AB572" i="454"/>
  <c r="AB576" i="454"/>
  <c r="H577" i="454"/>
  <c r="M577" i="454"/>
  <c r="Q577" i="454"/>
  <c r="AB581" i="454"/>
  <c r="T577" i="454"/>
  <c r="AB583" i="454"/>
  <c r="I577" i="454"/>
  <c r="AA584" i="454"/>
  <c r="AB588" i="454"/>
  <c r="AB591" i="454"/>
  <c r="AA592" i="454"/>
  <c r="AB596" i="454"/>
  <c r="AB600" i="454"/>
  <c r="AB615" i="454"/>
  <c r="AB636" i="454"/>
  <c r="AB637" i="454"/>
  <c r="AB647" i="454"/>
  <c r="AB654" i="454"/>
  <c r="AB656" i="454"/>
  <c r="AB658" i="454"/>
  <c r="AC658" i="454" s="1"/>
  <c r="AB660" i="454"/>
  <c r="AB666" i="454"/>
  <c r="AB667" i="454"/>
  <c r="AB668" i="454"/>
  <c r="AB674" i="454"/>
  <c r="AC674" i="454" s="1"/>
  <c r="AB676" i="454"/>
  <c r="AB677" i="454"/>
  <c r="AB684" i="454"/>
  <c r="F696" i="454"/>
  <c r="AB715" i="454"/>
  <c r="AB728" i="454"/>
  <c r="AB730" i="454"/>
  <c r="AA735" i="454"/>
  <c r="AB736" i="454"/>
  <c r="F745" i="454"/>
  <c r="H745" i="454"/>
  <c r="Q745" i="454"/>
  <c r="V745" i="454"/>
  <c r="Z745" i="454"/>
  <c r="X745" i="454"/>
  <c r="X723" i="454" s="1"/>
  <c r="X722" i="454" s="1"/>
  <c r="X721" i="454" s="1"/>
  <c r="X720" i="454" s="1"/>
  <c r="X719" i="454" s="1"/>
  <c r="AB754" i="454"/>
  <c r="R216" i="454"/>
  <c r="R227" i="454"/>
  <c r="M225" i="454"/>
  <c r="M224" i="454" s="1"/>
  <c r="M223" i="454" s="1"/>
  <c r="M222" i="454" s="1"/>
  <c r="M221" i="454" s="1"/>
  <c r="Q225" i="454"/>
  <c r="Q224" i="454" s="1"/>
  <c r="Q223" i="454" s="1"/>
  <c r="Q222" i="454" s="1"/>
  <c r="Q221" i="454" s="1"/>
  <c r="R273" i="454"/>
  <c r="Q354" i="454"/>
  <c r="R423" i="454"/>
  <c r="O480" i="454"/>
  <c r="T480" i="454"/>
  <c r="X480" i="454"/>
  <c r="R517" i="454"/>
  <c r="U577" i="454"/>
  <c r="Y577" i="454"/>
  <c r="G605" i="454"/>
  <c r="I605" i="454"/>
  <c r="L605" i="454"/>
  <c r="S605" i="454"/>
  <c r="U605" i="454"/>
  <c r="W605" i="454"/>
  <c r="Y605" i="454"/>
  <c r="I696" i="454"/>
  <c r="D707" i="454"/>
  <c r="D697" i="454" s="1"/>
  <c r="D696" i="454" s="1"/>
  <c r="G707" i="454"/>
  <c r="L707" i="454"/>
  <c r="P707" i="454"/>
  <c r="P697" i="454" s="1"/>
  <c r="P696" i="454" s="1"/>
  <c r="Y707" i="454"/>
  <c r="N745" i="454"/>
  <c r="F758" i="454"/>
  <c r="J758" i="454"/>
  <c r="O758" i="454"/>
  <c r="T758" i="454"/>
  <c r="X758" i="454"/>
  <c r="D758" i="454"/>
  <c r="AB764" i="454"/>
  <c r="AB770" i="454"/>
  <c r="AC770" i="454" s="1"/>
  <c r="R771" i="454"/>
  <c r="AA771" i="454"/>
  <c r="AB777" i="454"/>
  <c r="AB781" i="454"/>
  <c r="AB794" i="454"/>
  <c r="AB798" i="454"/>
  <c r="AB801" i="454"/>
  <c r="AB802" i="454"/>
  <c r="AB807" i="454"/>
  <c r="AB810" i="454"/>
  <c r="AB812" i="454"/>
  <c r="AB815" i="454"/>
  <c r="AB837" i="454"/>
  <c r="AC837" i="454" s="1"/>
  <c r="AB866" i="454"/>
  <c r="AC866" i="454" s="1"/>
  <c r="AB868" i="454"/>
  <c r="AC868" i="454" s="1"/>
  <c r="AB871" i="454"/>
  <c r="M861" i="454"/>
  <c r="M851" i="454" s="1"/>
  <c r="AB876" i="454"/>
  <c r="AC876" i="454" s="1"/>
  <c r="Q861" i="454"/>
  <c r="Q851" i="454" s="1"/>
  <c r="Q884" i="454"/>
  <c r="X884" i="454"/>
  <c r="AB894" i="454"/>
  <c r="AC894" i="454" s="1"/>
  <c r="AB895" i="454"/>
  <c r="AB897" i="454"/>
  <c r="AC897" i="454" s="1"/>
  <c r="N884" i="454"/>
  <c r="AA896" i="454"/>
  <c r="G902" i="454"/>
  <c r="G901" i="454" s="1"/>
  <c r="U902" i="454"/>
  <c r="U901" i="454" s="1"/>
  <c r="AB914" i="454"/>
  <c r="AC914" i="454" s="1"/>
  <c r="AB923" i="454"/>
  <c r="AB924" i="454"/>
  <c r="P928" i="454"/>
  <c r="AB957" i="454"/>
  <c r="AC957" i="454" s="1"/>
  <c r="AB959" i="454"/>
  <c r="AB962" i="454"/>
  <c r="AC962" i="454" s="1"/>
  <c r="I981" i="454"/>
  <c r="I980" i="454" s="1"/>
  <c r="AB998" i="454"/>
  <c r="AC998" i="454" s="1"/>
  <c r="AB1004" i="454"/>
  <c r="AC1004" i="454" s="1"/>
  <c r="R1006" i="454"/>
  <c r="U1002" i="454"/>
  <c r="U1001" i="454" s="1"/>
  <c r="Y1002" i="454"/>
  <c r="Y1001" i="454" s="1"/>
  <c r="AB1008" i="454"/>
  <c r="F1000" i="454"/>
  <c r="AB1013" i="454"/>
  <c r="AC1013" i="454" s="1"/>
  <c r="AB1031" i="454"/>
  <c r="AC1031" i="454" s="1"/>
  <c r="AB1033" i="454"/>
  <c r="AC1033" i="454" s="1"/>
  <c r="AB1035" i="454"/>
  <c r="AB1037" i="454"/>
  <c r="AB1039" i="454"/>
  <c r="AC1039" i="454" s="1"/>
  <c r="AB1041" i="454"/>
  <c r="AC1041" i="454" s="1"/>
  <c r="AB1043" i="454"/>
  <c r="AC1043" i="454" s="1"/>
  <c r="AB1045" i="454"/>
  <c r="AB1047" i="454"/>
  <c r="AC1047" i="454" s="1"/>
  <c r="AB1053" i="454"/>
  <c r="AC1053" i="454" s="1"/>
  <c r="AB1054" i="454"/>
  <c r="AC1054" i="454" s="1"/>
  <c r="AB1060" i="454"/>
  <c r="AB1062" i="454"/>
  <c r="AC1062" i="454" s="1"/>
  <c r="AB1069" i="454"/>
  <c r="AB1070" i="454"/>
  <c r="AC1070" i="454" s="1"/>
  <c r="AB1075" i="454"/>
  <c r="AC1075" i="454" s="1"/>
  <c r="AB1077" i="454"/>
  <c r="AC1077" i="454" s="1"/>
  <c r="R1078" i="454"/>
  <c r="R1083" i="454"/>
  <c r="AA1084" i="454"/>
  <c r="AB1088" i="454"/>
  <c r="AC1088" i="454" s="1"/>
  <c r="AB1089" i="454"/>
  <c r="AC1089" i="454" s="1"/>
  <c r="AB1092" i="454"/>
  <c r="AC1092" i="454" s="1"/>
  <c r="AB1093" i="454"/>
  <c r="AB1094" i="454"/>
  <c r="AC1094" i="454" s="1"/>
  <c r="AB1096" i="454"/>
  <c r="AC1096" i="454" s="1"/>
  <c r="AB1097" i="454"/>
  <c r="AB1099" i="454"/>
  <c r="AC1099" i="454" s="1"/>
  <c r="AB1103" i="454"/>
  <c r="AC1103" i="454" s="1"/>
  <c r="Y861" i="454"/>
  <c r="Y851" i="454" s="1"/>
  <c r="P861" i="454"/>
  <c r="P851" i="454" s="1"/>
  <c r="O884" i="454"/>
  <c r="AC989" i="454"/>
  <c r="Y981" i="454"/>
  <c r="Y980" i="454" s="1"/>
  <c r="V1016" i="454"/>
  <c r="V1015" i="454" s="1"/>
  <c r="R1081" i="454"/>
  <c r="AA1121" i="454"/>
  <c r="X1120" i="454"/>
  <c r="X1111" i="454" s="1"/>
  <c r="X1135" i="454" s="1"/>
  <c r="R1125" i="454"/>
  <c r="Q1120" i="454"/>
  <c r="Q1111" i="454" s="1"/>
  <c r="Q1135" i="454" s="1"/>
  <c r="AB1101" i="454"/>
  <c r="S1116" i="454"/>
  <c r="S1115" i="454" s="1"/>
  <c r="AA1122" i="454"/>
  <c r="AA1125" i="454"/>
  <c r="U1120" i="454"/>
  <c r="U1111" i="454" s="1"/>
  <c r="U1135" i="454" s="1"/>
  <c r="AB1134" i="454"/>
  <c r="AC1134" i="454" s="1"/>
  <c r="Z24" i="456"/>
  <c r="AA24" i="456" s="1"/>
  <c r="AA25" i="456"/>
  <c r="Z28" i="456"/>
  <c r="AA28" i="456" s="1"/>
  <c r="AA29" i="456"/>
  <c r="AA35" i="456"/>
  <c r="Z53" i="456"/>
  <c r="AA53" i="456" s="1"/>
  <c r="Z81" i="456"/>
  <c r="AA87" i="456"/>
  <c r="Z90" i="456"/>
  <c r="AA90" i="456" s="1"/>
  <c r="AA96" i="456"/>
  <c r="Z99" i="456"/>
  <c r="AA99" i="456" s="1"/>
  <c r="AA113" i="456"/>
  <c r="Z114" i="456"/>
  <c r="AA114" i="456" s="1"/>
  <c r="AA13" i="456"/>
  <c r="AA38" i="456"/>
  <c r="AA44" i="456"/>
  <c r="AA63" i="456"/>
  <c r="AA72" i="456"/>
  <c r="AA75" i="456"/>
  <c r="AA117" i="456"/>
  <c r="AA131" i="456"/>
  <c r="AA135" i="456"/>
  <c r="AA139" i="456"/>
  <c r="AA143" i="456"/>
  <c r="AA147" i="456"/>
  <c r="AA153" i="456"/>
  <c r="AA157" i="456"/>
  <c r="AA161" i="456"/>
  <c r="AA164" i="456"/>
  <c r="AA168" i="456"/>
  <c r="C176" i="456"/>
  <c r="G176" i="456"/>
  <c r="E176" i="456"/>
  <c r="P6" i="456"/>
  <c r="N176" i="456"/>
  <c r="U176" i="456"/>
  <c r="Z9" i="456"/>
  <c r="AA9" i="456" s="1"/>
  <c r="Z10" i="456"/>
  <c r="AA10" i="456" s="1"/>
  <c r="Z15" i="456"/>
  <c r="AA15" i="456" s="1"/>
  <c r="Z22" i="456"/>
  <c r="Z27" i="456"/>
  <c r="AA27" i="456" s="1"/>
  <c r="Z40" i="456"/>
  <c r="AA40" i="456" s="1"/>
  <c r="Z42" i="456"/>
  <c r="AA42" i="456" s="1"/>
  <c r="Z51" i="456"/>
  <c r="AA51" i="456" s="1"/>
  <c r="Z55" i="456"/>
  <c r="AA55" i="456" s="1"/>
  <c r="Z58" i="456"/>
  <c r="AA58" i="456" s="1"/>
  <c r="Z59" i="456"/>
  <c r="AA59" i="456" s="1"/>
  <c r="Z60" i="456"/>
  <c r="AA60" i="456" s="1"/>
  <c r="Z70" i="456"/>
  <c r="AA70" i="456" s="1"/>
  <c r="Z83" i="456"/>
  <c r="AA83" i="456" s="1"/>
  <c r="Z89" i="456"/>
  <c r="AA89" i="456" s="1"/>
  <c r="Z92" i="456"/>
  <c r="AA92" i="456" s="1"/>
  <c r="Z103" i="456"/>
  <c r="AA103" i="456" s="1"/>
  <c r="Z104" i="456"/>
  <c r="Z126" i="456"/>
  <c r="AA126" i="456" s="1"/>
  <c r="Z129" i="456"/>
  <c r="AA129" i="456" s="1"/>
  <c r="Z133" i="456"/>
  <c r="AA133" i="456" s="1"/>
  <c r="Z137" i="456"/>
  <c r="AA137" i="456" s="1"/>
  <c r="Z141" i="456"/>
  <c r="AA141" i="456" s="1"/>
  <c r="Z145" i="456"/>
  <c r="AA145" i="456" s="1"/>
  <c r="Z149" i="456"/>
  <c r="AA149" i="456" s="1"/>
  <c r="Z155" i="456"/>
  <c r="Z159" i="456"/>
  <c r="AA159" i="456" s="1"/>
  <c r="Z166" i="456"/>
  <c r="AA166" i="456" s="1"/>
  <c r="B119" i="456"/>
  <c r="I5" i="456"/>
  <c r="I119" i="456" s="1"/>
  <c r="Q119" i="456"/>
  <c r="Q176" i="456" s="1"/>
  <c r="Y5" i="456"/>
  <c r="Y119" i="456" s="1"/>
  <c r="I6" i="456"/>
  <c r="Y6" i="456"/>
  <c r="Z6" i="456" s="1"/>
  <c r="P123" i="456"/>
  <c r="J122" i="456"/>
  <c r="I123" i="456"/>
  <c r="B122" i="456"/>
  <c r="J5" i="456"/>
  <c r="Z26" i="456"/>
  <c r="Z36" i="456"/>
  <c r="AA36" i="456" s="1"/>
  <c r="Z48" i="456"/>
  <c r="AA48" i="456" s="1"/>
  <c r="Z88" i="456"/>
  <c r="AA88" i="456" s="1"/>
  <c r="Z94" i="456"/>
  <c r="Z106" i="456"/>
  <c r="AA106" i="456" s="1"/>
  <c r="Y123" i="456"/>
  <c r="Y122" i="456" s="1"/>
  <c r="Y170" i="456" s="1"/>
  <c r="Z128" i="456"/>
  <c r="AA128" i="456" s="1"/>
  <c r="Z132" i="456"/>
  <c r="AA132" i="456" s="1"/>
  <c r="Z136" i="456"/>
  <c r="AA136" i="456" s="1"/>
  <c r="Z140" i="456"/>
  <c r="Z144" i="456"/>
  <c r="AA144" i="456" s="1"/>
  <c r="Z148" i="456"/>
  <c r="AA148" i="456" s="1"/>
  <c r="Z154" i="456"/>
  <c r="AA154" i="456" s="1"/>
  <c r="Z158" i="456"/>
  <c r="AA158" i="456" s="1"/>
  <c r="Z162" i="456"/>
  <c r="AC1059" i="454"/>
  <c r="AC942" i="454"/>
  <c r="AC1056" i="454"/>
  <c r="AC932" i="454"/>
  <c r="AC210" i="454"/>
  <c r="AC334" i="454"/>
  <c r="AC811" i="454"/>
  <c r="AC562" i="454"/>
  <c r="AC602" i="454"/>
  <c r="AC732" i="454"/>
  <c r="AC789" i="454"/>
  <c r="AC437" i="454"/>
  <c r="AC797" i="454"/>
  <c r="AC325" i="454"/>
  <c r="AC412" i="454"/>
  <c r="AC447" i="454"/>
  <c r="AC454" i="454"/>
  <c r="AC607" i="454"/>
  <c r="D577" i="454"/>
  <c r="AA200" i="454"/>
  <c r="AB23" i="454"/>
  <c r="AA26" i="454"/>
  <c r="AB26" i="454" s="1"/>
  <c r="R31" i="454"/>
  <c r="AA34" i="454"/>
  <c r="R38" i="454"/>
  <c r="AA50" i="454"/>
  <c r="R51" i="454"/>
  <c r="M52" i="454"/>
  <c r="Q52" i="454"/>
  <c r="V52" i="454"/>
  <c r="Z52" i="454"/>
  <c r="Z30" i="454" s="1"/>
  <c r="Z13" i="454" s="1"/>
  <c r="AB60" i="454"/>
  <c r="AA62" i="454"/>
  <c r="R63" i="454"/>
  <c r="R64" i="454"/>
  <c r="AA66" i="454"/>
  <c r="W52" i="454"/>
  <c r="R71" i="454"/>
  <c r="AA76" i="454"/>
  <c r="R77" i="454"/>
  <c r="AA81" i="454"/>
  <c r="AA84" i="454"/>
  <c r="AA86" i="454"/>
  <c r="R91" i="454"/>
  <c r="R96" i="454"/>
  <c r="R98" i="454"/>
  <c r="AA98" i="454"/>
  <c r="R99" i="454"/>
  <c r="R100" i="454"/>
  <c r="AB102" i="454"/>
  <c r="R104" i="454"/>
  <c r="AA104" i="454"/>
  <c r="R112" i="454"/>
  <c r="AA112" i="454"/>
  <c r="AB118" i="454"/>
  <c r="AB123" i="454"/>
  <c r="AA125" i="454"/>
  <c r="AA129" i="454"/>
  <c r="R130" i="454"/>
  <c r="R131" i="454"/>
  <c r="AB132" i="454"/>
  <c r="AA133" i="454"/>
  <c r="R134" i="454"/>
  <c r="R135" i="454"/>
  <c r="AA139" i="454"/>
  <c r="R140" i="454"/>
  <c r="Z151" i="454"/>
  <c r="R156" i="454"/>
  <c r="AA156" i="454"/>
  <c r="R164" i="454"/>
  <c r="AA164" i="454"/>
  <c r="AA173" i="454"/>
  <c r="R178" i="454"/>
  <c r="AA178" i="454"/>
  <c r="AC185" i="454"/>
  <c r="R187" i="454"/>
  <c r="AA189" i="454"/>
  <c r="AB219" i="454"/>
  <c r="R244" i="454"/>
  <c r="AA481" i="454"/>
  <c r="S480" i="454"/>
  <c r="AA903" i="454"/>
  <c r="S902" i="454"/>
  <c r="S901" i="454" s="1"/>
  <c r="G191" i="454"/>
  <c r="U191" i="454"/>
  <c r="R35" i="454"/>
  <c r="AA37" i="454"/>
  <c r="R40" i="454"/>
  <c r="R41" i="454"/>
  <c r="AA17" i="454"/>
  <c r="AB17" i="454" s="1"/>
  <c r="R18" i="454"/>
  <c r="AA21" i="454"/>
  <c r="R22" i="454"/>
  <c r="R24" i="454"/>
  <c r="R25" i="454"/>
  <c r="AB25" i="454" s="1"/>
  <c r="AA27" i="454"/>
  <c r="R28" i="454"/>
  <c r="R29" i="454"/>
  <c r="D30" i="454"/>
  <c r="D13" i="454" s="1"/>
  <c r="R33" i="454"/>
  <c r="AA38" i="454"/>
  <c r="AA40" i="454"/>
  <c r="AA43" i="454"/>
  <c r="R44" i="454"/>
  <c r="R45" i="454"/>
  <c r="AB46" i="454"/>
  <c r="AA47" i="454"/>
  <c r="R48" i="454"/>
  <c r="AA53" i="454"/>
  <c r="R55" i="454"/>
  <c r="R56" i="454"/>
  <c r="AA58" i="454"/>
  <c r="R61" i="454"/>
  <c r="AA68" i="454"/>
  <c r="R69" i="454"/>
  <c r="AA72" i="454"/>
  <c r="AA77" i="454"/>
  <c r="AA88" i="454"/>
  <c r="R89" i="454"/>
  <c r="AA92" i="454"/>
  <c r="AA105" i="454"/>
  <c r="R108" i="454"/>
  <c r="AA108" i="454"/>
  <c r="R111" i="454"/>
  <c r="R115" i="454"/>
  <c r="R117" i="454"/>
  <c r="R119" i="454"/>
  <c r="AA121" i="454"/>
  <c r="R124" i="454"/>
  <c r="AB137" i="454"/>
  <c r="AA140" i="454"/>
  <c r="AB144" i="454"/>
  <c r="AA145" i="454"/>
  <c r="R155" i="454"/>
  <c r="AA157" i="454"/>
  <c r="R159" i="454"/>
  <c r="R160" i="454"/>
  <c r="AA160" i="454"/>
  <c r="AA165" i="454"/>
  <c r="R167" i="454"/>
  <c r="R170" i="454"/>
  <c r="AA170" i="454"/>
  <c r="R174" i="454"/>
  <c r="AA174" i="454"/>
  <c r="AA179" i="454"/>
  <c r="AB179" i="454" s="1"/>
  <c r="R186" i="454"/>
  <c r="AA186" i="454"/>
  <c r="R190" i="454"/>
  <c r="AA190" i="454"/>
  <c r="T191" i="454"/>
  <c r="X191" i="454"/>
  <c r="X142" i="454" s="1"/>
  <c r="AB199" i="454"/>
  <c r="AC199" i="454" s="1"/>
  <c r="AB207" i="454"/>
  <c r="I191" i="454"/>
  <c r="AA212" i="454"/>
  <c r="S208" i="454"/>
  <c r="AA251" i="454"/>
  <c r="R277" i="454"/>
  <c r="AB331" i="454"/>
  <c r="H354" i="454"/>
  <c r="M354" i="454"/>
  <c r="AB440" i="454"/>
  <c r="G617" i="454"/>
  <c r="G612" i="454" s="1"/>
  <c r="G611" i="454" s="1"/>
  <c r="U617" i="454"/>
  <c r="U612" i="454" s="1"/>
  <c r="U611" i="454" s="1"/>
  <c r="AB634" i="454"/>
  <c r="AB639" i="454"/>
  <c r="AA831" i="454"/>
  <c r="S824" i="454"/>
  <c r="S823" i="454" s="1"/>
  <c r="AA823" i="454" s="1"/>
  <c r="R165" i="454"/>
  <c r="R15" i="454"/>
  <c r="AB16" i="454"/>
  <c r="AA18" i="454"/>
  <c r="AA24" i="454"/>
  <c r="AA28" i="454"/>
  <c r="AA35" i="454"/>
  <c r="R36" i="454"/>
  <c r="AB36" i="454" s="1"/>
  <c r="R37" i="454"/>
  <c r="AA41" i="454"/>
  <c r="R42" i="454"/>
  <c r="AA44" i="454"/>
  <c r="AB44" i="454" s="1"/>
  <c r="AA48" i="454"/>
  <c r="R49" i="454"/>
  <c r="F30" i="454"/>
  <c r="F13" i="454" s="1"/>
  <c r="R59" i="454"/>
  <c r="AA61" i="454"/>
  <c r="AA64" i="454"/>
  <c r="R65" i="454"/>
  <c r="AB67" i="454"/>
  <c r="AA74" i="454"/>
  <c r="AA78" i="454"/>
  <c r="AA85" i="454"/>
  <c r="AB87" i="454"/>
  <c r="AA96" i="454"/>
  <c r="AB96" i="454" s="1"/>
  <c r="AA100" i="454"/>
  <c r="R107" i="454"/>
  <c r="R110" i="454"/>
  <c r="AA110" i="454"/>
  <c r="R114" i="454"/>
  <c r="AA114" i="454"/>
  <c r="R122" i="454"/>
  <c r="AA124" i="454"/>
  <c r="AB126" i="454"/>
  <c r="AA127" i="454"/>
  <c r="R128" i="454"/>
  <c r="AA131" i="454"/>
  <c r="AA135" i="454"/>
  <c r="R136" i="454"/>
  <c r="AA141" i="454"/>
  <c r="AB150" i="454"/>
  <c r="R158" i="454"/>
  <c r="AA158" i="454"/>
  <c r="R162" i="454"/>
  <c r="AA162" i="454"/>
  <c r="R166" i="454"/>
  <c r="AA166" i="454"/>
  <c r="R169" i="454"/>
  <c r="R173" i="454"/>
  <c r="R176" i="454"/>
  <c r="AA176" i="454"/>
  <c r="R180" i="454"/>
  <c r="AA180" i="454"/>
  <c r="O191" i="454"/>
  <c r="AB196" i="454"/>
  <c r="AB197" i="454"/>
  <c r="AB211" i="454"/>
  <c r="AA230" i="454"/>
  <c r="AB230" i="454" s="1"/>
  <c r="AA231" i="454"/>
  <c r="AA234" i="454"/>
  <c r="AA235" i="454"/>
  <c r="R237" i="454"/>
  <c r="AA237" i="454"/>
  <c r="R238" i="454"/>
  <c r="AA238" i="454"/>
  <c r="AA240" i="454"/>
  <c r="R241" i="454"/>
  <c r="AA241" i="454"/>
  <c r="AB324" i="454"/>
  <c r="AB433" i="454"/>
  <c r="AB446" i="454"/>
  <c r="S617" i="454"/>
  <c r="S612" i="454" s="1"/>
  <c r="S611" i="454" s="1"/>
  <c r="AB638" i="454"/>
  <c r="AB205" i="454"/>
  <c r="AA227" i="454"/>
  <c r="AB236" i="454"/>
  <c r="R242" i="454"/>
  <c r="AB250" i="454"/>
  <c r="AB257" i="454"/>
  <c r="R262" i="454"/>
  <c r="AB265" i="454"/>
  <c r="AA268" i="454"/>
  <c r="R269" i="454"/>
  <c r="R270" i="454"/>
  <c r="AA277" i="454"/>
  <c r="R284" i="454"/>
  <c r="AA284" i="454"/>
  <c r="AB288" i="454"/>
  <c r="AA290" i="454"/>
  <c r="G354" i="454"/>
  <c r="AC396" i="454"/>
  <c r="AC409" i="454"/>
  <c r="AB459" i="454"/>
  <c r="AB461" i="454"/>
  <c r="AB465" i="454"/>
  <c r="AB466" i="454"/>
  <c r="AB471" i="454"/>
  <c r="AB472" i="454"/>
  <c r="G480" i="454"/>
  <c r="AB491" i="454"/>
  <c r="AB492" i="454"/>
  <c r="AC504" i="454"/>
  <c r="AC514" i="454"/>
  <c r="AA521" i="454"/>
  <c r="AB521" i="454" s="1"/>
  <c r="AA524" i="454"/>
  <c r="R526" i="454"/>
  <c r="AA526" i="454"/>
  <c r="AA530" i="454"/>
  <c r="R536" i="454"/>
  <c r="AA536" i="454"/>
  <c r="R542" i="454"/>
  <c r="R546" i="454"/>
  <c r="AC547" i="454"/>
  <c r="S577" i="454"/>
  <c r="W577" i="454"/>
  <c r="V577" i="454"/>
  <c r="Z577" i="454"/>
  <c r="AB585" i="454"/>
  <c r="R586" i="454"/>
  <c r="AB593" i="454"/>
  <c r="N605" i="454"/>
  <c r="AA606" i="454"/>
  <c r="M605" i="454"/>
  <c r="Q605" i="454"/>
  <c r="T617" i="454"/>
  <c r="T612" i="454" s="1"/>
  <c r="T611" i="454" s="1"/>
  <c r="X617" i="454"/>
  <c r="X612" i="454" s="1"/>
  <c r="X611" i="454" s="1"/>
  <c r="AA623" i="454"/>
  <c r="AB628" i="454"/>
  <c r="AB635" i="454"/>
  <c r="AB642" i="454"/>
  <c r="AB644" i="454"/>
  <c r="AA698" i="454"/>
  <c r="AA724" i="454"/>
  <c r="AB803" i="454"/>
  <c r="AB804" i="454"/>
  <c r="AC810" i="454"/>
  <c r="AA244" i="454"/>
  <c r="R245" i="454"/>
  <c r="AA245" i="454"/>
  <c r="R246" i="454"/>
  <c r="AA246" i="454"/>
  <c r="AB253" i="454"/>
  <c r="AB266" i="454"/>
  <c r="AB272" i="454"/>
  <c r="AA275" i="454"/>
  <c r="AB275" i="454" s="1"/>
  <c r="D279" i="454"/>
  <c r="AA281" i="454"/>
  <c r="AA285" i="454"/>
  <c r="R289" i="454"/>
  <c r="AB301" i="454"/>
  <c r="AB302" i="454"/>
  <c r="AB306" i="454"/>
  <c r="AB309" i="454"/>
  <c r="AB313" i="454"/>
  <c r="AB351" i="454"/>
  <c r="AB353" i="454"/>
  <c r="V354" i="454"/>
  <c r="U354" i="454"/>
  <c r="Y354" i="454"/>
  <c r="AB358" i="454"/>
  <c r="R363" i="454"/>
  <c r="AA363" i="454"/>
  <c r="AB368" i="454"/>
  <c r="AC368" i="454" s="1"/>
  <c r="AC369" i="454"/>
  <c r="AC388" i="454"/>
  <c r="AB400" i="454"/>
  <c r="AB451" i="454"/>
  <c r="AB453" i="454"/>
  <c r="AB457" i="454"/>
  <c r="AB463" i="454"/>
  <c r="AB486" i="454"/>
  <c r="R501" i="454"/>
  <c r="AA501" i="454"/>
  <c r="R507" i="454"/>
  <c r="AA510" i="454"/>
  <c r="R513" i="454"/>
  <c r="AC518" i="454"/>
  <c r="AB523" i="454"/>
  <c r="AB525" i="454"/>
  <c r="N577" i="454"/>
  <c r="R584" i="454"/>
  <c r="R592" i="454"/>
  <c r="R603" i="454"/>
  <c r="AB614" i="454"/>
  <c r="AB688" i="454"/>
  <c r="Q707" i="454"/>
  <c r="V707" i="454"/>
  <c r="Z707" i="454"/>
  <c r="AA769" i="454"/>
  <c r="X851" i="454"/>
  <c r="AA261" i="454"/>
  <c r="AA262" i="454"/>
  <c r="AA270" i="454"/>
  <c r="R271" i="454"/>
  <c r="AB280" i="454"/>
  <c r="R282" i="454"/>
  <c r="AA287" i="454"/>
  <c r="R290" i="454"/>
  <c r="AB291" i="454"/>
  <c r="AB292" i="454"/>
  <c r="AB294" i="454"/>
  <c r="AB295" i="454"/>
  <c r="AB299" i="454"/>
  <c r="AB318" i="454"/>
  <c r="AB319" i="454"/>
  <c r="AB323" i="454"/>
  <c r="AB326" i="454"/>
  <c r="AB330" i="454"/>
  <c r="AB333" i="454"/>
  <c r="AA337" i="454"/>
  <c r="AB347" i="454"/>
  <c r="AC347" i="454" s="1"/>
  <c r="R357" i="454"/>
  <c r="AB362" i="454"/>
  <c r="AC386" i="454"/>
  <c r="AB392" i="454"/>
  <c r="R415" i="454"/>
  <c r="AA415" i="454"/>
  <c r="AC418" i="454"/>
  <c r="AB431" i="454"/>
  <c r="AB435" i="454"/>
  <c r="AB439" i="454"/>
  <c r="AB443" i="454"/>
  <c r="AB445" i="454"/>
  <c r="AB449" i="454"/>
  <c r="AB455" i="454"/>
  <c r="R473" i="454"/>
  <c r="AA473" i="454"/>
  <c r="AB479" i="454"/>
  <c r="AB485" i="454"/>
  <c r="AB495" i="454"/>
  <c r="AB498" i="454"/>
  <c r="AA528" i="454"/>
  <c r="AB531" i="454"/>
  <c r="R534" i="454"/>
  <c r="AB537" i="454"/>
  <c r="AA546" i="454"/>
  <c r="R549" i="454"/>
  <c r="R555" i="454"/>
  <c r="R557" i="454"/>
  <c r="R563" i="454"/>
  <c r="R565" i="454"/>
  <c r="R571" i="454"/>
  <c r="R573" i="454"/>
  <c r="R597" i="454"/>
  <c r="R599" i="454"/>
  <c r="AA599" i="454"/>
  <c r="AA601" i="454"/>
  <c r="AB613" i="454"/>
  <c r="AB626" i="454"/>
  <c r="AB629" i="454"/>
  <c r="AC629" i="454" s="1"/>
  <c r="AB631" i="454"/>
  <c r="AB685" i="454"/>
  <c r="AB686" i="454"/>
  <c r="AB695" i="454"/>
  <c r="AB714" i="454"/>
  <c r="R765" i="454"/>
  <c r="AB766" i="454"/>
  <c r="AB856" i="454"/>
  <c r="AC856" i="454" s="1"/>
  <c r="AB857" i="454"/>
  <c r="AA869" i="454"/>
  <c r="S862" i="454"/>
  <c r="M902" i="454"/>
  <c r="M901" i="454" s="1"/>
  <c r="V902" i="454"/>
  <c r="V901" i="454" s="1"/>
  <c r="AB908" i="454"/>
  <c r="AC908" i="454" s="1"/>
  <c r="AA977" i="454"/>
  <c r="S976" i="454"/>
  <c r="S975" i="454" s="1"/>
  <c r="AA975" i="454" s="1"/>
  <c r="AA737" i="454"/>
  <c r="AC782" i="454"/>
  <c r="R841" i="454"/>
  <c r="AB850" i="454"/>
  <c r="I861" i="454"/>
  <c r="I851" i="454" s="1"/>
  <c r="AA880" i="454"/>
  <c r="F1082" i="454"/>
  <c r="F1081" i="454" s="1"/>
  <c r="R361" i="454"/>
  <c r="AA361" i="454"/>
  <c r="AB366" i="454"/>
  <c r="AB374" i="454"/>
  <c r="AB382" i="454"/>
  <c r="AB390" i="454"/>
  <c r="AB398" i="454"/>
  <c r="AB406" i="454"/>
  <c r="AB414" i="454"/>
  <c r="AB421" i="454"/>
  <c r="AB424" i="454"/>
  <c r="AB426" i="454"/>
  <c r="AA432" i="454"/>
  <c r="AB476" i="454"/>
  <c r="AB489" i="454"/>
  <c r="AA490" i="454"/>
  <c r="W480" i="454"/>
  <c r="AA496" i="454"/>
  <c r="AB500" i="454"/>
  <c r="AB503" i="454"/>
  <c r="AB505" i="454"/>
  <c r="AB506" i="454"/>
  <c r="AB508" i="454"/>
  <c r="R510" i="454"/>
  <c r="AB511" i="454"/>
  <c r="R528" i="454"/>
  <c r="R540" i="454"/>
  <c r="R544" i="454"/>
  <c r="AA544" i="454"/>
  <c r="R551" i="454"/>
  <c r="R553" i="454"/>
  <c r="R559" i="454"/>
  <c r="R561" i="454"/>
  <c r="R567" i="454"/>
  <c r="R569" i="454"/>
  <c r="R575" i="454"/>
  <c r="P577" i="454"/>
  <c r="F577" i="454"/>
  <c r="R582" i="454"/>
  <c r="R589" i="454"/>
  <c r="R594" i="454"/>
  <c r="R601" i="454"/>
  <c r="AB604" i="454"/>
  <c r="R606" i="454"/>
  <c r="P605" i="454"/>
  <c r="O605" i="454"/>
  <c r="AB610" i="454"/>
  <c r="L617" i="454"/>
  <c r="P617" i="454"/>
  <c r="P612" i="454" s="1"/>
  <c r="P611" i="454" s="1"/>
  <c r="AB619" i="454"/>
  <c r="Y617" i="454"/>
  <c r="Y612" i="454" s="1"/>
  <c r="Y611" i="454" s="1"/>
  <c r="O617" i="454"/>
  <c r="O612" i="454" s="1"/>
  <c r="O611" i="454" s="1"/>
  <c r="AA625" i="454"/>
  <c r="AA627" i="454"/>
  <c r="R630" i="454"/>
  <c r="R632" i="454"/>
  <c r="AA632" i="454"/>
  <c r="AB646" i="454"/>
  <c r="AB648" i="454"/>
  <c r="AB650" i="454"/>
  <c r="AB652" i="454"/>
  <c r="AB655" i="454"/>
  <c r="AB683" i="454"/>
  <c r="AB690" i="454"/>
  <c r="AC690" i="454" s="1"/>
  <c r="AB692" i="454"/>
  <c r="AB694" i="454"/>
  <c r="AB699" i="454"/>
  <c r="AB702" i="454"/>
  <c r="AA713" i="454"/>
  <c r="AB747" i="454"/>
  <c r="I745" i="454"/>
  <c r="AA751" i="454"/>
  <c r="AB756" i="454"/>
  <c r="S758" i="454"/>
  <c r="H758" i="454"/>
  <c r="AB805" i="454"/>
  <c r="AB813" i="454"/>
  <c r="AB864" i="454"/>
  <c r="AB865" i="454"/>
  <c r="AC865" i="454" s="1"/>
  <c r="AC879" i="454"/>
  <c r="AB930" i="454"/>
  <c r="AC930" i="454" s="1"/>
  <c r="R1082" i="454"/>
  <c r="D1121" i="454"/>
  <c r="R1123" i="454"/>
  <c r="L1122" i="454"/>
  <c r="R1127" i="454"/>
  <c r="AB711" i="454"/>
  <c r="AB734" i="454"/>
  <c r="AB744" i="454"/>
  <c r="S745" i="454"/>
  <c r="W745" i="454"/>
  <c r="R749" i="454"/>
  <c r="U745" i="454"/>
  <c r="Y745" i="454"/>
  <c r="AB750" i="454"/>
  <c r="V758" i="454"/>
  <c r="V723" i="454" s="1"/>
  <c r="V722" i="454" s="1"/>
  <c r="V721" i="454" s="1"/>
  <c r="V720" i="454" s="1"/>
  <c r="V719" i="454" s="1"/>
  <c r="Z758" i="454"/>
  <c r="AB760" i="454"/>
  <c r="AA765" i="454"/>
  <c r="R767" i="454"/>
  <c r="AB768" i="454"/>
  <c r="AB775" i="454"/>
  <c r="AB776" i="454"/>
  <c r="AB779" i="454"/>
  <c r="AB780" i="454"/>
  <c r="AB783" i="454"/>
  <c r="AB784" i="454"/>
  <c r="AB787" i="454"/>
  <c r="AB788" i="454"/>
  <c r="AC794" i="454"/>
  <c r="AB830" i="454"/>
  <c r="AC830" i="454" s="1"/>
  <c r="AB832" i="454"/>
  <c r="AC832" i="454" s="1"/>
  <c r="AB833" i="454"/>
  <c r="AB848" i="454"/>
  <c r="AC848" i="454" s="1"/>
  <c r="AB855" i="454"/>
  <c r="G861" i="454"/>
  <c r="G851" i="454" s="1"/>
  <c r="R862" i="454"/>
  <c r="R869" i="454"/>
  <c r="AB875" i="454"/>
  <c r="AC900" i="454"/>
  <c r="AA933" i="454"/>
  <c r="AB939" i="454"/>
  <c r="J928" i="454"/>
  <c r="J927" i="454" s="1"/>
  <c r="J920" i="454" s="1"/>
  <c r="J909" i="454" s="1"/>
  <c r="AB944" i="454"/>
  <c r="AC944" i="454" s="1"/>
  <c r="AB952" i="454"/>
  <c r="AC952" i="454" s="1"/>
  <c r="AB956" i="454"/>
  <c r="AC956" i="454" s="1"/>
  <c r="AB971" i="454"/>
  <c r="T981" i="454"/>
  <c r="T980" i="454" s="1"/>
  <c r="AB983" i="454"/>
  <c r="AC983" i="454" s="1"/>
  <c r="G981" i="454"/>
  <c r="G980" i="454" s="1"/>
  <c r="U981" i="454"/>
  <c r="U980" i="454" s="1"/>
  <c r="AB986" i="454"/>
  <c r="AC986" i="454" s="1"/>
  <c r="AA1082" i="454"/>
  <c r="D1116" i="454"/>
  <c r="AB718" i="454"/>
  <c r="AC718" i="454" s="1"/>
  <c r="AA725" i="454"/>
  <c r="R729" i="454"/>
  <c r="AC736" i="454"/>
  <c r="AA741" i="454"/>
  <c r="O745" i="454"/>
  <c r="M745" i="454"/>
  <c r="N758" i="454"/>
  <c r="R761" i="454"/>
  <c r="R769" i="454"/>
  <c r="AB772" i="454"/>
  <c r="AB774" i="454"/>
  <c r="AB786" i="454"/>
  <c r="AB791" i="454"/>
  <c r="AB792" i="454"/>
  <c r="AB795" i="454"/>
  <c r="AB796" i="454"/>
  <c r="AB799" i="454"/>
  <c r="AB800" i="454"/>
  <c r="R824" i="454"/>
  <c r="AB826" i="454"/>
  <c r="AB845" i="454"/>
  <c r="AC845" i="454" s="1"/>
  <c r="AA844" i="454"/>
  <c r="D861" i="454"/>
  <c r="AB874" i="454"/>
  <c r="AC874" i="454" s="1"/>
  <c r="W884" i="454"/>
  <c r="AB931" i="454"/>
  <c r="AC931" i="454" s="1"/>
  <c r="Y928" i="454"/>
  <c r="Y927" i="454" s="1"/>
  <c r="Y920" i="454" s="1"/>
  <c r="AA1078" i="454"/>
  <c r="R1084" i="454"/>
  <c r="AB1084" i="454" s="1"/>
  <c r="AB893" i="454"/>
  <c r="AC893" i="454" s="1"/>
  <c r="AB898" i="454"/>
  <c r="AC898" i="454" s="1"/>
  <c r="AB915" i="454"/>
  <c r="AC915" i="454" s="1"/>
  <c r="AB935" i="454"/>
  <c r="AC935" i="454" s="1"/>
  <c r="AA940" i="454"/>
  <c r="V928" i="454"/>
  <c r="Z928" i="454"/>
  <c r="Z927" i="454" s="1"/>
  <c r="Z920" i="454" s="1"/>
  <c r="Z909" i="454" s="1"/>
  <c r="Q928" i="454"/>
  <c r="Q927" i="454" s="1"/>
  <c r="Q920" i="454" s="1"/>
  <c r="AB960" i="454"/>
  <c r="AC960" i="454" s="1"/>
  <c r="AB961" i="454"/>
  <c r="AC961" i="454" s="1"/>
  <c r="T1000" i="454"/>
  <c r="D1016" i="454"/>
  <c r="D1015" i="454" s="1"/>
  <c r="AB1073" i="454"/>
  <c r="AC1073" i="454" s="1"/>
  <c r="AC1086" i="454"/>
  <c r="O1120" i="454"/>
  <c r="O1111" i="454" s="1"/>
  <c r="O1135" i="454" s="1"/>
  <c r="AA1123" i="454"/>
  <c r="F1125" i="454"/>
  <c r="F1120" i="454" s="1"/>
  <c r="F1111" i="454" s="1"/>
  <c r="F1135" i="454" s="1"/>
  <c r="AA1127" i="454"/>
  <c r="AB1129" i="454"/>
  <c r="AC1129" i="454" s="1"/>
  <c r="AB1133" i="454"/>
  <c r="AC1133" i="454" s="1"/>
  <c r="H884" i="454"/>
  <c r="V884" i="454"/>
  <c r="P902" i="454"/>
  <c r="P901" i="454" s="1"/>
  <c r="Y902" i="454"/>
  <c r="Y901" i="454" s="1"/>
  <c r="AB904" i="454"/>
  <c r="AC904" i="454" s="1"/>
  <c r="AB913" i="454"/>
  <c r="AC913" i="454" s="1"/>
  <c r="AB925" i="454"/>
  <c r="AB926" i="454"/>
  <c r="O928" i="454"/>
  <c r="T928" i="454"/>
  <c r="T927" i="454" s="1"/>
  <c r="T920" i="454" s="1"/>
  <c r="X928" i="454"/>
  <c r="X927" i="454" s="1"/>
  <c r="X920" i="454" s="1"/>
  <c r="I928" i="454"/>
  <c r="I927" i="454" s="1"/>
  <c r="I920" i="454" s="1"/>
  <c r="I909" i="454" s="1"/>
  <c r="N928" i="454"/>
  <c r="AB946" i="454"/>
  <c r="AB958" i="454"/>
  <c r="AA1081" i="454"/>
  <c r="AA1083" i="454"/>
  <c r="AC1090" i="454"/>
  <c r="AB1100" i="454"/>
  <c r="AC1100" i="454" s="1"/>
  <c r="L1116" i="454"/>
  <c r="R1118" i="454"/>
  <c r="Z1120" i="454"/>
  <c r="Z1111" i="454" s="1"/>
  <c r="Z1135" i="454" s="1"/>
  <c r="G1120" i="454"/>
  <c r="G1111" i="454" s="1"/>
  <c r="G1135" i="454" s="1"/>
  <c r="R1132" i="454"/>
  <c r="AB991" i="454"/>
  <c r="AC991" i="454" s="1"/>
  <c r="I1000" i="454"/>
  <c r="M1002" i="454"/>
  <c r="M1001" i="454" s="1"/>
  <c r="Q1002" i="454"/>
  <c r="Q1001" i="454" s="1"/>
  <c r="P1016" i="454"/>
  <c r="P1015" i="454" s="1"/>
  <c r="D1028" i="454"/>
  <c r="AB1107" i="454"/>
  <c r="AB1108" i="454" s="1"/>
  <c r="AA1006" i="454"/>
  <c r="W1002" i="454"/>
  <c r="W1001" i="454" s="1"/>
  <c r="Q1016" i="454"/>
  <c r="Q1015" i="454" s="1"/>
  <c r="AB1019" i="454"/>
  <c r="R1003" i="454"/>
  <c r="AB1009" i="454"/>
  <c r="AC1009" i="454" s="1"/>
  <c r="AB1021" i="454"/>
  <c r="Z1016" i="454"/>
  <c r="Z1015" i="454" s="1"/>
  <c r="AB1032" i="454"/>
  <c r="AC1032" i="454" s="1"/>
  <c r="AB1036" i="454"/>
  <c r="AB1040" i="454"/>
  <c r="AC1040" i="454" s="1"/>
  <c r="AB1044" i="454"/>
  <c r="AC1044" i="454" s="1"/>
  <c r="AB1050" i="454"/>
  <c r="AC1050" i="454" s="1"/>
  <c r="AB1058" i="454"/>
  <c r="AC1058" i="454" s="1"/>
  <c r="AB1066" i="454"/>
  <c r="AC1066" i="454" s="1"/>
  <c r="AB1074" i="454"/>
  <c r="AC1093" i="454"/>
  <c r="AC1097" i="454"/>
  <c r="AC1101" i="454"/>
  <c r="AC1117" i="454"/>
  <c r="R19" i="454"/>
  <c r="R27" i="454"/>
  <c r="AC39" i="454"/>
  <c r="AB43" i="454"/>
  <c r="AA279" i="454"/>
  <c r="AA20" i="454"/>
  <c r="AA14" i="454"/>
  <c r="AA15" i="454"/>
  <c r="R21" i="454"/>
  <c r="AA22" i="454"/>
  <c r="AC376" i="454"/>
  <c r="AC384" i="454"/>
  <c r="AA31" i="454"/>
  <c r="AA182" i="454"/>
  <c r="R201" i="454"/>
  <c r="L200" i="454"/>
  <c r="R200" i="454" s="1"/>
  <c r="R202" i="454"/>
  <c r="R217" i="454"/>
  <c r="AA344" i="454"/>
  <c r="R419" i="454"/>
  <c r="D976" i="454"/>
  <c r="R62" i="454"/>
  <c r="AA71" i="454"/>
  <c r="AA75" i="454"/>
  <c r="N80" i="454"/>
  <c r="N79" i="454" s="1"/>
  <c r="R83" i="454"/>
  <c r="L80" i="454"/>
  <c r="AA91" i="454"/>
  <c r="AA93" i="454"/>
  <c r="AA94" i="454"/>
  <c r="R97" i="454"/>
  <c r="R101" i="454"/>
  <c r="AA122" i="454"/>
  <c r="R125" i="454"/>
  <c r="R129" i="454"/>
  <c r="R133" i="454"/>
  <c r="AA138" i="454"/>
  <c r="R141" i="454"/>
  <c r="R145" i="454"/>
  <c r="AA152" i="454"/>
  <c r="R153" i="454"/>
  <c r="L152" i="454"/>
  <c r="AA171" i="454"/>
  <c r="AA177" i="454"/>
  <c r="D182" i="454"/>
  <c r="R183" i="454"/>
  <c r="L182" i="454"/>
  <c r="R184" i="454"/>
  <c r="AA192" i="454"/>
  <c r="R193" i="454"/>
  <c r="L192" i="454"/>
  <c r="AA201" i="454"/>
  <c r="AA202" i="454"/>
  <c r="AA216" i="454"/>
  <c r="AB216" i="454" s="1"/>
  <c r="AA217" i="454"/>
  <c r="K225" i="454"/>
  <c r="D224" i="454"/>
  <c r="O225" i="454"/>
  <c r="O224" i="454" s="1"/>
  <c r="O223" i="454" s="1"/>
  <c r="O222" i="454" s="1"/>
  <c r="O221" i="454" s="1"/>
  <c r="T225" i="454"/>
  <c r="T224" i="454" s="1"/>
  <c r="T223" i="454" s="1"/>
  <c r="T222" i="454" s="1"/>
  <c r="T221" i="454" s="1"/>
  <c r="R228" i="454"/>
  <c r="AA239" i="454"/>
  <c r="R243" i="454"/>
  <c r="AA252" i="454"/>
  <c r="S255" i="454"/>
  <c r="R268" i="454"/>
  <c r="AA273" i="454"/>
  <c r="AB273" i="454" s="1"/>
  <c r="L279" i="454"/>
  <c r="R279" i="454" s="1"/>
  <c r="AA282" i="454"/>
  <c r="R285" i="454"/>
  <c r="AB298" i="454"/>
  <c r="AB312" i="454"/>
  <c r="AB322" i="454"/>
  <c r="AB341" i="454"/>
  <c r="S343" i="454"/>
  <c r="AA343" i="454" s="1"/>
  <c r="D345" i="454"/>
  <c r="AC359" i="454"/>
  <c r="AC422" i="454"/>
  <c r="R578" i="454"/>
  <c r="L577" i="454"/>
  <c r="AA146" i="454"/>
  <c r="AA147" i="454"/>
  <c r="J191" i="454"/>
  <c r="J142" i="454" s="1"/>
  <c r="AA226" i="454"/>
  <c r="R249" i="454"/>
  <c r="L248" i="454"/>
  <c r="R248" i="454" s="1"/>
  <c r="R252" i="454"/>
  <c r="AA345" i="454"/>
  <c r="R346" i="454"/>
  <c r="L345" i="454"/>
  <c r="R580" i="454"/>
  <c r="AA59" i="454"/>
  <c r="R78" i="454"/>
  <c r="AA57" i="454"/>
  <c r="AA65" i="454"/>
  <c r="AA69" i="454"/>
  <c r="AB69" i="454" s="1"/>
  <c r="R72" i="454"/>
  <c r="R76" i="454"/>
  <c r="U80" i="454"/>
  <c r="U79" i="454" s="1"/>
  <c r="AA89" i="454"/>
  <c r="R92" i="454"/>
  <c r="AA115" i="454"/>
  <c r="AB115" i="454" s="1"/>
  <c r="Y117" i="454"/>
  <c r="AA117" i="454" s="1"/>
  <c r="AA116" i="454"/>
  <c r="AB116" i="454" s="1"/>
  <c r="AA120" i="454"/>
  <c r="R127" i="454"/>
  <c r="AA136" i="454"/>
  <c r="AB136" i="454" s="1"/>
  <c r="R139" i="454"/>
  <c r="AB139" i="454" s="1"/>
  <c r="S143" i="454"/>
  <c r="R147" i="454"/>
  <c r="L146" i="454"/>
  <c r="D152" i="454"/>
  <c r="AA155" i="454"/>
  <c r="AA169" i="454"/>
  <c r="AA183" i="454"/>
  <c r="AA184" i="454"/>
  <c r="AA187" i="454"/>
  <c r="F191" i="454"/>
  <c r="N191" i="454"/>
  <c r="V191" i="454"/>
  <c r="D192" i="454"/>
  <c r="L206" i="454"/>
  <c r="R206" i="454" s="1"/>
  <c r="R212" i="454"/>
  <c r="AB215" i="454"/>
  <c r="R226" i="454"/>
  <c r="L225" i="454"/>
  <c r="P225" i="454"/>
  <c r="P224" i="454" s="1"/>
  <c r="P223" i="454" s="1"/>
  <c r="P222" i="454" s="1"/>
  <c r="P221" i="454" s="1"/>
  <c r="AA228" i="454"/>
  <c r="AA232" i="454"/>
  <c r="R240" i="454"/>
  <c r="AB240" i="454" s="1"/>
  <c r="AA242" i="454"/>
  <c r="AA248" i="454"/>
  <c r="AA249" i="454"/>
  <c r="R251" i="454"/>
  <c r="L261" i="454"/>
  <c r="AA271" i="454"/>
  <c r="R278" i="454"/>
  <c r="R283" i="454"/>
  <c r="R287" i="454"/>
  <c r="AB287" i="454" s="1"/>
  <c r="AB335" i="454"/>
  <c r="AA346" i="454"/>
  <c r="R350" i="454"/>
  <c r="AB350" i="454" s="1"/>
  <c r="AA357" i="454"/>
  <c r="AC383" i="454"/>
  <c r="AA419" i="454"/>
  <c r="AB434" i="454"/>
  <c r="AB438" i="454"/>
  <c r="AB442" i="454"/>
  <c r="F480" i="454"/>
  <c r="J480" i="454"/>
  <c r="H480" i="454"/>
  <c r="P480" i="454"/>
  <c r="AA181" i="454"/>
  <c r="Z191" i="454"/>
  <c r="Z142" i="454" s="1"/>
  <c r="D200" i="454"/>
  <c r="AA338" i="454"/>
  <c r="R735" i="454"/>
  <c r="R50" i="454"/>
  <c r="L14" i="454"/>
  <c r="AA51" i="454"/>
  <c r="AB51" i="454" s="1"/>
  <c r="R53" i="454"/>
  <c r="AA55" i="454"/>
  <c r="R58" i="454"/>
  <c r="AA63" i="454"/>
  <c r="R66" i="454"/>
  <c r="R70" i="454"/>
  <c r="R74" i="454"/>
  <c r="R81" i="454"/>
  <c r="AA83" i="454"/>
  <c r="R86" i="454"/>
  <c r="R90" i="454"/>
  <c r="AB90" i="454" s="1"/>
  <c r="R94" i="454"/>
  <c r="L93" i="454"/>
  <c r="R93" i="454" s="1"/>
  <c r="AA99" i="454"/>
  <c r="R103" i="454"/>
  <c r="AB103" i="454" s="1"/>
  <c r="AA107" i="454"/>
  <c r="AB107" i="454" s="1"/>
  <c r="AA113" i="454"/>
  <c r="AB113" i="454" s="1"/>
  <c r="R121" i="454"/>
  <c r="AA130" i="454"/>
  <c r="AB130" i="454" s="1"/>
  <c r="AA134" i="454"/>
  <c r="AB134" i="454" s="1"/>
  <c r="AA153" i="454"/>
  <c r="AB154" i="454"/>
  <c r="R157" i="454"/>
  <c r="R163" i="454"/>
  <c r="AB163" i="454" s="1"/>
  <c r="AA167" i="454"/>
  <c r="AB168" i="454"/>
  <c r="R171" i="454"/>
  <c r="R177" i="454"/>
  <c r="R189" i="454"/>
  <c r="AB189" i="454" s="1"/>
  <c r="AA193" i="454"/>
  <c r="AB194" i="454"/>
  <c r="AB198" i="454"/>
  <c r="AB209" i="454"/>
  <c r="AA233" i="454"/>
  <c r="AB233" i="454" s="1"/>
  <c r="K236" i="454"/>
  <c r="R239" i="454"/>
  <c r="AA243" i="454"/>
  <c r="AA269" i="454"/>
  <c r="AB269" i="454" s="1"/>
  <c r="AA278" i="454"/>
  <c r="AA289" i="454"/>
  <c r="AB305" i="454"/>
  <c r="AB315" i="454"/>
  <c r="AB329" i="454"/>
  <c r="D337" i="454"/>
  <c r="R338" i="454"/>
  <c r="L337" i="454"/>
  <c r="R337" i="454" s="1"/>
  <c r="R339" i="454"/>
  <c r="R355" i="454"/>
  <c r="S354" i="454"/>
  <c r="W354" i="454"/>
  <c r="AA355" i="454"/>
  <c r="D480" i="454"/>
  <c r="R496" i="454"/>
  <c r="L480" i="454"/>
  <c r="AA538" i="454"/>
  <c r="R587" i="454"/>
  <c r="R627" i="454"/>
  <c r="AB627" i="454" s="1"/>
  <c r="M617" i="454"/>
  <c r="M612" i="454" s="1"/>
  <c r="M611" i="454" s="1"/>
  <c r="R708" i="454"/>
  <c r="M707" i="454"/>
  <c r="R490" i="454"/>
  <c r="AA507" i="454"/>
  <c r="AA515" i="454"/>
  <c r="R538" i="454"/>
  <c r="AA542" i="454"/>
  <c r="AC556" i="454"/>
  <c r="AC572" i="454"/>
  <c r="AA580" i="454"/>
  <c r="R609" i="454"/>
  <c r="D617" i="454"/>
  <c r="H617" i="454"/>
  <c r="H612" i="454" s="1"/>
  <c r="H611" i="454" s="1"/>
  <c r="AA708" i="454"/>
  <c r="R892" i="454"/>
  <c r="N354" i="454"/>
  <c r="AB365" i="454"/>
  <c r="AB373" i="454"/>
  <c r="AB381" i="454"/>
  <c r="AB389" i="454"/>
  <c r="AB397" i="454"/>
  <c r="AB405" i="454"/>
  <c r="AB413" i="454"/>
  <c r="AA423" i="454"/>
  <c r="M480" i="454"/>
  <c r="Q480" i="454"/>
  <c r="U480" i="454"/>
  <c r="Y480" i="454"/>
  <c r="Y349" i="454" s="1"/>
  <c r="Y348" i="454" s="1"/>
  <c r="AA513" i="454"/>
  <c r="R530" i="454"/>
  <c r="AA534" i="454"/>
  <c r="AA540" i="454"/>
  <c r="AC550" i="454"/>
  <c r="AC566" i="454"/>
  <c r="AC579" i="454"/>
  <c r="AA582" i="454"/>
  <c r="AA589" i="454"/>
  <c r="N617" i="454"/>
  <c r="N612" i="454" s="1"/>
  <c r="N611" i="454" s="1"/>
  <c r="R618" i="454"/>
  <c r="V617" i="454"/>
  <c r="V612" i="454" s="1"/>
  <c r="V611" i="454" s="1"/>
  <c r="Z617" i="454"/>
  <c r="Z612" i="454" s="1"/>
  <c r="Z611" i="454" s="1"/>
  <c r="Q617" i="454"/>
  <c r="Q612" i="454" s="1"/>
  <c r="Q611" i="454" s="1"/>
  <c r="AB633" i="454"/>
  <c r="AC643" i="454"/>
  <c r="AC659" i="454"/>
  <c r="AC664" i="454"/>
  <c r="AC675" i="454"/>
  <c r="AB679" i="454"/>
  <c r="AB682" i="454"/>
  <c r="R698" i="454"/>
  <c r="AB712" i="454"/>
  <c r="AA731" i="454"/>
  <c r="AA733" i="454"/>
  <c r="R743" i="454"/>
  <c r="R746" i="454"/>
  <c r="U758" i="454"/>
  <c r="Y758" i="454"/>
  <c r="Z354" i="454"/>
  <c r="AB371" i="454"/>
  <c r="AB379" i="454"/>
  <c r="AB387" i="454"/>
  <c r="AB395" i="454"/>
  <c r="AB403" i="454"/>
  <c r="AB411" i="454"/>
  <c r="K416" i="454"/>
  <c r="AC444" i="454"/>
  <c r="AC452" i="454"/>
  <c r="I480" i="454"/>
  <c r="N480" i="454"/>
  <c r="R481" i="454"/>
  <c r="V480" i="454"/>
  <c r="Z480" i="454"/>
  <c r="AA483" i="454"/>
  <c r="AB483" i="454" s="1"/>
  <c r="AC484" i="454"/>
  <c r="AA487" i="454"/>
  <c r="AB487" i="454" s="1"/>
  <c r="AC488" i="454"/>
  <c r="AA519" i="454"/>
  <c r="AB519" i="454" s="1"/>
  <c r="AC520" i="454"/>
  <c r="AA532" i="454"/>
  <c r="AC533" i="454"/>
  <c r="X577" i="454"/>
  <c r="X349" i="454" s="1"/>
  <c r="X348" i="454" s="1"/>
  <c r="I617" i="454"/>
  <c r="I612" i="454" s="1"/>
  <c r="I611" i="454" s="1"/>
  <c r="AA621" i="454"/>
  <c r="R724" i="454"/>
  <c r="AA729" i="454"/>
  <c r="R739" i="454"/>
  <c r="R753" i="454"/>
  <c r="AA549" i="454"/>
  <c r="AB549" i="454" s="1"/>
  <c r="AA551" i="454"/>
  <c r="AA553" i="454"/>
  <c r="AA555" i="454"/>
  <c r="AA557" i="454"/>
  <c r="AB557" i="454" s="1"/>
  <c r="AA559" i="454"/>
  <c r="AB559" i="454" s="1"/>
  <c r="AA561" i="454"/>
  <c r="AA563" i="454"/>
  <c r="AA565" i="454"/>
  <c r="AB565" i="454" s="1"/>
  <c r="AA567" i="454"/>
  <c r="AA569" i="454"/>
  <c r="AA571" i="454"/>
  <c r="AA573" i="454"/>
  <c r="AB573" i="454" s="1"/>
  <c r="AA575" i="454"/>
  <c r="AB575" i="454" s="1"/>
  <c r="AA587" i="454"/>
  <c r="AA597" i="454"/>
  <c r="F617" i="454"/>
  <c r="F612" i="454" s="1"/>
  <c r="F611" i="454" s="1"/>
  <c r="J617" i="454"/>
  <c r="J612" i="454" s="1"/>
  <c r="J611" i="454" s="1"/>
  <c r="AA618" i="454"/>
  <c r="AA630" i="454"/>
  <c r="AB687" i="454"/>
  <c r="AB689" i="454"/>
  <c r="AB710" i="454"/>
  <c r="R725" i="454"/>
  <c r="R731" i="454"/>
  <c r="R737" i="454"/>
  <c r="AA739" i="454"/>
  <c r="R741" i="454"/>
  <c r="AA743" i="454"/>
  <c r="AA749" i="454"/>
  <c r="R751" i="454"/>
  <c r="AA753" i="454"/>
  <c r="M758" i="454"/>
  <c r="R759" i="454"/>
  <c r="Q758" i="454"/>
  <c r="F822" i="454"/>
  <c r="F821" i="454" s="1"/>
  <c r="D853" i="454"/>
  <c r="AA910" i="454"/>
  <c r="G577" i="454"/>
  <c r="O577" i="454"/>
  <c r="O349" i="454" s="1"/>
  <c r="O348" i="454" s="1"/>
  <c r="AA578" i="454"/>
  <c r="AA586" i="454"/>
  <c r="AA594" i="454"/>
  <c r="AA603" i="454"/>
  <c r="AA609" i="454"/>
  <c r="L612" i="454"/>
  <c r="R621" i="454"/>
  <c r="R623" i="454"/>
  <c r="AB645" i="454"/>
  <c r="AB649" i="454"/>
  <c r="AB653" i="454"/>
  <c r="AB657" i="454"/>
  <c r="AB661" i="454"/>
  <c r="AB663" i="454"/>
  <c r="AB669" i="454"/>
  <c r="AB671" i="454"/>
  <c r="AB673" i="454"/>
  <c r="AB678" i="454"/>
  <c r="AB693" i="454"/>
  <c r="AB700" i="454"/>
  <c r="R713" i="454"/>
  <c r="AB713" i="454" s="1"/>
  <c r="AB716" i="454"/>
  <c r="F723" i="454"/>
  <c r="F722" i="454" s="1"/>
  <c r="F721" i="454" s="1"/>
  <c r="F720" i="454" s="1"/>
  <c r="F719" i="454" s="1"/>
  <c r="AB726" i="454"/>
  <c r="R733" i="454"/>
  <c r="AB738" i="454"/>
  <c r="AB742" i="454"/>
  <c r="AA746" i="454"/>
  <c r="AB748" i="454"/>
  <c r="AB752" i="454"/>
  <c r="I758" i="454"/>
  <c r="AA759" i="454"/>
  <c r="AA763" i="454"/>
  <c r="AB763" i="454" s="1"/>
  <c r="AA767" i="454"/>
  <c r="R880" i="454"/>
  <c r="L873" i="454"/>
  <c r="R873" i="454" s="1"/>
  <c r="D902" i="454"/>
  <c r="R847" i="454"/>
  <c r="AA852" i="454"/>
  <c r="I884" i="454"/>
  <c r="S884" i="454"/>
  <c r="AA885" i="454"/>
  <c r="AA892" i="454"/>
  <c r="R899" i="454"/>
  <c r="R844" i="454"/>
  <c r="AB844" i="454" s="1"/>
  <c r="AA847" i="454"/>
  <c r="H861" i="454"/>
  <c r="L823" i="454"/>
  <c r="R831" i="454"/>
  <c r="L836" i="454"/>
  <c r="AA836" i="454"/>
  <c r="AA841" i="454"/>
  <c r="AC850" i="454"/>
  <c r="O851" i="454"/>
  <c r="R858" i="454"/>
  <c r="L853" i="454"/>
  <c r="AC863" i="454"/>
  <c r="AC870" i="454"/>
  <c r="Y884" i="454"/>
  <c r="S916" i="454"/>
  <c r="AA916" i="454" s="1"/>
  <c r="AA917" i="454"/>
  <c r="AA853" i="454"/>
  <c r="AA858" i="454"/>
  <c r="AA873" i="454"/>
  <c r="D884" i="454"/>
  <c r="AA899" i="454"/>
  <c r="AA918" i="454"/>
  <c r="R941" i="454"/>
  <c r="AB828" i="454"/>
  <c r="AC828" i="454" s="1"/>
  <c r="AB849" i="454"/>
  <c r="AC849" i="454" s="1"/>
  <c r="AB854" i="454"/>
  <c r="AB859" i="454"/>
  <c r="AC859" i="454" s="1"/>
  <c r="J861" i="454"/>
  <c r="J851" i="454" s="1"/>
  <c r="N861" i="454"/>
  <c r="N851" i="454" s="1"/>
  <c r="V861" i="454"/>
  <c r="V851" i="454" s="1"/>
  <c r="Z861" i="454"/>
  <c r="Z851" i="454" s="1"/>
  <c r="AB877" i="454"/>
  <c r="AC877" i="454" s="1"/>
  <c r="R896" i="454"/>
  <c r="AB896" i="454" s="1"/>
  <c r="L902" i="454"/>
  <c r="R903" i="454"/>
  <c r="M910" i="454"/>
  <c r="R911" i="454"/>
  <c r="G920" i="454"/>
  <c r="R929" i="454"/>
  <c r="L928" i="454"/>
  <c r="AA911" i="454"/>
  <c r="T902" i="454"/>
  <c r="T901" i="454" s="1"/>
  <c r="X902" i="454"/>
  <c r="X901" i="454" s="1"/>
  <c r="R905" i="454"/>
  <c r="D910" i="454"/>
  <c r="R916" i="454"/>
  <c r="R917" i="454"/>
  <c r="H920" i="454"/>
  <c r="H909" i="454" s="1"/>
  <c r="D928" i="454"/>
  <c r="AA941" i="454"/>
  <c r="AA965" i="454"/>
  <c r="AA1011" i="454"/>
  <c r="S1010" i="454"/>
  <c r="AA1010" i="454" s="1"/>
  <c r="D1011" i="454"/>
  <c r="R949" i="454"/>
  <c r="H902" i="454"/>
  <c r="H901" i="454" s="1"/>
  <c r="AA905" i="454"/>
  <c r="AB906" i="454"/>
  <c r="AC906" i="454" s="1"/>
  <c r="R918" i="454"/>
  <c r="AA921" i="454"/>
  <c r="AA922" i="454"/>
  <c r="S1001" i="454"/>
  <c r="R922" i="454"/>
  <c r="R940" i="454"/>
  <c r="AA949" i="454"/>
  <c r="R964" i="454"/>
  <c r="R965" i="454"/>
  <c r="R985" i="454"/>
  <c r="R992" i="454"/>
  <c r="AA992" i="454"/>
  <c r="AA997" i="454"/>
  <c r="AB997" i="454" s="1"/>
  <c r="AA1012" i="454"/>
  <c r="AA1027" i="454"/>
  <c r="L921" i="454"/>
  <c r="S928" i="454"/>
  <c r="W928" i="454"/>
  <c r="AA929" i="454"/>
  <c r="R933" i="454"/>
  <c r="AB948" i="454"/>
  <c r="AC948" i="454" s="1"/>
  <c r="AA964" i="454"/>
  <c r="P981" i="454"/>
  <c r="P980" i="454" s="1"/>
  <c r="R987" i="454"/>
  <c r="AA987" i="454"/>
  <c r="AA990" i="454"/>
  <c r="J1000" i="454"/>
  <c r="D1002" i="454"/>
  <c r="V1000" i="454"/>
  <c r="AC1008" i="454"/>
  <c r="L976" i="454"/>
  <c r="R977" i="454"/>
  <c r="L981" i="454"/>
  <c r="R982" i="454"/>
  <c r="AA982" i="454"/>
  <c r="S981" i="454"/>
  <c r="AA985" i="454"/>
  <c r="R1012" i="454"/>
  <c r="L1011" i="454"/>
  <c r="AA1003" i="454"/>
  <c r="AC1034" i="454"/>
  <c r="AC1038" i="454"/>
  <c r="AC1042" i="454"/>
  <c r="AC1046" i="454"/>
  <c r="L1002" i="454"/>
  <c r="P1002" i="454"/>
  <c r="P1001" i="454" s="1"/>
  <c r="L1016" i="454"/>
  <c r="R1017" i="454"/>
  <c r="R1018" i="454"/>
  <c r="R1022" i="454"/>
  <c r="R1023" i="454"/>
  <c r="L1028" i="454"/>
  <c r="R1029" i="454"/>
  <c r="AC1037" i="454"/>
  <c r="AC1045" i="454"/>
  <c r="H1002" i="454"/>
  <c r="H1001" i="454" s="1"/>
  <c r="H1000" i="454" s="1"/>
  <c r="AB1007" i="454"/>
  <c r="AC1007" i="454" s="1"/>
  <c r="AA1017" i="454"/>
  <c r="S1016" i="454"/>
  <c r="AA1018" i="454"/>
  <c r="AC1024" i="454"/>
  <c r="AC1026" i="454"/>
  <c r="AA1022" i="454"/>
  <c r="AA1023" i="454"/>
  <c r="AC1052" i="454"/>
  <c r="AC1060" i="454"/>
  <c r="AA1029" i="454"/>
  <c r="AC1061" i="454"/>
  <c r="AC1069" i="454"/>
  <c r="AC1074" i="454"/>
  <c r="AA1028" i="454"/>
  <c r="T1120" i="454"/>
  <c r="AA162" i="456" l="1"/>
  <c r="AA155" i="456"/>
  <c r="AA140" i="456"/>
  <c r="S11" i="457"/>
  <c r="AA12" i="457"/>
  <c r="R1104" i="457"/>
  <c r="AB820" i="457"/>
  <c r="S1104" i="457"/>
  <c r="AA820" i="457"/>
  <c r="AA1104" i="457" s="1"/>
  <c r="D817" i="457"/>
  <c r="D1136" i="457" s="1"/>
  <c r="K11" i="457"/>
  <c r="K817" i="457" s="1"/>
  <c r="K1136" i="457" s="1"/>
  <c r="R12" i="457"/>
  <c r="L11" i="457"/>
  <c r="AB725" i="454"/>
  <c r="AB597" i="454"/>
  <c r="AB563" i="454"/>
  <c r="AB532" i="454"/>
  <c r="AB589" i="454"/>
  <c r="AB513" i="454"/>
  <c r="AB515" i="454"/>
  <c r="AB75" i="454"/>
  <c r="M927" i="454"/>
  <c r="M920" i="454" s="1"/>
  <c r="AB880" i="454"/>
  <c r="I723" i="454"/>
  <c r="I722" i="454" s="1"/>
  <c r="I721" i="454" s="1"/>
  <c r="I720" i="454" s="1"/>
  <c r="I719" i="454" s="1"/>
  <c r="AB582" i="454"/>
  <c r="AA1116" i="454"/>
  <c r="O723" i="454"/>
  <c r="O722" i="454" s="1"/>
  <c r="O721" i="454" s="1"/>
  <c r="O720" i="454" s="1"/>
  <c r="O719" i="454" s="1"/>
  <c r="AB584" i="454"/>
  <c r="AB528" i="454"/>
  <c r="AB977" i="454"/>
  <c r="AB282" i="454"/>
  <c r="AB15" i="454"/>
  <c r="AB1118" i="454"/>
  <c r="AB741" i="454"/>
  <c r="AB129" i="454"/>
  <c r="AB71" i="454"/>
  <c r="AB1006" i="454"/>
  <c r="AB1083" i="454"/>
  <c r="O927" i="454"/>
  <c r="O920" i="454" s="1"/>
  <c r="O909" i="454" s="1"/>
  <c r="AB40" i="454"/>
  <c r="AB34" i="454"/>
  <c r="Y1000" i="454"/>
  <c r="L723" i="454"/>
  <c r="L722" i="454" s="1"/>
  <c r="H349" i="454"/>
  <c r="H348" i="454" s="1"/>
  <c r="M1000" i="454"/>
  <c r="AC802" i="454"/>
  <c r="AC814" i="454"/>
  <c r="AC812" i="454"/>
  <c r="AC781" i="454"/>
  <c r="AC806" i="454"/>
  <c r="AB594" i="454"/>
  <c r="AB561" i="454"/>
  <c r="AA745" i="454"/>
  <c r="T349" i="454"/>
  <c r="T348" i="454" s="1"/>
  <c r="T247" i="454" s="1"/>
  <c r="H142" i="454"/>
  <c r="Y142" i="454"/>
  <c r="AB769" i="454"/>
  <c r="AC462" i="454"/>
  <c r="M723" i="454"/>
  <c r="M722" i="454" s="1"/>
  <c r="M721" i="454" s="1"/>
  <c r="M720" i="454" s="1"/>
  <c r="M719" i="454" s="1"/>
  <c r="AB729" i="454"/>
  <c r="X247" i="454"/>
  <c r="F142" i="454"/>
  <c r="N927" i="454"/>
  <c r="N920" i="454" s="1"/>
  <c r="N909" i="454" s="1"/>
  <c r="G909" i="454"/>
  <c r="V835" i="454"/>
  <c r="V822" i="454" s="1"/>
  <c r="AB841" i="454"/>
  <c r="AA824" i="454"/>
  <c r="AB824" i="454" s="1"/>
  <c r="W835" i="454"/>
  <c r="W822" i="454" s="1"/>
  <c r="AB571" i="454"/>
  <c r="AB555" i="454"/>
  <c r="I349" i="454"/>
  <c r="I348" i="454" s="1"/>
  <c r="I247" i="454" s="1"/>
  <c r="AB534" i="454"/>
  <c r="AC236" i="454"/>
  <c r="AB58" i="454"/>
  <c r="AB72" i="454"/>
  <c r="AB1081" i="454"/>
  <c r="O835" i="454"/>
  <c r="O822" i="454" s="1"/>
  <c r="O821" i="454" s="1"/>
  <c r="AB751" i="454"/>
  <c r="AB490" i="454"/>
  <c r="AB121" i="454"/>
  <c r="V142" i="454"/>
  <c r="AB138" i="454"/>
  <c r="AB122" i="454"/>
  <c r="N30" i="454"/>
  <c r="N13" i="454" s="1"/>
  <c r="N723" i="454"/>
  <c r="N722" i="454" s="1"/>
  <c r="N721" i="454" s="1"/>
  <c r="N720" i="454" s="1"/>
  <c r="N719" i="454" s="1"/>
  <c r="AB235" i="454"/>
  <c r="AC417" i="454"/>
  <c r="Q1000" i="454"/>
  <c r="AB765" i="454"/>
  <c r="AC1019" i="454"/>
  <c r="AC1021" i="454"/>
  <c r="Y909" i="454"/>
  <c r="AC993" i="454"/>
  <c r="AC959" i="454"/>
  <c r="AC958" i="454"/>
  <c r="AB940" i="454"/>
  <c r="AC946" i="454"/>
  <c r="AC947" i="454"/>
  <c r="AC923" i="454"/>
  <c r="AC926" i="454"/>
  <c r="AC925" i="454"/>
  <c r="AC924" i="454"/>
  <c r="AC886" i="454"/>
  <c r="AB933" i="454"/>
  <c r="AC148" i="454"/>
  <c r="AB542" i="454"/>
  <c r="AC256" i="454"/>
  <c r="AB231" i="454"/>
  <c r="AB47" i="454"/>
  <c r="AC552" i="454"/>
  <c r="U1000" i="454"/>
  <c r="AC336" i="454"/>
  <c r="AC82" i="454"/>
  <c r="AB84" i="454"/>
  <c r="AB569" i="454"/>
  <c r="AB553" i="454"/>
  <c r="AC654" i="454"/>
  <c r="AB159" i="454"/>
  <c r="AB33" i="454"/>
  <c r="AC522" i="454"/>
  <c r="AC709" i="454"/>
  <c r="AB749" i="454"/>
  <c r="AB737" i="454"/>
  <c r="AB567" i="454"/>
  <c r="AB551" i="454"/>
  <c r="V349" i="454"/>
  <c r="V348" i="454" s="1"/>
  <c r="U349" i="454"/>
  <c r="U348" i="454" s="1"/>
  <c r="U247" i="454" s="1"/>
  <c r="AB507" i="454"/>
  <c r="AB125" i="454"/>
  <c r="AB62" i="454"/>
  <c r="V30" i="454"/>
  <c r="V13" i="454" s="1"/>
  <c r="X1000" i="454"/>
  <c r="U927" i="454"/>
  <c r="U920" i="454" s="1"/>
  <c r="O30" i="454"/>
  <c r="O13" i="454" s="1"/>
  <c r="AB517" i="454"/>
  <c r="M1155" i="454"/>
  <c r="N1155" i="454" s="1"/>
  <c r="O1155" i="454" s="1"/>
  <c r="AC971" i="454"/>
  <c r="AC967" i="454"/>
  <c r="AC966" i="454"/>
  <c r="Q30" i="454"/>
  <c r="Q13" i="454" s="1"/>
  <c r="AB86" i="454"/>
  <c r="AB538" i="454"/>
  <c r="T909" i="454"/>
  <c r="AC502" i="454"/>
  <c r="H247" i="454"/>
  <c r="S723" i="454"/>
  <c r="S722" i="454" s="1"/>
  <c r="G723" i="454"/>
  <c r="G722" i="454" s="1"/>
  <c r="G721" i="454" s="1"/>
  <c r="G720" i="454" s="1"/>
  <c r="G719" i="454" s="1"/>
  <c r="AB81" i="454"/>
  <c r="AC645" i="454"/>
  <c r="AC403" i="454"/>
  <c r="AC371" i="454"/>
  <c r="AC405" i="454"/>
  <c r="AC373" i="454"/>
  <c r="AC194" i="454"/>
  <c r="AC341" i="454"/>
  <c r="AC795" i="454"/>
  <c r="AC774" i="454"/>
  <c r="AC784" i="454"/>
  <c r="AC776" i="454"/>
  <c r="AC734" i="454"/>
  <c r="AC805" i="454"/>
  <c r="AC756" i="454"/>
  <c r="AC692" i="454"/>
  <c r="AC652" i="454"/>
  <c r="AC511" i="454"/>
  <c r="AC505" i="454"/>
  <c r="AC414" i="454"/>
  <c r="AC382" i="454"/>
  <c r="AC631" i="454"/>
  <c r="AC537" i="454"/>
  <c r="AC498" i="454"/>
  <c r="AC445" i="454"/>
  <c r="AC431" i="454"/>
  <c r="AC392" i="454"/>
  <c r="AC299" i="454"/>
  <c r="AC280" i="454"/>
  <c r="AC453" i="454"/>
  <c r="AC358" i="454"/>
  <c r="AC353" i="454"/>
  <c r="AC472" i="454"/>
  <c r="AC461" i="454"/>
  <c r="AC446" i="454"/>
  <c r="AC196" i="454"/>
  <c r="AC16" i="454"/>
  <c r="AC118" i="454"/>
  <c r="AC754" i="454"/>
  <c r="AC676" i="454"/>
  <c r="AC615" i="454"/>
  <c r="AC591" i="454"/>
  <c r="AC583" i="454"/>
  <c r="AC568" i="454"/>
  <c r="AC499" i="454"/>
  <c r="AC469" i="454"/>
  <c r="AC456" i="454"/>
  <c r="AC429" i="454"/>
  <c r="AC408" i="454"/>
  <c r="AC391" i="454"/>
  <c r="AC267" i="454"/>
  <c r="AC220" i="454"/>
  <c r="AC54" i="454"/>
  <c r="AC640" i="454"/>
  <c r="AC598" i="454"/>
  <c r="AC470" i="454"/>
  <c r="AC450" i="454"/>
  <c r="AC410" i="454"/>
  <c r="AC375" i="454"/>
  <c r="AC793" i="454"/>
  <c r="AC727" i="454"/>
  <c r="AC554" i="454"/>
  <c r="AC436" i="454"/>
  <c r="AC401" i="454"/>
  <c r="AC385" i="454"/>
  <c r="AC364" i="454"/>
  <c r="AC214" i="454"/>
  <c r="AC367" i="454"/>
  <c r="AC32" i="454"/>
  <c r="AC574" i="454"/>
  <c r="AC778" i="454"/>
  <c r="AC541" i="454"/>
  <c r="AC726" i="454"/>
  <c r="AC700" i="454"/>
  <c r="AC395" i="454"/>
  <c r="AC397" i="454"/>
  <c r="AC365" i="454"/>
  <c r="AC315" i="454"/>
  <c r="AC168" i="454"/>
  <c r="AC154" i="454"/>
  <c r="AC442" i="454"/>
  <c r="AC335" i="454"/>
  <c r="AC215" i="454"/>
  <c r="AC116" i="454"/>
  <c r="AC800" i="454"/>
  <c r="AC792" i="454"/>
  <c r="AC772" i="454"/>
  <c r="AC783" i="454"/>
  <c r="AC775" i="454"/>
  <c r="AC750" i="454"/>
  <c r="AC711" i="454"/>
  <c r="AC702" i="454"/>
  <c r="AC650" i="454"/>
  <c r="AC503" i="454"/>
  <c r="AC426" i="454"/>
  <c r="AC406" i="454"/>
  <c r="AC374" i="454"/>
  <c r="AC766" i="454"/>
  <c r="AC495" i="454"/>
  <c r="AC443" i="454"/>
  <c r="AC525" i="454"/>
  <c r="AC486" i="454"/>
  <c r="AC451" i="454"/>
  <c r="AC351" i="454"/>
  <c r="AC804" i="454"/>
  <c r="AC644" i="454"/>
  <c r="AC593" i="454"/>
  <c r="AC492" i="454"/>
  <c r="AC471" i="454"/>
  <c r="AC459" i="454"/>
  <c r="AC250" i="454"/>
  <c r="AC205" i="454"/>
  <c r="AC433" i="454"/>
  <c r="AC126" i="454"/>
  <c r="AC639" i="454"/>
  <c r="AC440" i="454"/>
  <c r="AC137" i="454"/>
  <c r="AC46" i="454"/>
  <c r="AC102" i="454"/>
  <c r="AC801" i="454"/>
  <c r="AC777" i="454"/>
  <c r="AC764" i="454"/>
  <c r="AC730" i="454"/>
  <c r="AC647" i="454"/>
  <c r="AC600" i="454"/>
  <c r="AC588" i="454"/>
  <c r="AC564" i="454"/>
  <c r="AC548" i="454"/>
  <c r="AC516" i="454"/>
  <c r="AC497" i="454"/>
  <c r="AC468" i="454"/>
  <c r="AC428" i="454"/>
  <c r="AC404" i="454"/>
  <c r="AC372" i="454"/>
  <c r="AC175" i="454"/>
  <c r="AC73" i="454"/>
  <c r="AC773" i="454"/>
  <c r="AC740" i="454"/>
  <c r="AC680" i="454"/>
  <c r="AC665" i="454"/>
  <c r="AC651" i="454"/>
  <c r="AC616" i="454"/>
  <c r="AC512" i="454"/>
  <c r="AC448" i="454"/>
  <c r="AC407" i="454"/>
  <c r="AC370" i="454"/>
  <c r="AC340" i="454"/>
  <c r="AC717" i="454"/>
  <c r="AC752" i="454"/>
  <c r="AC742" i="454"/>
  <c r="AC693" i="454"/>
  <c r="AC653" i="454"/>
  <c r="AC710" i="454"/>
  <c r="AC387" i="454"/>
  <c r="AC682" i="454"/>
  <c r="AC389" i="454"/>
  <c r="AC209" i="454"/>
  <c r="AC438" i="454"/>
  <c r="AC799" i="454"/>
  <c r="AC791" i="454"/>
  <c r="AC788" i="454"/>
  <c r="AC780" i="454"/>
  <c r="AC760" i="454"/>
  <c r="AC699" i="454"/>
  <c r="AC648" i="454"/>
  <c r="AC610" i="454"/>
  <c r="AC604" i="454"/>
  <c r="AC508" i="454"/>
  <c r="AC500" i="454"/>
  <c r="AC489" i="454"/>
  <c r="AC424" i="454"/>
  <c r="AC398" i="454"/>
  <c r="AC366" i="454"/>
  <c r="AC531" i="454"/>
  <c r="AC485" i="454"/>
  <c r="AC455" i="454"/>
  <c r="AC439" i="454"/>
  <c r="AC362" i="454"/>
  <c r="AC333" i="454"/>
  <c r="AC523" i="454"/>
  <c r="AC463" i="454"/>
  <c r="AC400" i="454"/>
  <c r="AC253" i="454"/>
  <c r="AC803" i="454"/>
  <c r="AC642" i="454"/>
  <c r="AC491" i="454"/>
  <c r="AC466" i="454"/>
  <c r="AC638" i="454"/>
  <c r="AC211" i="454"/>
  <c r="AC150" i="454"/>
  <c r="AC207" i="454"/>
  <c r="AC132" i="454"/>
  <c r="AC23" i="454"/>
  <c r="AC815" i="454"/>
  <c r="AC807" i="454"/>
  <c r="AC798" i="454"/>
  <c r="AC728" i="454"/>
  <c r="AC684" i="454"/>
  <c r="AC637" i="454"/>
  <c r="AC596" i="454"/>
  <c r="AC581" i="454"/>
  <c r="AC576" i="454"/>
  <c r="AC560" i="454"/>
  <c r="AC494" i="454"/>
  <c r="AC477" i="454"/>
  <c r="AC420" i="454"/>
  <c r="AC399" i="454"/>
  <c r="AC356" i="454"/>
  <c r="AC213" i="454"/>
  <c r="AC701" i="454"/>
  <c r="AC590" i="454"/>
  <c r="AC527" i="454"/>
  <c r="AC509" i="454"/>
  <c r="AC260" i="454"/>
  <c r="AC482" i="454"/>
  <c r="AC458" i="454"/>
  <c r="AC402" i="454"/>
  <c r="AC360" i="454"/>
  <c r="AC809" i="454"/>
  <c r="AC757" i="454"/>
  <c r="AC570" i="454"/>
  <c r="AC535" i="454"/>
  <c r="AC393" i="454"/>
  <c r="AC380" i="454"/>
  <c r="AC342" i="454"/>
  <c r="AC314" i="454"/>
  <c r="AC195" i="454"/>
  <c r="AC161" i="454"/>
  <c r="AC558" i="454"/>
  <c r="AC427" i="454"/>
  <c r="AC293" i="454"/>
  <c r="AC790" i="454"/>
  <c r="AC748" i="454"/>
  <c r="AC738" i="454"/>
  <c r="AC716" i="454"/>
  <c r="AC678" i="454"/>
  <c r="AC649" i="454"/>
  <c r="AC411" i="454"/>
  <c r="AC379" i="454"/>
  <c r="AC712" i="454"/>
  <c r="AC413" i="454"/>
  <c r="AC381" i="454"/>
  <c r="AC198" i="454"/>
  <c r="AC434" i="454"/>
  <c r="AC796" i="454"/>
  <c r="AC786" i="454"/>
  <c r="AC787" i="454"/>
  <c r="AC779" i="454"/>
  <c r="AC768" i="454"/>
  <c r="AC744" i="454"/>
  <c r="AC813" i="454"/>
  <c r="AC747" i="454"/>
  <c r="AC655" i="454"/>
  <c r="AC646" i="454"/>
  <c r="AC506" i="454"/>
  <c r="AC476" i="454"/>
  <c r="AC421" i="454"/>
  <c r="AC390" i="454"/>
  <c r="AC714" i="454"/>
  <c r="AC613" i="454"/>
  <c r="AC479" i="454"/>
  <c r="AC449" i="454"/>
  <c r="AC435" i="454"/>
  <c r="AC457" i="454"/>
  <c r="AC309" i="454"/>
  <c r="AC585" i="454"/>
  <c r="AC465" i="454"/>
  <c r="AC257" i="454"/>
  <c r="AC197" i="454"/>
  <c r="AC87" i="454"/>
  <c r="AC67" i="454"/>
  <c r="AC144" i="454"/>
  <c r="AC123" i="454"/>
  <c r="AC60" i="454"/>
  <c r="AC715" i="454"/>
  <c r="AC656" i="454"/>
  <c r="AC636" i="454"/>
  <c r="AC529" i="454"/>
  <c r="AC493" i="454"/>
  <c r="AC474" i="454"/>
  <c r="AC464" i="454"/>
  <c r="AC430" i="454"/>
  <c r="AC394" i="454"/>
  <c r="AC377" i="454"/>
  <c r="AC276" i="454"/>
  <c r="AC259" i="454"/>
  <c r="AC785" i="454"/>
  <c r="AC762" i="454"/>
  <c r="AC258" i="454"/>
  <c r="AC475" i="454"/>
  <c r="AC378" i="454"/>
  <c r="AC352" i="454"/>
  <c r="AC286" i="454"/>
  <c r="AC808" i="454"/>
  <c r="AC686" i="454"/>
  <c r="AB157" i="454"/>
  <c r="AB128" i="454"/>
  <c r="AB97" i="454"/>
  <c r="W30" i="454"/>
  <c r="W13" i="454" s="1"/>
  <c r="AB74" i="454"/>
  <c r="AB76" i="454"/>
  <c r="AB27" i="454"/>
  <c r="F820" i="454"/>
  <c r="F1104" i="454" s="1"/>
  <c r="AB1003" i="454"/>
  <c r="AC1108" i="454"/>
  <c r="AB100" i="454"/>
  <c r="AB64" i="454"/>
  <c r="AB38" i="454"/>
  <c r="W927" i="454"/>
  <c r="W920" i="454" s="1"/>
  <c r="W909" i="454" s="1"/>
  <c r="W821" i="454" s="1"/>
  <c r="W820" i="454" s="1"/>
  <c r="W1104" i="454" s="1"/>
  <c r="AB279" i="454"/>
  <c r="AB244" i="454"/>
  <c r="AB171" i="454"/>
  <c r="AB339" i="454"/>
  <c r="AB28" i="454"/>
  <c r="AB18" i="454"/>
  <c r="AA605" i="454"/>
  <c r="U835" i="454"/>
  <c r="U822" i="454" s="1"/>
  <c r="J723" i="454"/>
  <c r="J722" i="454" s="1"/>
  <c r="J721" i="454" s="1"/>
  <c r="J720" i="454" s="1"/>
  <c r="J719" i="454" s="1"/>
  <c r="AB172" i="454"/>
  <c r="M142" i="454"/>
  <c r="AB48" i="454"/>
  <c r="Q835" i="454"/>
  <c r="Q822" i="454" s="1"/>
  <c r="AB106" i="454"/>
  <c r="AA52" i="454"/>
  <c r="AB990" i="454"/>
  <c r="AA955" i="454"/>
  <c r="AB767" i="454"/>
  <c r="AB623" i="454"/>
  <c r="G349" i="454"/>
  <c r="G348" i="454" s="1"/>
  <c r="AB724" i="454"/>
  <c r="AB481" i="454"/>
  <c r="Y723" i="454"/>
  <c r="Y722" i="454" s="1"/>
  <c r="Y721" i="454" s="1"/>
  <c r="Y720" i="454" s="1"/>
  <c r="Y719" i="454" s="1"/>
  <c r="M349" i="454"/>
  <c r="M348" i="454" s="1"/>
  <c r="R707" i="454"/>
  <c r="AB337" i="454"/>
  <c r="AB289" i="454"/>
  <c r="AB200" i="454"/>
  <c r="W1000" i="454"/>
  <c r="S861" i="454"/>
  <c r="S851" i="454" s="1"/>
  <c r="S835" i="454" s="1"/>
  <c r="AA862" i="454"/>
  <c r="AB862" i="454" s="1"/>
  <c r="AB262" i="454"/>
  <c r="AB227" i="454"/>
  <c r="S206" i="454"/>
  <c r="AA208" i="454"/>
  <c r="AB208" i="454" s="1"/>
  <c r="S1114" i="454"/>
  <c r="AA1114" i="454" s="1"/>
  <c r="AA1115" i="454"/>
  <c r="AB88" i="454"/>
  <c r="P30" i="454"/>
  <c r="P13" i="454" s="1"/>
  <c r="T30" i="454"/>
  <c r="T13" i="454" s="1"/>
  <c r="AB167" i="454"/>
  <c r="AB93" i="454"/>
  <c r="AB66" i="454"/>
  <c r="AB53" i="454"/>
  <c r="AB735" i="454"/>
  <c r="AB357" i="454"/>
  <c r="AB232" i="454"/>
  <c r="P142" i="454"/>
  <c r="AB155" i="454"/>
  <c r="AB120" i="454"/>
  <c r="AB117" i="454"/>
  <c r="AB92" i="454"/>
  <c r="U30" i="454"/>
  <c r="U13" i="454" s="1"/>
  <c r="AB59" i="454"/>
  <c r="AB22" i="454"/>
  <c r="AB20" i="454"/>
  <c r="Q909" i="454"/>
  <c r="V927" i="454"/>
  <c r="V920" i="454" s="1"/>
  <c r="V909" i="454" s="1"/>
  <c r="Z723" i="454"/>
  <c r="Z722" i="454" s="1"/>
  <c r="Z721" i="454" s="1"/>
  <c r="Z720" i="454" s="1"/>
  <c r="Z719" i="454" s="1"/>
  <c r="W723" i="454"/>
  <c r="W722" i="454" s="1"/>
  <c r="W721" i="454" s="1"/>
  <c r="W720" i="454" s="1"/>
  <c r="W719" i="454" s="1"/>
  <c r="AB432" i="454"/>
  <c r="AB119" i="454"/>
  <c r="AB105" i="454"/>
  <c r="AB68" i="454"/>
  <c r="AB45" i="454"/>
  <c r="AB29" i="454"/>
  <c r="O1000" i="454"/>
  <c r="J835" i="454"/>
  <c r="J822" i="454" s="1"/>
  <c r="J821" i="454" s="1"/>
  <c r="J820" i="454" s="1"/>
  <c r="J1104" i="454" s="1"/>
  <c r="M30" i="454"/>
  <c r="M13" i="454" s="1"/>
  <c r="AB290" i="454"/>
  <c r="AB158" i="454"/>
  <c r="AB188" i="454"/>
  <c r="AC854" i="454"/>
  <c r="AB869" i="454"/>
  <c r="AB363" i="454"/>
  <c r="AB160" i="454"/>
  <c r="AB24" i="454"/>
  <c r="AB35" i="454"/>
  <c r="AB1078" i="454"/>
  <c r="AA577" i="454"/>
  <c r="Z1000" i="454"/>
  <c r="AB625" i="454"/>
  <c r="I142" i="454"/>
  <c r="I12" i="454" s="1"/>
  <c r="AB234" i="454"/>
  <c r="AA151" i="454"/>
  <c r="W142" i="454"/>
  <c r="W12" i="454" s="1"/>
  <c r="AB970" i="454"/>
  <c r="AB239" i="454"/>
  <c r="L861" i="454"/>
  <c r="R861" i="454" s="1"/>
  <c r="AB270" i="454"/>
  <c r="AB131" i="454"/>
  <c r="U909" i="454"/>
  <c r="U821" i="454" s="1"/>
  <c r="U820" i="454" s="1"/>
  <c r="U1104" i="454" s="1"/>
  <c r="P835" i="454"/>
  <c r="P822" i="454" s="1"/>
  <c r="T723" i="454"/>
  <c r="T722" i="454" s="1"/>
  <c r="T721" i="454" s="1"/>
  <c r="T720" i="454" s="1"/>
  <c r="T719" i="454" s="1"/>
  <c r="P723" i="454"/>
  <c r="P722" i="454" s="1"/>
  <c r="P721" i="454" s="1"/>
  <c r="P720" i="454" s="1"/>
  <c r="P719" i="454" s="1"/>
  <c r="D723" i="454"/>
  <c r="D722" i="454" s="1"/>
  <c r="D721" i="454" s="1"/>
  <c r="Q697" i="454"/>
  <c r="Q696" i="454" s="1"/>
  <c r="Y697" i="454"/>
  <c r="Y696" i="454" s="1"/>
  <c r="Y247" i="454" s="1"/>
  <c r="L697" i="454"/>
  <c r="Z697" i="454"/>
  <c r="Z696" i="454" s="1"/>
  <c r="AB135" i="454"/>
  <c r="U142" i="454"/>
  <c r="J697" i="454"/>
  <c r="J696" i="454" s="1"/>
  <c r="AC1107" i="454"/>
  <c r="P1000" i="454"/>
  <c r="AA976" i="454"/>
  <c r="AA1002" i="454"/>
  <c r="X835" i="454"/>
  <c r="X822" i="454" s="1"/>
  <c r="AB903" i="454"/>
  <c r="Z835" i="454"/>
  <c r="Z822" i="454" s="1"/>
  <c r="Z821" i="454" s="1"/>
  <c r="N835" i="454"/>
  <c r="N822" i="454" s="1"/>
  <c r="N821" i="454" s="1"/>
  <c r="N820" i="454" s="1"/>
  <c r="N1104" i="454" s="1"/>
  <c r="AB831" i="454"/>
  <c r="I835" i="454"/>
  <c r="I822" i="454" s="1"/>
  <c r="I821" i="454" s="1"/>
  <c r="I820" i="454" s="1"/>
  <c r="I1104" i="454" s="1"/>
  <c r="AB733" i="454"/>
  <c r="AB603" i="454"/>
  <c r="AB586" i="454"/>
  <c r="AB630" i="454"/>
  <c r="AC416" i="454"/>
  <c r="AB540" i="454"/>
  <c r="AB530" i="454"/>
  <c r="Q349" i="454"/>
  <c r="Q348" i="454" s="1"/>
  <c r="Q247" i="454" s="1"/>
  <c r="AB423" i="454"/>
  <c r="M697" i="454"/>
  <c r="M696" i="454" s="1"/>
  <c r="W349" i="454"/>
  <c r="W348" i="454" s="1"/>
  <c r="W247" i="454" s="1"/>
  <c r="AB177" i="454"/>
  <c r="AB99" i="454"/>
  <c r="AB70" i="454"/>
  <c r="AB63" i="454"/>
  <c r="AB55" i="454"/>
  <c r="AB50" i="454"/>
  <c r="P349" i="454"/>
  <c r="P348" i="454" s="1"/>
  <c r="P247" i="454" s="1"/>
  <c r="J349" i="454"/>
  <c r="J348" i="454" s="1"/>
  <c r="AB283" i="454"/>
  <c r="AB271" i="454"/>
  <c r="AB251" i="454"/>
  <c r="AB212" i="454"/>
  <c r="N142" i="454"/>
  <c r="N12" i="454" s="1"/>
  <c r="AB187" i="454"/>
  <c r="AB89" i="454"/>
  <c r="AB57" i="454"/>
  <c r="AB78" i="454"/>
  <c r="AA707" i="454"/>
  <c r="AB285" i="454"/>
  <c r="AB268" i="454"/>
  <c r="T142" i="454"/>
  <c r="AB141" i="454"/>
  <c r="AB133" i="454"/>
  <c r="AB101" i="454"/>
  <c r="AB91" i="454"/>
  <c r="AB31" i="454"/>
  <c r="AB19" i="454"/>
  <c r="AB1132" i="454"/>
  <c r="X909" i="454"/>
  <c r="AB761" i="454"/>
  <c r="G835" i="454"/>
  <c r="G822" i="454" s="1"/>
  <c r="G821" i="454" s="1"/>
  <c r="G820" i="454" s="1"/>
  <c r="G1104" i="454" s="1"/>
  <c r="AB632" i="454"/>
  <c r="AB510" i="454"/>
  <c r="V697" i="454"/>
  <c r="V696" i="454" s="1"/>
  <c r="AB592" i="454"/>
  <c r="AB524" i="454"/>
  <c r="AB85" i="454"/>
  <c r="AB49" i="454"/>
  <c r="AB41" i="454"/>
  <c r="G142" i="454"/>
  <c r="G12" i="454" s="1"/>
  <c r="G697" i="454"/>
  <c r="G696" i="454" s="1"/>
  <c r="H723" i="454"/>
  <c r="H722" i="454" s="1"/>
  <c r="H721" i="454" s="1"/>
  <c r="H720" i="454" s="1"/>
  <c r="H719" i="454" s="1"/>
  <c r="O697" i="454"/>
  <c r="O696" i="454" s="1"/>
  <c r="O247" i="454" s="1"/>
  <c r="AB698" i="454"/>
  <c r="X12" i="454"/>
  <c r="AB917" i="454"/>
  <c r="R617" i="454"/>
  <c r="R758" i="454"/>
  <c r="AB731" i="454"/>
  <c r="AA617" i="454"/>
  <c r="R745" i="454"/>
  <c r="AB496" i="454"/>
  <c r="AB338" i="454"/>
  <c r="AB94" i="454"/>
  <c r="F349" i="454"/>
  <c r="F348" i="454" s="1"/>
  <c r="F247" i="454" s="1"/>
  <c r="AB242" i="454"/>
  <c r="AB169" i="454"/>
  <c r="AB127" i="454"/>
  <c r="AB65" i="454"/>
  <c r="AB252" i="454"/>
  <c r="O142" i="454"/>
  <c r="O12" i="454" s="1"/>
  <c r="AB145" i="454"/>
  <c r="H12" i="454"/>
  <c r="AB21" i="454"/>
  <c r="AB42" i="454"/>
  <c r="AB37" i="454"/>
  <c r="AB111" i="454"/>
  <c r="AB56" i="454"/>
  <c r="Q142" i="454"/>
  <c r="Q12" i="454" s="1"/>
  <c r="AB987" i="454"/>
  <c r="AB361" i="454"/>
  <c r="AB237" i="454"/>
  <c r="AB98" i="454"/>
  <c r="AB771" i="454"/>
  <c r="AA901" i="454"/>
  <c r="AB899" i="454"/>
  <c r="AA758" i="454"/>
  <c r="AB355" i="454"/>
  <c r="AB1127" i="454"/>
  <c r="AB599" i="454"/>
  <c r="AB473" i="454"/>
  <c r="AB501" i="454"/>
  <c r="AB246" i="454"/>
  <c r="AB526" i="454"/>
  <c r="AB176" i="454"/>
  <c r="AB162" i="454"/>
  <c r="AB114" i="454"/>
  <c r="AB186" i="454"/>
  <c r="AB174" i="454"/>
  <c r="AB170" i="454"/>
  <c r="AB108" i="454"/>
  <c r="AB156" i="454"/>
  <c r="AA6" i="456"/>
  <c r="AB1125" i="454"/>
  <c r="Y835" i="454"/>
  <c r="Y822" i="454" s="1"/>
  <c r="Y821" i="454" s="1"/>
  <c r="Y820" i="454" s="1"/>
  <c r="Y1104" i="454" s="1"/>
  <c r="Y12" i="454"/>
  <c r="P927" i="454"/>
  <c r="P920" i="454" s="1"/>
  <c r="P909" i="454" s="1"/>
  <c r="J119" i="456"/>
  <c r="P5" i="456"/>
  <c r="Z123" i="456"/>
  <c r="AA123" i="456" s="1"/>
  <c r="Y176" i="456"/>
  <c r="B170" i="456"/>
  <c r="B176" i="456" s="1"/>
  <c r="I122" i="456"/>
  <c r="I170" i="456" s="1"/>
  <c r="I176" i="456" s="1"/>
  <c r="P122" i="456"/>
  <c r="J170" i="456"/>
  <c r="AB964" i="454"/>
  <c r="AB916" i="454"/>
  <c r="H851" i="454"/>
  <c r="H835" i="454" s="1"/>
  <c r="H822" i="454" s="1"/>
  <c r="H821" i="454" s="1"/>
  <c r="H820" i="454" s="1"/>
  <c r="H1104" i="454" s="1"/>
  <c r="AB739" i="454"/>
  <c r="AB217" i="454"/>
  <c r="AB201" i="454"/>
  <c r="AB124" i="454"/>
  <c r="AB112" i="454"/>
  <c r="D1027" i="454"/>
  <c r="R1122" i="454"/>
  <c r="AB1122" i="454" s="1"/>
  <c r="L1121" i="454"/>
  <c r="AB544" i="454"/>
  <c r="AB245" i="454"/>
  <c r="AB546" i="454"/>
  <c r="AB238" i="454"/>
  <c r="AB110" i="454"/>
  <c r="AB165" i="454"/>
  <c r="AB164" i="454"/>
  <c r="R52" i="454"/>
  <c r="AB1029" i="454"/>
  <c r="AB873" i="454"/>
  <c r="Z12" i="454"/>
  <c r="AB226" i="454"/>
  <c r="AB147" i="454"/>
  <c r="AB248" i="454"/>
  <c r="AA225" i="454"/>
  <c r="D1115" i="454"/>
  <c r="AB1123" i="454"/>
  <c r="AB1082" i="454"/>
  <c r="AB601" i="454"/>
  <c r="AB415" i="454"/>
  <c r="AB606" i="454"/>
  <c r="AB536" i="454"/>
  <c r="AB284" i="454"/>
  <c r="AB241" i="454"/>
  <c r="AB180" i="454"/>
  <c r="AB166" i="454"/>
  <c r="AB190" i="454"/>
  <c r="AB178" i="454"/>
  <c r="AB104" i="454"/>
  <c r="AB77" i="454"/>
  <c r="T835" i="454"/>
  <c r="T822" i="454" s="1"/>
  <c r="D349" i="454"/>
  <c r="D348" i="454" s="1"/>
  <c r="L1115" i="454"/>
  <c r="R1116" i="454"/>
  <c r="AB1116" i="454" s="1"/>
  <c r="D1120" i="454"/>
  <c r="R605" i="454"/>
  <c r="AB277" i="454"/>
  <c r="AB61" i="454"/>
  <c r="AB173" i="454"/>
  <c r="AB140" i="454"/>
  <c r="AA981" i="454"/>
  <c r="S980" i="454"/>
  <c r="AA980" i="454" s="1"/>
  <c r="R612" i="454"/>
  <c r="L611" i="454"/>
  <c r="R611" i="454" s="1"/>
  <c r="D852" i="454"/>
  <c r="D344" i="454"/>
  <c r="D181" i="454"/>
  <c r="AA1016" i="454"/>
  <c r="S1015" i="454"/>
  <c r="AA1015" i="454" s="1"/>
  <c r="AB1018" i="454"/>
  <c r="L975" i="454"/>
  <c r="R975" i="454" s="1"/>
  <c r="AB975" i="454" s="1"/>
  <c r="R976" i="454"/>
  <c r="D1001" i="454"/>
  <c r="AA928" i="454"/>
  <c r="AB992" i="454"/>
  <c r="R955" i="454"/>
  <c r="D927" i="454"/>
  <c r="AA902" i="454"/>
  <c r="R928" i="454"/>
  <c r="AB911" i="454"/>
  <c r="R902" i="454"/>
  <c r="L901" i="454"/>
  <c r="R901" i="454" s="1"/>
  <c r="L852" i="454"/>
  <c r="R853" i="454"/>
  <c r="AB853" i="454" s="1"/>
  <c r="R823" i="454"/>
  <c r="AB823" i="454" s="1"/>
  <c r="AA851" i="454"/>
  <c r="AB759" i="454"/>
  <c r="S696" i="454"/>
  <c r="AB746" i="454"/>
  <c r="AB618" i="454"/>
  <c r="N349" i="454"/>
  <c r="N348" i="454" s="1"/>
  <c r="N247" i="454" s="1"/>
  <c r="AB609" i="454"/>
  <c r="AA612" i="454"/>
  <c r="S223" i="454"/>
  <c r="AA224" i="454"/>
  <c r="D151" i="454"/>
  <c r="AB580" i="454"/>
  <c r="R354" i="454"/>
  <c r="AB249" i="454"/>
  <c r="AB228" i="454"/>
  <c r="AB193" i="454"/>
  <c r="AB184" i="454"/>
  <c r="AB153" i="454"/>
  <c r="L79" i="454"/>
  <c r="R80" i="454"/>
  <c r="AA79" i="454"/>
  <c r="AB949" i="454"/>
  <c r="AB847" i="454"/>
  <c r="L191" i="454"/>
  <c r="R191" i="454" s="1"/>
  <c r="R192" i="454"/>
  <c r="AB192" i="454" s="1"/>
  <c r="L151" i="454"/>
  <c r="R151" i="454" s="1"/>
  <c r="R152" i="454"/>
  <c r="AB152" i="454" s="1"/>
  <c r="U723" i="454"/>
  <c r="U722" i="454" s="1"/>
  <c r="U721" i="454" s="1"/>
  <c r="U720" i="454" s="1"/>
  <c r="U719" i="454" s="1"/>
  <c r="R1028" i="454"/>
  <c r="AB1028" i="454" s="1"/>
  <c r="L1027" i="454"/>
  <c r="R1027" i="454" s="1"/>
  <c r="AB1027" i="454" s="1"/>
  <c r="AB1017" i="454"/>
  <c r="R1002" i="454"/>
  <c r="L1001" i="454"/>
  <c r="R1011" i="454"/>
  <c r="AB1011" i="454" s="1"/>
  <c r="L1010" i="454"/>
  <c r="R1010" i="454" s="1"/>
  <c r="AB1010" i="454" s="1"/>
  <c r="AB982" i="454"/>
  <c r="R921" i="454"/>
  <c r="AB921" i="454" s="1"/>
  <c r="AB965" i="454"/>
  <c r="AB922" i="454"/>
  <c r="AA954" i="454"/>
  <c r="AA953" i="454"/>
  <c r="AB918" i="454"/>
  <c r="D1010" i="454"/>
  <c r="AB905" i="454"/>
  <c r="AB929" i="454"/>
  <c r="M909" i="454"/>
  <c r="R910" i="454"/>
  <c r="AB910" i="454" s="1"/>
  <c r="AB858" i="454"/>
  <c r="AA884" i="454"/>
  <c r="D901" i="454"/>
  <c r="AB621" i="454"/>
  <c r="AB743" i="454"/>
  <c r="Q723" i="454"/>
  <c r="R885" i="454"/>
  <c r="AB885" i="454" s="1"/>
  <c r="M884" i="454"/>
  <c r="D612" i="454"/>
  <c r="AB708" i="454"/>
  <c r="AA611" i="454"/>
  <c r="AB587" i="454"/>
  <c r="R14" i="454"/>
  <c r="AB14" i="454" s="1"/>
  <c r="D191" i="454"/>
  <c r="AA143" i="454"/>
  <c r="R345" i="454"/>
  <c r="AB345" i="454" s="1"/>
  <c r="L344" i="454"/>
  <c r="R577" i="454"/>
  <c r="S254" i="454"/>
  <c r="AA255" i="454"/>
  <c r="AB243" i="454"/>
  <c r="R182" i="454"/>
  <c r="AB182" i="454" s="1"/>
  <c r="L181" i="454"/>
  <c r="R181" i="454" s="1"/>
  <c r="AB181" i="454" s="1"/>
  <c r="AB83" i="454"/>
  <c r="AB202" i="454"/>
  <c r="AA80" i="454"/>
  <c r="AB1022" i="454"/>
  <c r="Z349" i="454"/>
  <c r="Z348" i="454" s="1"/>
  <c r="R480" i="454"/>
  <c r="D223" i="454"/>
  <c r="AA1120" i="454"/>
  <c r="T1111" i="454"/>
  <c r="AB1023" i="454"/>
  <c r="L1015" i="454"/>
  <c r="R1015" i="454" s="1"/>
  <c r="R1016" i="454"/>
  <c r="AB1012" i="454"/>
  <c r="L980" i="454"/>
  <c r="R980" i="454" s="1"/>
  <c r="R981" i="454"/>
  <c r="AB985" i="454"/>
  <c r="AA1001" i="454"/>
  <c r="AB941" i="454"/>
  <c r="R836" i="454"/>
  <c r="AB836" i="454" s="1"/>
  <c r="AB753" i="454"/>
  <c r="L721" i="454"/>
  <c r="AA480" i="454"/>
  <c r="AB892" i="454"/>
  <c r="AA354" i="454"/>
  <c r="S349" i="454"/>
  <c r="L349" i="454"/>
  <c r="AB278" i="454"/>
  <c r="R261" i="454"/>
  <c r="AB261" i="454" s="1"/>
  <c r="L255" i="454"/>
  <c r="L224" i="454"/>
  <c r="R225" i="454"/>
  <c r="L143" i="454"/>
  <c r="R146" i="454"/>
  <c r="AB146" i="454" s="1"/>
  <c r="AB346" i="454"/>
  <c r="AB578" i="454"/>
  <c r="AB183" i="454"/>
  <c r="D975" i="454"/>
  <c r="AB419" i="454"/>
  <c r="J12" i="454"/>
  <c r="S30" i="454"/>
  <c r="F12" i="454"/>
  <c r="AB1104" i="457" l="1"/>
  <c r="AC1104" i="457" s="1"/>
  <c r="AC820" i="457"/>
  <c r="L817" i="457"/>
  <c r="L1136" i="457" s="1"/>
  <c r="R11" i="457"/>
  <c r="AB12" i="457"/>
  <c r="AC12" i="457" s="1"/>
  <c r="S817" i="457"/>
  <c r="S1136" i="457" s="1"/>
  <c r="AA11" i="457"/>
  <c r="AA817" i="457" s="1"/>
  <c r="AA1136" i="457" s="1"/>
  <c r="S1113" i="454"/>
  <c r="AB745" i="454"/>
  <c r="AB605" i="454"/>
  <c r="V821" i="454"/>
  <c r="V820" i="454" s="1"/>
  <c r="V1104" i="454" s="1"/>
  <c r="V12" i="454"/>
  <c r="AA861" i="454"/>
  <c r="T821" i="454"/>
  <c r="T820" i="454" s="1"/>
  <c r="T1104" i="454" s="1"/>
  <c r="J247" i="454"/>
  <c r="J11" i="454" s="1"/>
  <c r="J817" i="454" s="1"/>
  <c r="J1136" i="454" s="1"/>
  <c r="V247" i="454"/>
  <c r="V11" i="454" s="1"/>
  <c r="V817" i="454" s="1"/>
  <c r="AC964" i="454"/>
  <c r="M12" i="454"/>
  <c r="AC970" i="454"/>
  <c r="AC965" i="454"/>
  <c r="AB577" i="454"/>
  <c r="Z247" i="454"/>
  <c r="Z11" i="454" s="1"/>
  <c r="Z817" i="454" s="1"/>
  <c r="T12" i="454"/>
  <c r="T11" i="454" s="1"/>
  <c r="T817" i="454" s="1"/>
  <c r="AC262" i="454"/>
  <c r="M247" i="454"/>
  <c r="G247" i="454"/>
  <c r="G11" i="454" s="1"/>
  <c r="G817" i="454" s="1"/>
  <c r="G1136" i="454" s="1"/>
  <c r="X11" i="454"/>
  <c r="X817" i="454" s="1"/>
  <c r="AB225" i="454"/>
  <c r="AB955" i="454"/>
  <c r="Q821" i="454"/>
  <c r="Q820" i="454" s="1"/>
  <c r="Q1104" i="454" s="1"/>
  <c r="AB1002" i="454"/>
  <c r="AB151" i="454"/>
  <c r="AB52" i="454"/>
  <c r="O820" i="454"/>
  <c r="O1104" i="454" s="1"/>
  <c r="Z820" i="454"/>
  <c r="Z1104" i="454" s="1"/>
  <c r="U12" i="454"/>
  <c r="U11" i="454" s="1"/>
  <c r="U817" i="454" s="1"/>
  <c r="U1136" i="454" s="1"/>
  <c r="P12" i="454"/>
  <c r="P11" i="454" s="1"/>
  <c r="P817" i="454" s="1"/>
  <c r="AB758" i="454"/>
  <c r="AB1016" i="454"/>
  <c r="AA697" i="454"/>
  <c r="AB901" i="454"/>
  <c r="AB617" i="454"/>
  <c r="AB707" i="454"/>
  <c r="W11" i="454"/>
  <c r="W817" i="454" s="1"/>
  <c r="W1136" i="454" s="1"/>
  <c r="S191" i="454"/>
  <c r="AA191" i="454" s="1"/>
  <c r="AB191" i="454" s="1"/>
  <c r="AA206" i="454"/>
  <c r="AB206" i="454" s="1"/>
  <c r="H11" i="454"/>
  <c r="H817" i="454" s="1"/>
  <c r="H1136" i="454" s="1"/>
  <c r="AB981" i="454"/>
  <c r="AB1015" i="454"/>
  <c r="O11" i="454"/>
  <c r="O817" i="454" s="1"/>
  <c r="O1136" i="454" s="1"/>
  <c r="AB976" i="454"/>
  <c r="Y11" i="454"/>
  <c r="Y817" i="454" s="1"/>
  <c r="Y1136" i="454" s="1"/>
  <c r="P821" i="454"/>
  <c r="P820" i="454" s="1"/>
  <c r="P1104" i="454" s="1"/>
  <c r="AB861" i="454"/>
  <c r="I11" i="454"/>
  <c r="I817" i="454" s="1"/>
  <c r="I1136" i="454" s="1"/>
  <c r="S1000" i="454"/>
  <c r="AA1000" i="454" s="1"/>
  <c r="AB980" i="454"/>
  <c r="Q11" i="454"/>
  <c r="R697" i="454"/>
  <c r="F11" i="454"/>
  <c r="F817" i="454" s="1"/>
  <c r="F1136" i="454" s="1"/>
  <c r="AA696" i="454"/>
  <c r="X821" i="454"/>
  <c r="X820" i="454" s="1"/>
  <c r="X1104" i="454" s="1"/>
  <c r="L696" i="454"/>
  <c r="R696" i="454" s="1"/>
  <c r="AA1113" i="454"/>
  <c r="S1112" i="454"/>
  <c r="P170" i="456"/>
  <c r="Z122" i="456"/>
  <c r="P119" i="456"/>
  <c r="P176" i="456" s="1"/>
  <c r="Z5" i="456"/>
  <c r="J176" i="456"/>
  <c r="N11" i="454"/>
  <c r="N817" i="454" s="1"/>
  <c r="N1136" i="454" s="1"/>
  <c r="AB902" i="454"/>
  <c r="L1114" i="454"/>
  <c r="R1115" i="454"/>
  <c r="AB1115" i="454" s="1"/>
  <c r="R1121" i="454"/>
  <c r="AB1121" i="454" s="1"/>
  <c r="L1120" i="454"/>
  <c r="R1120" i="454" s="1"/>
  <c r="AB1120" i="454" s="1"/>
  <c r="AB480" i="454"/>
  <c r="AB80" i="454"/>
  <c r="D1114" i="454"/>
  <c r="S348" i="454"/>
  <c r="AA348" i="454" s="1"/>
  <c r="AA349" i="454"/>
  <c r="R143" i="454"/>
  <c r="AB143" i="454" s="1"/>
  <c r="R255" i="454"/>
  <c r="AB255" i="454" s="1"/>
  <c r="L254" i="454"/>
  <c r="AA254" i="454"/>
  <c r="R79" i="454"/>
  <c r="AB79" i="454" s="1"/>
  <c r="L30" i="454"/>
  <c r="AA223" i="454"/>
  <c r="S222" i="454"/>
  <c r="L851" i="454"/>
  <c r="R852" i="454"/>
  <c r="AB852" i="454" s="1"/>
  <c r="L223" i="454"/>
  <c r="R224" i="454"/>
  <c r="AB224" i="454" s="1"/>
  <c r="D720" i="454"/>
  <c r="R954" i="454"/>
  <c r="AB954" i="454" s="1"/>
  <c r="D851" i="454"/>
  <c r="T1135" i="454"/>
  <c r="D222" i="454"/>
  <c r="AA722" i="454"/>
  <c r="S721" i="454"/>
  <c r="AB928" i="454"/>
  <c r="D920" i="454"/>
  <c r="D1000" i="454"/>
  <c r="D343" i="454"/>
  <c r="AB611" i="454"/>
  <c r="L348" i="454"/>
  <c r="R348" i="454" s="1"/>
  <c r="R349" i="454"/>
  <c r="L720" i="454"/>
  <c r="D611" i="454"/>
  <c r="L1000" i="454"/>
  <c r="R1000" i="454" s="1"/>
  <c r="R1001" i="454"/>
  <c r="AB1001" i="454" s="1"/>
  <c r="R884" i="454"/>
  <c r="AB884" i="454" s="1"/>
  <c r="M835" i="454"/>
  <c r="M822" i="454" s="1"/>
  <c r="M821" i="454" s="1"/>
  <c r="M820" i="454" s="1"/>
  <c r="M1104" i="454" s="1"/>
  <c r="AA30" i="454"/>
  <c r="S13" i="454"/>
  <c r="AA723" i="454"/>
  <c r="R344" i="454"/>
  <c r="AB344" i="454" s="1"/>
  <c r="L343" i="454"/>
  <c r="R343" i="454" s="1"/>
  <c r="AB343" i="454" s="1"/>
  <c r="Q722" i="454"/>
  <c r="R723" i="454"/>
  <c r="AB354" i="454"/>
  <c r="AA835" i="454"/>
  <c r="S822" i="454"/>
  <c r="S927" i="454"/>
  <c r="AB612" i="454"/>
  <c r="O867" i="5"/>
  <c r="O868" i="5"/>
  <c r="D869" i="5"/>
  <c r="D862" i="5" s="1"/>
  <c r="E869" i="5"/>
  <c r="E862" i="5" s="1"/>
  <c r="F869" i="5"/>
  <c r="F862" i="5" s="1"/>
  <c r="G869" i="5"/>
  <c r="G862" i="5" s="1"/>
  <c r="H869" i="5"/>
  <c r="H862" i="5" s="1"/>
  <c r="I869" i="5"/>
  <c r="I862" i="5" s="1"/>
  <c r="J869" i="5"/>
  <c r="J862" i="5" s="1"/>
  <c r="K869" i="5"/>
  <c r="K862" i="5" s="1"/>
  <c r="L869" i="5"/>
  <c r="L862" i="5" s="1"/>
  <c r="M869" i="5"/>
  <c r="M862" i="5" s="1"/>
  <c r="N869" i="5"/>
  <c r="N862" i="5" s="1"/>
  <c r="C869" i="5"/>
  <c r="C70" i="5"/>
  <c r="C69" i="5"/>
  <c r="C68" i="5"/>
  <c r="C66" i="5"/>
  <c r="R817" i="457" l="1"/>
  <c r="R1136" i="457" s="1"/>
  <c r="AB11" i="457"/>
  <c r="V1136" i="454"/>
  <c r="AB348" i="454"/>
  <c r="D247" i="454"/>
  <c r="M11" i="454"/>
  <c r="M817" i="454" s="1"/>
  <c r="M1136" i="454" s="1"/>
  <c r="P1136" i="454"/>
  <c r="T1136" i="454"/>
  <c r="AC225" i="454"/>
  <c r="L247" i="454"/>
  <c r="R247" i="454" s="1"/>
  <c r="Z1136" i="454"/>
  <c r="S247" i="454"/>
  <c r="AA247" i="454" s="1"/>
  <c r="AB349" i="454"/>
  <c r="AB696" i="454"/>
  <c r="AB697" i="454"/>
  <c r="X1136" i="454"/>
  <c r="AB1000" i="454"/>
  <c r="AB723" i="454"/>
  <c r="C862" i="5"/>
  <c r="E869" i="454"/>
  <c r="K869" i="454" s="1"/>
  <c r="AC869" i="454" s="1"/>
  <c r="S1111" i="454"/>
  <c r="AA1112" i="454"/>
  <c r="Z119" i="456"/>
  <c r="AA5" i="456"/>
  <c r="AA122" i="456"/>
  <c r="Z170" i="456"/>
  <c r="AA170" i="456" s="1"/>
  <c r="D1113" i="454"/>
  <c r="L1113" i="454"/>
  <c r="R1114" i="454"/>
  <c r="AB1114" i="454" s="1"/>
  <c r="AA822" i="454"/>
  <c r="D909" i="454"/>
  <c r="D835" i="454"/>
  <c r="D719" i="454"/>
  <c r="R851" i="454"/>
  <c r="AB851" i="454" s="1"/>
  <c r="L835" i="454"/>
  <c r="R254" i="454"/>
  <c r="AB254" i="454" s="1"/>
  <c r="AA13" i="454"/>
  <c r="L719" i="454"/>
  <c r="R30" i="454"/>
  <c r="AB30" i="454" s="1"/>
  <c r="L13" i="454"/>
  <c r="S720" i="454"/>
  <c r="AA721" i="454"/>
  <c r="R953" i="454"/>
  <c r="AB953" i="454" s="1"/>
  <c r="L927" i="454"/>
  <c r="S221" i="454"/>
  <c r="AA222" i="454"/>
  <c r="D221" i="454"/>
  <c r="AA927" i="454"/>
  <c r="S920" i="454"/>
  <c r="Q721" i="454"/>
  <c r="R722" i="454"/>
  <c r="AB722" i="454" s="1"/>
  <c r="R223" i="454"/>
  <c r="AB223" i="454" s="1"/>
  <c r="L222" i="454"/>
  <c r="AB817" i="457" l="1"/>
  <c r="AC11" i="457"/>
  <c r="S1135" i="454"/>
  <c r="AA1111" i="454"/>
  <c r="AA1135" i="454" s="1"/>
  <c r="E862" i="454"/>
  <c r="K862" i="454" s="1"/>
  <c r="AC862" i="454" s="1"/>
  <c r="Z176" i="456"/>
  <c r="AA176" i="456" s="1"/>
  <c r="AA119" i="456"/>
  <c r="L1112" i="454"/>
  <c r="R1113" i="454"/>
  <c r="AB1113" i="454" s="1"/>
  <c r="AB247" i="454"/>
  <c r="D1112" i="454"/>
  <c r="AA920" i="454"/>
  <c r="S909" i="454"/>
  <c r="R927" i="454"/>
  <c r="AB927" i="454" s="1"/>
  <c r="L920" i="454"/>
  <c r="R13" i="454"/>
  <c r="AB13" i="454" s="1"/>
  <c r="R835" i="454"/>
  <c r="AB835" i="454" s="1"/>
  <c r="L822" i="454"/>
  <c r="D822" i="454"/>
  <c r="Q720" i="454"/>
  <c r="R721" i="454"/>
  <c r="AB721" i="454" s="1"/>
  <c r="D142" i="454"/>
  <c r="AA221" i="454"/>
  <c r="S142" i="454"/>
  <c r="S719" i="454"/>
  <c r="AA719" i="454" s="1"/>
  <c r="AA720" i="454"/>
  <c r="L221" i="454"/>
  <c r="R222" i="454"/>
  <c r="AB222" i="454" s="1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9" i="5"/>
  <c r="O1080" i="5"/>
  <c r="O1020" i="5"/>
  <c r="C1018" i="5"/>
  <c r="O958" i="5"/>
  <c r="O959" i="5"/>
  <c r="O960" i="5"/>
  <c r="O961" i="5"/>
  <c r="O895" i="5"/>
  <c r="D892" i="5"/>
  <c r="D885" i="5" s="1"/>
  <c r="E892" i="5"/>
  <c r="E885" i="5" s="1"/>
  <c r="F892" i="5"/>
  <c r="F885" i="5" s="1"/>
  <c r="G892" i="5"/>
  <c r="G885" i="5" s="1"/>
  <c r="H892" i="5"/>
  <c r="H885" i="5" s="1"/>
  <c r="I892" i="5"/>
  <c r="I885" i="5" s="1"/>
  <c r="J892" i="5"/>
  <c r="J885" i="5" s="1"/>
  <c r="K892" i="5"/>
  <c r="K885" i="5" s="1"/>
  <c r="L892" i="5"/>
  <c r="L885" i="5" s="1"/>
  <c r="M892" i="5"/>
  <c r="M885" i="5" s="1"/>
  <c r="N892" i="5"/>
  <c r="N885" i="5" s="1"/>
  <c r="C892" i="5"/>
  <c r="C885" i="5" s="1"/>
  <c r="C880" i="5"/>
  <c r="C873" i="5" s="1"/>
  <c r="O888" i="5"/>
  <c r="O889" i="5"/>
  <c r="O891" i="5"/>
  <c r="O882" i="5"/>
  <c r="O883" i="5"/>
  <c r="O874" i="5"/>
  <c r="O875" i="5"/>
  <c r="O876" i="5"/>
  <c r="O877" i="5"/>
  <c r="O878" i="5"/>
  <c r="O879" i="5"/>
  <c r="O881" i="5"/>
  <c r="O871" i="5"/>
  <c r="O854" i="5"/>
  <c r="O855" i="5"/>
  <c r="O856" i="5"/>
  <c r="O857" i="5"/>
  <c r="O859" i="5"/>
  <c r="O860" i="5"/>
  <c r="D858" i="5"/>
  <c r="E858" i="5"/>
  <c r="F858" i="5"/>
  <c r="G858" i="5"/>
  <c r="H858" i="5"/>
  <c r="I858" i="5"/>
  <c r="J858" i="5"/>
  <c r="K858" i="5"/>
  <c r="L858" i="5"/>
  <c r="M858" i="5"/>
  <c r="N858" i="5"/>
  <c r="C858" i="5"/>
  <c r="O833" i="5"/>
  <c r="C831" i="5"/>
  <c r="O826" i="5"/>
  <c r="O827" i="5"/>
  <c r="O828" i="5"/>
  <c r="O829" i="5"/>
  <c r="O830" i="5"/>
  <c r="AB1136" i="457" l="1"/>
  <c r="AC1136" i="457" s="1"/>
  <c r="AC817" i="457"/>
  <c r="C824" i="5"/>
  <c r="E858" i="454"/>
  <c r="K858" i="454" s="1"/>
  <c r="AC858" i="454" s="1"/>
  <c r="O858" i="5"/>
  <c r="C853" i="5"/>
  <c r="E892" i="454"/>
  <c r="K892" i="454" s="1"/>
  <c r="AC892" i="454" s="1"/>
  <c r="O892" i="5"/>
  <c r="E1078" i="454"/>
  <c r="K1078" i="454" s="1"/>
  <c r="C861" i="5"/>
  <c r="D1111" i="454"/>
  <c r="R1112" i="454"/>
  <c r="AB1112" i="454" s="1"/>
  <c r="L1111" i="454"/>
  <c r="R221" i="454"/>
  <c r="AB221" i="454" s="1"/>
  <c r="L142" i="454"/>
  <c r="Q719" i="454"/>
  <c r="R720" i="454"/>
  <c r="AB720" i="454" s="1"/>
  <c r="AA909" i="454"/>
  <c r="S821" i="454"/>
  <c r="L909" i="454"/>
  <c r="R909" i="454" s="1"/>
  <c r="R920" i="454"/>
  <c r="AB920" i="454" s="1"/>
  <c r="D12" i="454"/>
  <c r="D821" i="454"/>
  <c r="AA142" i="454"/>
  <c r="S12" i="454"/>
  <c r="R822" i="454"/>
  <c r="AB822" i="454" s="1"/>
  <c r="AB909" i="454" l="1"/>
  <c r="L821" i="454"/>
  <c r="L820" i="454" s="1"/>
  <c r="L1135" i="454"/>
  <c r="R1111" i="454"/>
  <c r="D1135" i="454"/>
  <c r="Q817" i="454"/>
  <c r="Q1136" i="454" s="1"/>
  <c r="R719" i="454"/>
  <c r="AB719" i="454" s="1"/>
  <c r="R821" i="454"/>
  <c r="AA12" i="454"/>
  <c r="S11" i="454"/>
  <c r="D11" i="454"/>
  <c r="S820" i="454"/>
  <c r="AA821" i="454"/>
  <c r="R142" i="454"/>
  <c r="AB142" i="454" s="1"/>
  <c r="L12" i="454"/>
  <c r="D820" i="454"/>
  <c r="O971" i="5"/>
  <c r="C261" i="5"/>
  <c r="O686" i="5"/>
  <c r="O678" i="5"/>
  <c r="O613" i="5"/>
  <c r="O614" i="5"/>
  <c r="O615" i="5"/>
  <c r="O616" i="5"/>
  <c r="O619" i="5"/>
  <c r="O620" i="5"/>
  <c r="O622" i="5"/>
  <c r="O624" i="5"/>
  <c r="O626" i="5"/>
  <c r="O628" i="5"/>
  <c r="O629" i="5"/>
  <c r="O631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9" i="5"/>
  <c r="O680" i="5"/>
  <c r="O681" i="5"/>
  <c r="O682" i="5"/>
  <c r="O683" i="5"/>
  <c r="O684" i="5"/>
  <c r="O685" i="5"/>
  <c r="O687" i="5"/>
  <c r="O688" i="5"/>
  <c r="O689" i="5"/>
  <c r="O690" i="5"/>
  <c r="O691" i="5"/>
  <c r="O692" i="5"/>
  <c r="O693" i="5"/>
  <c r="O694" i="5"/>
  <c r="O695" i="5"/>
  <c r="O699" i="5"/>
  <c r="O700" i="5"/>
  <c r="O701" i="5"/>
  <c r="O702" i="5"/>
  <c r="O709" i="5"/>
  <c r="O710" i="5"/>
  <c r="O711" i="5"/>
  <c r="O712" i="5"/>
  <c r="O714" i="5"/>
  <c r="O715" i="5"/>
  <c r="O716" i="5"/>
  <c r="O717" i="5"/>
  <c r="O718" i="5"/>
  <c r="O726" i="5"/>
  <c r="O727" i="5"/>
  <c r="O728" i="5"/>
  <c r="O730" i="5"/>
  <c r="O732" i="5"/>
  <c r="O734" i="5"/>
  <c r="O736" i="5"/>
  <c r="O738" i="5"/>
  <c r="O740" i="5"/>
  <c r="O742" i="5"/>
  <c r="O744" i="5"/>
  <c r="O747" i="5"/>
  <c r="O748" i="5"/>
  <c r="O750" i="5"/>
  <c r="O752" i="5"/>
  <c r="O754" i="5"/>
  <c r="O755" i="5"/>
  <c r="O756" i="5"/>
  <c r="O757" i="5"/>
  <c r="O760" i="5"/>
  <c r="O762" i="5"/>
  <c r="O764" i="5"/>
  <c r="O766" i="5"/>
  <c r="O768" i="5"/>
  <c r="C632" i="5"/>
  <c r="D618" i="5"/>
  <c r="E618" i="5"/>
  <c r="F618" i="5"/>
  <c r="G618" i="5"/>
  <c r="H618" i="5"/>
  <c r="I618" i="5"/>
  <c r="J618" i="5"/>
  <c r="K618" i="5"/>
  <c r="L618" i="5"/>
  <c r="M618" i="5"/>
  <c r="N618" i="5"/>
  <c r="C618" i="5"/>
  <c r="O585" i="5"/>
  <c r="D584" i="5"/>
  <c r="E584" i="5"/>
  <c r="F584" i="5"/>
  <c r="G584" i="5"/>
  <c r="H584" i="5"/>
  <c r="I584" i="5"/>
  <c r="J584" i="5"/>
  <c r="K584" i="5"/>
  <c r="L584" i="5"/>
  <c r="M584" i="5"/>
  <c r="N584" i="5"/>
  <c r="C584" i="5"/>
  <c r="O309" i="5"/>
  <c r="O310" i="5"/>
  <c r="O311" i="5"/>
  <c r="O312" i="5"/>
  <c r="O313" i="5"/>
  <c r="O314" i="5"/>
  <c r="O315" i="5"/>
  <c r="O316" i="5"/>
  <c r="O335" i="5"/>
  <c r="O336" i="5"/>
  <c r="O293" i="5"/>
  <c r="O219" i="5"/>
  <c r="C217" i="5"/>
  <c r="O584" i="5" l="1"/>
  <c r="E584" i="454"/>
  <c r="K584" i="454" s="1"/>
  <c r="AC584" i="454" s="1"/>
  <c r="O618" i="5"/>
  <c r="E618" i="454"/>
  <c r="K618" i="454" s="1"/>
  <c r="C255" i="5"/>
  <c r="AB821" i="454"/>
  <c r="R1135" i="454"/>
  <c r="AB1111" i="454"/>
  <c r="D817" i="454"/>
  <c r="L1104" i="454"/>
  <c r="R820" i="454"/>
  <c r="D1104" i="454"/>
  <c r="S817" i="454"/>
  <c r="AA11" i="454"/>
  <c r="AA817" i="454" s="1"/>
  <c r="R12" i="454"/>
  <c r="AB12" i="454" s="1"/>
  <c r="L11" i="454"/>
  <c r="S1104" i="454"/>
  <c r="AA820" i="454"/>
  <c r="AA1104" i="454" s="1"/>
  <c r="AA1136" i="454" l="1"/>
  <c r="AB1135" i="454"/>
  <c r="R1104" i="454"/>
  <c r="AB820" i="454"/>
  <c r="S1136" i="454"/>
  <c r="L817" i="454"/>
  <c r="L1136" i="454" s="1"/>
  <c r="R11" i="454"/>
  <c r="D1136" i="454"/>
  <c r="AB1104" i="454" l="1"/>
  <c r="R817" i="454"/>
  <c r="R1136" i="454" s="1"/>
  <c r="AB11" i="454"/>
  <c r="AB817" i="454" l="1"/>
  <c r="O967" i="5"/>
  <c r="O962" i="5"/>
  <c r="O964" i="5"/>
  <c r="O965" i="5"/>
  <c r="O966" i="5"/>
  <c r="E955" i="454" l="1"/>
  <c r="K955" i="454" s="1"/>
  <c r="AC955" i="454" s="1"/>
  <c r="AB1136" i="454"/>
  <c r="C954" i="5"/>
  <c r="C953" i="5" s="1"/>
  <c r="E954" i="454" l="1"/>
  <c r="K954" i="454" s="1"/>
  <c r="AC954" i="454" s="1"/>
  <c r="D905" i="5" l="1"/>
  <c r="E905" i="5"/>
  <c r="F905" i="5"/>
  <c r="G905" i="5"/>
  <c r="H905" i="5"/>
  <c r="I905" i="5"/>
  <c r="J905" i="5"/>
  <c r="K905" i="5"/>
  <c r="L905" i="5"/>
  <c r="M905" i="5"/>
  <c r="N905" i="5"/>
  <c r="O905" i="5" s="1"/>
  <c r="D1018" i="5"/>
  <c r="E1018" i="5"/>
  <c r="F1018" i="5"/>
  <c r="G1018" i="5"/>
  <c r="H1018" i="5"/>
  <c r="I1018" i="5"/>
  <c r="J1018" i="5"/>
  <c r="K1018" i="5"/>
  <c r="L1018" i="5"/>
  <c r="M1018" i="5"/>
  <c r="N1018" i="5"/>
  <c r="O1019" i="5"/>
  <c r="O1021" i="5"/>
  <c r="O1024" i="5"/>
  <c r="O1026" i="5"/>
  <c r="D1023" i="5"/>
  <c r="E1023" i="5"/>
  <c r="F1023" i="5"/>
  <c r="G1023" i="5"/>
  <c r="H1023" i="5"/>
  <c r="I1023" i="5"/>
  <c r="J1023" i="5"/>
  <c r="K1023" i="5"/>
  <c r="L1023" i="5"/>
  <c r="M1023" i="5"/>
  <c r="C1023" i="5"/>
  <c r="D977" i="5"/>
  <c r="E977" i="5"/>
  <c r="F977" i="5"/>
  <c r="G977" i="5"/>
  <c r="H977" i="5"/>
  <c r="I977" i="5"/>
  <c r="J977" i="5"/>
  <c r="K977" i="5"/>
  <c r="L977" i="5"/>
  <c r="M977" i="5"/>
  <c r="N977" i="5"/>
  <c r="C977" i="5"/>
  <c r="O956" i="5"/>
  <c r="O957" i="5"/>
  <c r="O978" i="5"/>
  <c r="O979" i="5"/>
  <c r="O983" i="5"/>
  <c r="O984" i="5"/>
  <c r="O986" i="5"/>
  <c r="O988" i="5"/>
  <c r="O989" i="5"/>
  <c r="O991" i="5"/>
  <c r="D949" i="5"/>
  <c r="E949" i="5"/>
  <c r="F949" i="5"/>
  <c r="G949" i="5"/>
  <c r="H949" i="5"/>
  <c r="I949" i="5"/>
  <c r="J949" i="5"/>
  <c r="K949" i="5"/>
  <c r="L949" i="5"/>
  <c r="M949" i="5"/>
  <c r="N949" i="5"/>
  <c r="O949" i="5" s="1"/>
  <c r="D941" i="5"/>
  <c r="D940" i="5" s="1"/>
  <c r="E941" i="5"/>
  <c r="E940" i="5" s="1"/>
  <c r="F941" i="5"/>
  <c r="F940" i="5" s="1"/>
  <c r="G941" i="5"/>
  <c r="G940" i="5" s="1"/>
  <c r="H941" i="5"/>
  <c r="H940" i="5" s="1"/>
  <c r="I941" i="5"/>
  <c r="I940" i="5" s="1"/>
  <c r="J941" i="5"/>
  <c r="J940" i="5" s="1"/>
  <c r="K941" i="5"/>
  <c r="K940" i="5" s="1"/>
  <c r="L941" i="5"/>
  <c r="L940" i="5" s="1"/>
  <c r="M941" i="5"/>
  <c r="M940" i="5" s="1"/>
  <c r="N941" i="5"/>
  <c r="N940" i="5" s="1"/>
  <c r="O942" i="5"/>
  <c r="O1004" i="5"/>
  <c r="O1005" i="5"/>
  <c r="O1007" i="5"/>
  <c r="O1008" i="5"/>
  <c r="O1009" i="5"/>
  <c r="O863" i="5"/>
  <c r="O865" i="5"/>
  <c r="O866" i="5"/>
  <c r="O870" i="5"/>
  <c r="O872" i="5"/>
  <c r="O886" i="5"/>
  <c r="O893" i="5"/>
  <c r="O894" i="5"/>
  <c r="O897" i="5"/>
  <c r="O898" i="5"/>
  <c r="O900" i="5"/>
  <c r="O912" i="5"/>
  <c r="O913" i="5"/>
  <c r="O914" i="5"/>
  <c r="O915" i="5"/>
  <c r="O919" i="5"/>
  <c r="O923" i="5"/>
  <c r="O924" i="5"/>
  <c r="O925" i="5"/>
  <c r="O926" i="5"/>
  <c r="O930" i="5"/>
  <c r="O931" i="5"/>
  <c r="O932" i="5"/>
  <c r="O934" i="5"/>
  <c r="O935" i="5"/>
  <c r="O1013" i="5"/>
  <c r="O1014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D880" i="5"/>
  <c r="E880" i="5"/>
  <c r="F880" i="5"/>
  <c r="G880" i="5"/>
  <c r="G873" i="5" s="1"/>
  <c r="G861" i="5" s="1"/>
  <c r="H880" i="5"/>
  <c r="I880" i="5"/>
  <c r="J880" i="5"/>
  <c r="K880" i="5"/>
  <c r="L880" i="5"/>
  <c r="M880" i="5"/>
  <c r="N880" i="5"/>
  <c r="O848" i="5"/>
  <c r="O849" i="5"/>
  <c r="O850" i="5"/>
  <c r="D847" i="5"/>
  <c r="E847" i="5"/>
  <c r="F847" i="5"/>
  <c r="G847" i="5"/>
  <c r="H847" i="5"/>
  <c r="I847" i="5"/>
  <c r="J847" i="5"/>
  <c r="K847" i="5"/>
  <c r="L847" i="5"/>
  <c r="M847" i="5"/>
  <c r="N847" i="5"/>
  <c r="C847" i="5"/>
  <c r="O825" i="5"/>
  <c r="O832" i="5"/>
  <c r="O834" i="5"/>
  <c r="D831" i="5"/>
  <c r="E831" i="5"/>
  <c r="F831" i="5"/>
  <c r="G831" i="5"/>
  <c r="H831" i="5"/>
  <c r="I831" i="5"/>
  <c r="J831" i="5"/>
  <c r="K831" i="5"/>
  <c r="L831" i="5"/>
  <c r="M831" i="5"/>
  <c r="N831" i="5"/>
  <c r="N824" i="5" s="1"/>
  <c r="O595" i="5"/>
  <c r="O596" i="5"/>
  <c r="O598" i="5"/>
  <c r="O600" i="5"/>
  <c r="O602" i="5"/>
  <c r="O604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O583" i="5"/>
  <c r="D582" i="5"/>
  <c r="E582" i="5"/>
  <c r="F582" i="5"/>
  <c r="G582" i="5"/>
  <c r="H582" i="5"/>
  <c r="I582" i="5"/>
  <c r="J582" i="5"/>
  <c r="K582" i="5"/>
  <c r="L582" i="5"/>
  <c r="M582" i="5"/>
  <c r="N582" i="5"/>
  <c r="C582" i="5"/>
  <c r="O547" i="5"/>
  <c r="O548" i="5"/>
  <c r="D546" i="5"/>
  <c r="E546" i="5"/>
  <c r="F546" i="5"/>
  <c r="G546" i="5"/>
  <c r="H546" i="5"/>
  <c r="I546" i="5"/>
  <c r="J546" i="5"/>
  <c r="K546" i="5"/>
  <c r="L546" i="5"/>
  <c r="M546" i="5"/>
  <c r="N546" i="5"/>
  <c r="C546" i="5"/>
  <c r="K521" i="5"/>
  <c r="O523" i="5"/>
  <c r="D521" i="5"/>
  <c r="E521" i="5"/>
  <c r="F521" i="5"/>
  <c r="G521" i="5"/>
  <c r="H521" i="5"/>
  <c r="I521" i="5"/>
  <c r="J521" i="5"/>
  <c r="L521" i="5"/>
  <c r="M521" i="5"/>
  <c r="N521" i="5"/>
  <c r="C521" i="5"/>
  <c r="O503" i="5"/>
  <c r="O504" i="5"/>
  <c r="O505" i="5"/>
  <c r="O506" i="5"/>
  <c r="C501" i="5"/>
  <c r="O478" i="5"/>
  <c r="O479" i="5"/>
  <c r="C473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6" i="5"/>
  <c r="O417" i="5"/>
  <c r="O418" i="5"/>
  <c r="O420" i="5"/>
  <c r="O421" i="5"/>
  <c r="O422" i="5"/>
  <c r="D415" i="5"/>
  <c r="E415" i="5"/>
  <c r="F415" i="5"/>
  <c r="G415" i="5"/>
  <c r="H415" i="5"/>
  <c r="I415" i="5"/>
  <c r="J415" i="5"/>
  <c r="K415" i="5"/>
  <c r="L415" i="5"/>
  <c r="M415" i="5"/>
  <c r="N415" i="5"/>
  <c r="C415" i="5"/>
  <c r="O424" i="5"/>
  <c r="O425" i="5"/>
  <c r="O426" i="5"/>
  <c r="O427" i="5"/>
  <c r="D419" i="5"/>
  <c r="E419" i="5"/>
  <c r="F419" i="5"/>
  <c r="G419" i="5"/>
  <c r="H419" i="5"/>
  <c r="I419" i="5"/>
  <c r="J419" i="5"/>
  <c r="K419" i="5"/>
  <c r="L419" i="5"/>
  <c r="M419" i="5"/>
  <c r="N419" i="5"/>
  <c r="C419" i="5"/>
  <c r="C423" i="5"/>
  <c r="O358" i="5"/>
  <c r="O359" i="5"/>
  <c r="O360" i="5"/>
  <c r="O362" i="5"/>
  <c r="D357" i="5"/>
  <c r="E357" i="5"/>
  <c r="F357" i="5"/>
  <c r="G357" i="5"/>
  <c r="H357" i="5"/>
  <c r="I357" i="5"/>
  <c r="J357" i="5"/>
  <c r="K357" i="5"/>
  <c r="L357" i="5"/>
  <c r="M357" i="5"/>
  <c r="N357" i="5"/>
  <c r="C357" i="5"/>
  <c r="O256" i="5"/>
  <c r="O257" i="5"/>
  <c r="O258" i="5"/>
  <c r="O259" i="5"/>
  <c r="O260" i="5"/>
  <c r="E521" i="454" l="1"/>
  <c r="K521" i="454" s="1"/>
  <c r="AC521" i="454" s="1"/>
  <c r="E546" i="454"/>
  <c r="K546" i="454" s="1"/>
  <c r="AC546" i="454" s="1"/>
  <c r="E582" i="454"/>
  <c r="K582" i="454" s="1"/>
  <c r="AC582" i="454" s="1"/>
  <c r="E594" i="454"/>
  <c r="K594" i="454" s="1"/>
  <c r="AC594" i="454" s="1"/>
  <c r="E597" i="454"/>
  <c r="K597" i="454" s="1"/>
  <c r="AC597" i="454" s="1"/>
  <c r="E599" i="454"/>
  <c r="K599" i="454" s="1"/>
  <c r="AC599" i="454" s="1"/>
  <c r="E601" i="454"/>
  <c r="K601" i="454" s="1"/>
  <c r="AC601" i="454" s="1"/>
  <c r="E603" i="454"/>
  <c r="K603" i="454" s="1"/>
  <c r="AC603" i="454" s="1"/>
  <c r="E831" i="454"/>
  <c r="K831" i="454" s="1"/>
  <c r="AC831" i="454" s="1"/>
  <c r="O880" i="5"/>
  <c r="E880" i="454"/>
  <c r="K880" i="454" s="1"/>
  <c r="AC880" i="454" s="1"/>
  <c r="E977" i="454"/>
  <c r="K977" i="454" s="1"/>
  <c r="E357" i="454"/>
  <c r="K357" i="454" s="1"/>
  <c r="AC357" i="454" s="1"/>
  <c r="E419" i="454"/>
  <c r="K419" i="454" s="1"/>
  <c r="AC419" i="454" s="1"/>
  <c r="E415" i="454"/>
  <c r="K415" i="454" s="1"/>
  <c r="AC415" i="454" s="1"/>
  <c r="E847" i="454"/>
  <c r="K847" i="454" s="1"/>
  <c r="AC847" i="454" s="1"/>
  <c r="E941" i="454"/>
  <c r="K941" i="454" s="1"/>
  <c r="AC941" i="454" s="1"/>
  <c r="E949" i="454"/>
  <c r="K949" i="454" s="1"/>
  <c r="AC949" i="454" s="1"/>
  <c r="E1023" i="454"/>
  <c r="K1023" i="454" s="1"/>
  <c r="AC1023" i="454" s="1"/>
  <c r="E1018" i="454"/>
  <c r="K1018" i="454" s="1"/>
  <c r="AC1018" i="454" s="1"/>
  <c r="E905" i="454"/>
  <c r="K905" i="454" s="1"/>
  <c r="AC905" i="454" s="1"/>
  <c r="O415" i="5"/>
  <c r="C1022" i="5"/>
  <c r="O869" i="5"/>
  <c r="O419" i="5"/>
  <c r="O1023" i="5"/>
  <c r="O977" i="5"/>
  <c r="O1018" i="5"/>
  <c r="O955" i="5"/>
  <c r="O941" i="5"/>
  <c r="O594" i="5"/>
  <c r="O597" i="5"/>
  <c r="O599" i="5"/>
  <c r="O601" i="5"/>
  <c r="O603" i="5"/>
  <c r="O831" i="5"/>
  <c r="O582" i="5"/>
  <c r="E940" i="454" l="1"/>
  <c r="K940" i="454" s="1"/>
  <c r="AC940" i="454" s="1"/>
  <c r="D933" i="5" l="1"/>
  <c r="E933" i="5"/>
  <c r="F933" i="5"/>
  <c r="G933" i="5"/>
  <c r="H933" i="5"/>
  <c r="I933" i="5"/>
  <c r="J933" i="5"/>
  <c r="K933" i="5"/>
  <c r="L933" i="5"/>
  <c r="M933" i="5"/>
  <c r="N933" i="5"/>
  <c r="E933" i="454" l="1"/>
  <c r="K933" i="454" s="1"/>
  <c r="AC933" i="454" s="1"/>
  <c r="O933" i="5"/>
  <c r="O1129" i="5" l="1"/>
  <c r="O1130" i="5"/>
  <c r="O1131" i="5"/>
  <c r="O1133" i="5"/>
  <c r="D1127" i="5"/>
  <c r="E1127" i="5"/>
  <c r="F1127" i="5"/>
  <c r="G1127" i="5"/>
  <c r="H1127" i="5"/>
  <c r="I1127" i="5"/>
  <c r="J1127" i="5"/>
  <c r="K1127" i="5"/>
  <c r="L1127" i="5"/>
  <c r="M1127" i="5"/>
  <c r="N1127" i="5"/>
  <c r="C1127" i="5"/>
  <c r="O593" i="5"/>
  <c r="O607" i="5"/>
  <c r="O608" i="5"/>
  <c r="O610" i="5"/>
  <c r="D592" i="5"/>
  <c r="E592" i="5"/>
  <c r="F592" i="5"/>
  <c r="G592" i="5"/>
  <c r="H592" i="5"/>
  <c r="I592" i="5"/>
  <c r="J592" i="5"/>
  <c r="K592" i="5"/>
  <c r="L592" i="5"/>
  <c r="M592" i="5"/>
  <c r="N592" i="5"/>
  <c r="C592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C363" i="5"/>
  <c r="O207" i="5"/>
  <c r="O209" i="5"/>
  <c r="E1127" i="454" l="1"/>
  <c r="K1127" i="454" s="1"/>
  <c r="AC1127" i="454" s="1"/>
  <c r="E592" i="454"/>
  <c r="K592" i="454" s="1"/>
  <c r="AC592" i="454" s="1"/>
  <c r="E698" i="454"/>
  <c r="K698" i="454" s="1"/>
  <c r="AC698" i="454" s="1"/>
  <c r="O698" i="5"/>
  <c r="O592" i="5"/>
  <c r="O196" i="5" l="1"/>
  <c r="O197" i="5"/>
  <c r="O198" i="5"/>
  <c r="O199" i="5"/>
  <c r="C193" i="5"/>
  <c r="C192" i="5" l="1"/>
  <c r="E976" i="5" l="1"/>
  <c r="E975" i="5" s="1"/>
  <c r="F976" i="5"/>
  <c r="F975" i="5" s="1"/>
  <c r="G976" i="5"/>
  <c r="G975" i="5" s="1"/>
  <c r="I976" i="5"/>
  <c r="I975" i="5" s="1"/>
  <c r="J976" i="5"/>
  <c r="J975" i="5" s="1"/>
  <c r="K976" i="5"/>
  <c r="K975" i="5" s="1"/>
  <c r="L976" i="5"/>
  <c r="L975" i="5" s="1"/>
  <c r="M976" i="5"/>
  <c r="M975" i="5" s="1"/>
  <c r="N976" i="5"/>
  <c r="N975" i="5" s="1"/>
  <c r="O333" i="5"/>
  <c r="O334" i="5"/>
  <c r="C976" i="5" l="1"/>
  <c r="D976" i="5"/>
  <c r="H976" i="5"/>
  <c r="E976" i="454" l="1"/>
  <c r="K976" i="454" s="1"/>
  <c r="O976" i="5"/>
  <c r="C975" i="5"/>
  <c r="D975" i="5"/>
  <c r="H975" i="5"/>
  <c r="E975" i="454" l="1"/>
  <c r="K975" i="454" s="1"/>
  <c r="O975" i="5"/>
  <c r="D1012" i="5"/>
  <c r="E1012" i="5"/>
  <c r="F1012" i="5"/>
  <c r="G1012" i="5"/>
  <c r="H1012" i="5"/>
  <c r="I1012" i="5"/>
  <c r="J1012" i="5"/>
  <c r="K1012" i="5"/>
  <c r="L1012" i="5"/>
  <c r="M1012" i="5"/>
  <c r="N1012" i="5"/>
  <c r="C1012" i="5"/>
  <c r="D363" i="5"/>
  <c r="E363" i="5"/>
  <c r="F363" i="5"/>
  <c r="G363" i="5"/>
  <c r="H363" i="5"/>
  <c r="I363" i="5"/>
  <c r="J363" i="5"/>
  <c r="K363" i="5"/>
  <c r="L363" i="5"/>
  <c r="M363" i="5"/>
  <c r="N363" i="5"/>
  <c r="O342" i="5"/>
  <c r="E363" i="454" l="1"/>
  <c r="K363" i="454" s="1"/>
  <c r="AC363" i="454" s="1"/>
  <c r="E339" i="454"/>
  <c r="K339" i="454" s="1"/>
  <c r="AC339" i="454" s="1"/>
  <c r="E1012" i="454"/>
  <c r="K1012" i="454" s="1"/>
  <c r="AC1012" i="454" s="1"/>
  <c r="O1012" i="5"/>
  <c r="C1029" i="5" l="1"/>
  <c r="D1029" i="5"/>
  <c r="D1028" i="5" s="1"/>
  <c r="E1029" i="5"/>
  <c r="E1028" i="5" s="1"/>
  <c r="E1027" i="5" s="1"/>
  <c r="F1029" i="5"/>
  <c r="F1028" i="5" s="1"/>
  <c r="F1027" i="5" s="1"/>
  <c r="G1029" i="5"/>
  <c r="G1028" i="5" s="1"/>
  <c r="G1027" i="5" s="1"/>
  <c r="H1029" i="5"/>
  <c r="H1028" i="5" s="1"/>
  <c r="H1027" i="5" s="1"/>
  <c r="I1029" i="5"/>
  <c r="I1028" i="5" s="1"/>
  <c r="I1027" i="5" s="1"/>
  <c r="J1029" i="5"/>
  <c r="J1028" i="5" s="1"/>
  <c r="J1027" i="5" s="1"/>
  <c r="K1029" i="5"/>
  <c r="K1028" i="5" s="1"/>
  <c r="K1027" i="5" s="1"/>
  <c r="L1029" i="5"/>
  <c r="L1028" i="5" s="1"/>
  <c r="L1027" i="5" s="1"/>
  <c r="M1029" i="5"/>
  <c r="M1028" i="5" s="1"/>
  <c r="M1027" i="5" s="1"/>
  <c r="N1029" i="5"/>
  <c r="N1028" i="5" s="1"/>
  <c r="N1027" i="5" s="1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D1084" i="5"/>
  <c r="D1083" i="5" s="1"/>
  <c r="E1084" i="5"/>
  <c r="E1083" i="5" s="1"/>
  <c r="E1082" i="5" s="1"/>
  <c r="E1081" i="5" s="1"/>
  <c r="F1084" i="5"/>
  <c r="F1083" i="5" s="1"/>
  <c r="F1082" i="5" s="1"/>
  <c r="F1081" i="5" s="1"/>
  <c r="G1084" i="5"/>
  <c r="G1083" i="5" s="1"/>
  <c r="G1082" i="5" s="1"/>
  <c r="G1081" i="5" s="1"/>
  <c r="H1084" i="5"/>
  <c r="H1083" i="5" s="1"/>
  <c r="H1082" i="5" s="1"/>
  <c r="H1081" i="5" s="1"/>
  <c r="I1084" i="5"/>
  <c r="I1083" i="5" s="1"/>
  <c r="I1082" i="5" s="1"/>
  <c r="I1081" i="5" s="1"/>
  <c r="J1084" i="5"/>
  <c r="J1083" i="5" s="1"/>
  <c r="J1082" i="5" s="1"/>
  <c r="J1081" i="5" s="1"/>
  <c r="K1084" i="5"/>
  <c r="K1083" i="5" s="1"/>
  <c r="K1082" i="5" s="1"/>
  <c r="K1081" i="5" s="1"/>
  <c r="L1084" i="5"/>
  <c r="L1083" i="5" s="1"/>
  <c r="L1082" i="5" s="1"/>
  <c r="L1081" i="5" s="1"/>
  <c r="M1084" i="5"/>
  <c r="M1083" i="5" s="1"/>
  <c r="M1082" i="5" s="1"/>
  <c r="M1081" i="5" s="1"/>
  <c r="N1084" i="5"/>
  <c r="N1083" i="5" s="1"/>
  <c r="N1082" i="5" s="1"/>
  <c r="N1081" i="5" s="1"/>
  <c r="C1084" i="5"/>
  <c r="E1084" i="454" l="1"/>
  <c r="K1084" i="454" s="1"/>
  <c r="AC1084" i="454" s="1"/>
  <c r="E1029" i="454"/>
  <c r="K1029" i="454" s="1"/>
  <c r="AC1029" i="454" s="1"/>
  <c r="O1029" i="5"/>
  <c r="D1027" i="5"/>
  <c r="D1082" i="5"/>
  <c r="C1083" i="5"/>
  <c r="O1078" i="5"/>
  <c r="O1084" i="5"/>
  <c r="E1083" i="454" l="1"/>
  <c r="K1083" i="454" s="1"/>
  <c r="AC1083" i="454" s="1"/>
  <c r="D1081" i="5"/>
  <c r="C1082" i="5"/>
  <c r="O1083" i="5"/>
  <c r="G524" i="5"/>
  <c r="G519" i="5"/>
  <c r="G517" i="5"/>
  <c r="G515" i="5"/>
  <c r="G513" i="5"/>
  <c r="G510" i="5"/>
  <c r="G507" i="5"/>
  <c r="G501" i="5"/>
  <c r="G496" i="5"/>
  <c r="G490" i="5"/>
  <c r="G487" i="5"/>
  <c r="G483" i="5"/>
  <c r="G481" i="5"/>
  <c r="G473" i="5"/>
  <c r="G432" i="5"/>
  <c r="G423" i="5"/>
  <c r="G361" i="5"/>
  <c r="G350" i="5"/>
  <c r="N771" i="5"/>
  <c r="M771" i="5"/>
  <c r="L771" i="5"/>
  <c r="K771" i="5"/>
  <c r="J771" i="5"/>
  <c r="I771" i="5"/>
  <c r="H771" i="5"/>
  <c r="G771" i="5"/>
  <c r="F771" i="5"/>
  <c r="E771" i="5"/>
  <c r="D771" i="5"/>
  <c r="N769" i="5"/>
  <c r="M769" i="5"/>
  <c r="L769" i="5"/>
  <c r="K769" i="5"/>
  <c r="J769" i="5"/>
  <c r="I769" i="5"/>
  <c r="H769" i="5"/>
  <c r="G769" i="5"/>
  <c r="F769" i="5"/>
  <c r="E769" i="5"/>
  <c r="D769" i="5"/>
  <c r="N767" i="5"/>
  <c r="M767" i="5"/>
  <c r="L767" i="5"/>
  <c r="K767" i="5"/>
  <c r="J767" i="5"/>
  <c r="I767" i="5"/>
  <c r="H767" i="5"/>
  <c r="G767" i="5"/>
  <c r="F767" i="5"/>
  <c r="E767" i="5"/>
  <c r="D767" i="5"/>
  <c r="N765" i="5"/>
  <c r="M765" i="5"/>
  <c r="L765" i="5"/>
  <c r="K765" i="5"/>
  <c r="J765" i="5"/>
  <c r="I765" i="5"/>
  <c r="H765" i="5"/>
  <c r="G765" i="5"/>
  <c r="F765" i="5"/>
  <c r="E765" i="5"/>
  <c r="D765" i="5"/>
  <c r="N763" i="5"/>
  <c r="M763" i="5"/>
  <c r="L763" i="5"/>
  <c r="K763" i="5"/>
  <c r="J763" i="5"/>
  <c r="I763" i="5"/>
  <c r="H763" i="5"/>
  <c r="G763" i="5"/>
  <c r="F763" i="5"/>
  <c r="E763" i="5"/>
  <c r="D763" i="5"/>
  <c r="N761" i="5"/>
  <c r="M761" i="5"/>
  <c r="L761" i="5"/>
  <c r="K761" i="5"/>
  <c r="J761" i="5"/>
  <c r="I761" i="5"/>
  <c r="H761" i="5"/>
  <c r="G761" i="5"/>
  <c r="F761" i="5"/>
  <c r="E761" i="5"/>
  <c r="D761" i="5"/>
  <c r="N759" i="5"/>
  <c r="M759" i="5"/>
  <c r="L759" i="5"/>
  <c r="K759" i="5"/>
  <c r="J759" i="5"/>
  <c r="I759" i="5"/>
  <c r="H759" i="5"/>
  <c r="G759" i="5"/>
  <c r="F759" i="5"/>
  <c r="E759" i="5"/>
  <c r="D759" i="5"/>
  <c r="N753" i="5"/>
  <c r="M753" i="5"/>
  <c r="L753" i="5"/>
  <c r="K753" i="5"/>
  <c r="J753" i="5"/>
  <c r="I753" i="5"/>
  <c r="H753" i="5"/>
  <c r="G753" i="5"/>
  <c r="F753" i="5"/>
  <c r="E753" i="5"/>
  <c r="D753" i="5"/>
  <c r="N751" i="5"/>
  <c r="M751" i="5"/>
  <c r="L751" i="5"/>
  <c r="K751" i="5"/>
  <c r="J751" i="5"/>
  <c r="I751" i="5"/>
  <c r="H751" i="5"/>
  <c r="G751" i="5"/>
  <c r="F751" i="5"/>
  <c r="E751" i="5"/>
  <c r="D751" i="5"/>
  <c r="N749" i="5"/>
  <c r="M749" i="5"/>
  <c r="L749" i="5"/>
  <c r="K749" i="5"/>
  <c r="J749" i="5"/>
  <c r="I749" i="5"/>
  <c r="H749" i="5"/>
  <c r="G749" i="5"/>
  <c r="F749" i="5"/>
  <c r="E749" i="5"/>
  <c r="D749" i="5"/>
  <c r="N746" i="5"/>
  <c r="M746" i="5"/>
  <c r="L746" i="5"/>
  <c r="K746" i="5"/>
  <c r="J746" i="5"/>
  <c r="I746" i="5"/>
  <c r="H746" i="5"/>
  <c r="G746" i="5"/>
  <c r="F746" i="5"/>
  <c r="E746" i="5"/>
  <c r="D746" i="5"/>
  <c r="N743" i="5"/>
  <c r="M743" i="5"/>
  <c r="L743" i="5"/>
  <c r="K743" i="5"/>
  <c r="J743" i="5"/>
  <c r="I743" i="5"/>
  <c r="H743" i="5"/>
  <c r="G743" i="5"/>
  <c r="F743" i="5"/>
  <c r="E743" i="5"/>
  <c r="D743" i="5"/>
  <c r="N741" i="5"/>
  <c r="M741" i="5"/>
  <c r="L741" i="5"/>
  <c r="K741" i="5"/>
  <c r="J741" i="5"/>
  <c r="I741" i="5"/>
  <c r="H741" i="5"/>
  <c r="G741" i="5"/>
  <c r="F741" i="5"/>
  <c r="E741" i="5"/>
  <c r="D741" i="5"/>
  <c r="N739" i="5"/>
  <c r="M739" i="5"/>
  <c r="L739" i="5"/>
  <c r="K739" i="5"/>
  <c r="J739" i="5"/>
  <c r="I739" i="5"/>
  <c r="H739" i="5"/>
  <c r="G739" i="5"/>
  <c r="F739" i="5"/>
  <c r="E739" i="5"/>
  <c r="D739" i="5"/>
  <c r="N737" i="5"/>
  <c r="M737" i="5"/>
  <c r="L737" i="5"/>
  <c r="K737" i="5"/>
  <c r="J737" i="5"/>
  <c r="I737" i="5"/>
  <c r="H737" i="5"/>
  <c r="G737" i="5"/>
  <c r="F737" i="5"/>
  <c r="E737" i="5"/>
  <c r="D737" i="5"/>
  <c r="N735" i="5"/>
  <c r="M735" i="5"/>
  <c r="L735" i="5"/>
  <c r="K735" i="5"/>
  <c r="J735" i="5"/>
  <c r="I735" i="5"/>
  <c r="H735" i="5"/>
  <c r="G735" i="5"/>
  <c r="F735" i="5"/>
  <c r="E735" i="5"/>
  <c r="D735" i="5"/>
  <c r="N733" i="5"/>
  <c r="M733" i="5"/>
  <c r="L733" i="5"/>
  <c r="K733" i="5"/>
  <c r="J733" i="5"/>
  <c r="I733" i="5"/>
  <c r="H733" i="5"/>
  <c r="G733" i="5"/>
  <c r="F733" i="5"/>
  <c r="E733" i="5"/>
  <c r="D733" i="5"/>
  <c r="N731" i="5"/>
  <c r="M731" i="5"/>
  <c r="L731" i="5"/>
  <c r="K731" i="5"/>
  <c r="J731" i="5"/>
  <c r="I731" i="5"/>
  <c r="H731" i="5"/>
  <c r="G731" i="5"/>
  <c r="F731" i="5"/>
  <c r="E731" i="5"/>
  <c r="D731" i="5"/>
  <c r="N729" i="5"/>
  <c r="M729" i="5"/>
  <c r="L729" i="5"/>
  <c r="K729" i="5"/>
  <c r="J729" i="5"/>
  <c r="I729" i="5"/>
  <c r="H729" i="5"/>
  <c r="G729" i="5"/>
  <c r="F729" i="5"/>
  <c r="E729" i="5"/>
  <c r="D729" i="5"/>
  <c r="N725" i="5"/>
  <c r="N724" i="5" s="1"/>
  <c r="M725" i="5"/>
  <c r="M724" i="5" s="1"/>
  <c r="L725" i="5"/>
  <c r="L724" i="5" s="1"/>
  <c r="K725" i="5"/>
  <c r="K724" i="5" s="1"/>
  <c r="J725" i="5"/>
  <c r="J724" i="5" s="1"/>
  <c r="I725" i="5"/>
  <c r="I724" i="5" s="1"/>
  <c r="H725" i="5"/>
  <c r="H724" i="5" s="1"/>
  <c r="G725" i="5"/>
  <c r="G724" i="5" s="1"/>
  <c r="F725" i="5"/>
  <c r="F724" i="5" s="1"/>
  <c r="E725" i="5"/>
  <c r="E724" i="5" s="1"/>
  <c r="D725" i="5"/>
  <c r="D724" i="5" s="1"/>
  <c r="N713" i="5"/>
  <c r="M713" i="5"/>
  <c r="L713" i="5"/>
  <c r="K713" i="5"/>
  <c r="J713" i="5"/>
  <c r="I713" i="5"/>
  <c r="H713" i="5"/>
  <c r="G713" i="5"/>
  <c r="F713" i="5"/>
  <c r="E713" i="5"/>
  <c r="D713" i="5"/>
  <c r="N708" i="5"/>
  <c r="M708" i="5"/>
  <c r="L708" i="5"/>
  <c r="K708" i="5"/>
  <c r="J708" i="5"/>
  <c r="I708" i="5"/>
  <c r="H708" i="5"/>
  <c r="G708" i="5"/>
  <c r="F708" i="5"/>
  <c r="E708" i="5"/>
  <c r="D708" i="5"/>
  <c r="C771" i="5"/>
  <c r="C769" i="5"/>
  <c r="C767" i="5"/>
  <c r="C765" i="5"/>
  <c r="C763" i="5"/>
  <c r="C761" i="5"/>
  <c r="C759" i="5"/>
  <c r="C753" i="5"/>
  <c r="C751" i="5"/>
  <c r="C749" i="5"/>
  <c r="C746" i="5"/>
  <c r="C743" i="5"/>
  <c r="C741" i="5"/>
  <c r="C739" i="5"/>
  <c r="C737" i="5"/>
  <c r="C735" i="5"/>
  <c r="C733" i="5"/>
  <c r="C731" i="5"/>
  <c r="C729" i="5"/>
  <c r="C725" i="5"/>
  <c r="C708" i="5"/>
  <c r="C713" i="5"/>
  <c r="Q694" i="5"/>
  <c r="Q695" i="5"/>
  <c r="Q709" i="5"/>
  <c r="Q710" i="5"/>
  <c r="Q711" i="5"/>
  <c r="Q712" i="5"/>
  <c r="Q714" i="5"/>
  <c r="Q715" i="5"/>
  <c r="Q716" i="5"/>
  <c r="Q717" i="5"/>
  <c r="Q718" i="5"/>
  <c r="Q726" i="5"/>
  <c r="Q727" i="5"/>
  <c r="Q728" i="5"/>
  <c r="Q730" i="5"/>
  <c r="Q732" i="5"/>
  <c r="Q734" i="5"/>
  <c r="Q736" i="5"/>
  <c r="Q738" i="5"/>
  <c r="Q740" i="5"/>
  <c r="Q742" i="5"/>
  <c r="Q744" i="5"/>
  <c r="Q747" i="5"/>
  <c r="Q748" i="5"/>
  <c r="Q750" i="5"/>
  <c r="Q752" i="5"/>
  <c r="Q754" i="5"/>
  <c r="Q755" i="5"/>
  <c r="Q756" i="5"/>
  <c r="Q757" i="5"/>
  <c r="Q760" i="5"/>
  <c r="Q762" i="5"/>
  <c r="Q764" i="5"/>
  <c r="Q766" i="5"/>
  <c r="Q768" i="5"/>
  <c r="O770" i="5"/>
  <c r="Q770" i="5" s="1"/>
  <c r="O772" i="5"/>
  <c r="Q772" i="5" s="1"/>
  <c r="O773" i="5"/>
  <c r="Q773" i="5" s="1"/>
  <c r="O774" i="5"/>
  <c r="Q774" i="5" s="1"/>
  <c r="O775" i="5"/>
  <c r="Q775" i="5" s="1"/>
  <c r="O776" i="5"/>
  <c r="Q776" i="5" s="1"/>
  <c r="O777" i="5"/>
  <c r="Q777" i="5" s="1"/>
  <c r="O778" i="5"/>
  <c r="Q778" i="5" s="1"/>
  <c r="O779" i="5"/>
  <c r="Q779" i="5" s="1"/>
  <c r="O780" i="5"/>
  <c r="Q780" i="5" s="1"/>
  <c r="O781" i="5"/>
  <c r="Q781" i="5" s="1"/>
  <c r="O782" i="5"/>
  <c r="Q782" i="5" s="1"/>
  <c r="O783" i="5"/>
  <c r="Q783" i="5" s="1"/>
  <c r="O784" i="5"/>
  <c r="Q784" i="5" s="1"/>
  <c r="O785" i="5"/>
  <c r="Q785" i="5" s="1"/>
  <c r="O786" i="5"/>
  <c r="Q786" i="5" s="1"/>
  <c r="O787" i="5"/>
  <c r="Q787" i="5" s="1"/>
  <c r="O788" i="5"/>
  <c r="Q788" i="5" s="1"/>
  <c r="O789" i="5"/>
  <c r="Q789" i="5" s="1"/>
  <c r="O790" i="5"/>
  <c r="Q790" i="5" s="1"/>
  <c r="O791" i="5"/>
  <c r="Q791" i="5" s="1"/>
  <c r="O792" i="5"/>
  <c r="Q792" i="5" s="1"/>
  <c r="O793" i="5"/>
  <c r="Q793" i="5" s="1"/>
  <c r="O794" i="5"/>
  <c r="Q794" i="5" s="1"/>
  <c r="O795" i="5"/>
  <c r="Q795" i="5" s="1"/>
  <c r="O796" i="5"/>
  <c r="Q796" i="5" s="1"/>
  <c r="O797" i="5"/>
  <c r="Q797" i="5" s="1"/>
  <c r="O798" i="5"/>
  <c r="Q798" i="5" s="1"/>
  <c r="O799" i="5"/>
  <c r="Q799" i="5" s="1"/>
  <c r="O800" i="5"/>
  <c r="Q800" i="5" s="1"/>
  <c r="O801" i="5"/>
  <c r="Q801" i="5" s="1"/>
  <c r="O802" i="5"/>
  <c r="Q802" i="5" s="1"/>
  <c r="O803" i="5"/>
  <c r="Q803" i="5" s="1"/>
  <c r="O804" i="5"/>
  <c r="Q804" i="5" s="1"/>
  <c r="O805" i="5"/>
  <c r="Q805" i="5" s="1"/>
  <c r="O806" i="5"/>
  <c r="Q806" i="5" s="1"/>
  <c r="O807" i="5"/>
  <c r="Q807" i="5" s="1"/>
  <c r="O808" i="5"/>
  <c r="Q808" i="5" s="1"/>
  <c r="O809" i="5"/>
  <c r="Q809" i="5" s="1"/>
  <c r="O810" i="5"/>
  <c r="Q810" i="5" s="1"/>
  <c r="O811" i="5"/>
  <c r="Q811" i="5" s="1"/>
  <c r="O812" i="5"/>
  <c r="Q812" i="5" s="1"/>
  <c r="O813" i="5"/>
  <c r="Q813" i="5" s="1"/>
  <c r="O814" i="5"/>
  <c r="Q814" i="5" s="1"/>
  <c r="O815" i="5"/>
  <c r="Q815" i="5" s="1"/>
  <c r="O816" i="5"/>
  <c r="Q816" i="5" s="1"/>
  <c r="E589" i="5"/>
  <c r="E587" i="5"/>
  <c r="E586" i="5" s="1"/>
  <c r="E580" i="5"/>
  <c r="E578" i="5"/>
  <c r="E575" i="5"/>
  <c r="E573" i="5"/>
  <c r="E571" i="5"/>
  <c r="E569" i="5"/>
  <c r="E567" i="5"/>
  <c r="E565" i="5"/>
  <c r="E563" i="5"/>
  <c r="E561" i="5"/>
  <c r="E559" i="5"/>
  <c r="E557" i="5"/>
  <c r="E555" i="5"/>
  <c r="E553" i="5"/>
  <c r="E551" i="5"/>
  <c r="E549" i="5"/>
  <c r="E544" i="5"/>
  <c r="E542" i="5"/>
  <c r="E540" i="5"/>
  <c r="E538" i="5"/>
  <c r="E536" i="5"/>
  <c r="E534" i="5"/>
  <c r="E532" i="5"/>
  <c r="E530" i="5"/>
  <c r="E528" i="5"/>
  <c r="E526" i="5"/>
  <c r="E524" i="5"/>
  <c r="E519" i="5"/>
  <c r="E517" i="5"/>
  <c r="E515" i="5"/>
  <c r="E513" i="5"/>
  <c r="E510" i="5"/>
  <c r="E507" i="5"/>
  <c r="E501" i="5"/>
  <c r="E496" i="5"/>
  <c r="E490" i="5"/>
  <c r="E487" i="5"/>
  <c r="E483" i="5"/>
  <c r="E481" i="5"/>
  <c r="E473" i="5"/>
  <c r="E432" i="5"/>
  <c r="N589" i="5"/>
  <c r="M589" i="5"/>
  <c r="L589" i="5"/>
  <c r="K589" i="5"/>
  <c r="J589" i="5"/>
  <c r="I589" i="5"/>
  <c r="H589" i="5"/>
  <c r="G589" i="5"/>
  <c r="F589" i="5"/>
  <c r="N587" i="5"/>
  <c r="N586" i="5" s="1"/>
  <c r="M587" i="5"/>
  <c r="M586" i="5" s="1"/>
  <c r="L587" i="5"/>
  <c r="L586" i="5" s="1"/>
  <c r="K587" i="5"/>
  <c r="K586" i="5" s="1"/>
  <c r="J587" i="5"/>
  <c r="J586" i="5" s="1"/>
  <c r="I587" i="5"/>
  <c r="I586" i="5" s="1"/>
  <c r="H587" i="5"/>
  <c r="H586" i="5" s="1"/>
  <c r="G587" i="5"/>
  <c r="G586" i="5" s="1"/>
  <c r="F587" i="5"/>
  <c r="F586" i="5" s="1"/>
  <c r="N580" i="5"/>
  <c r="M580" i="5"/>
  <c r="L580" i="5"/>
  <c r="K580" i="5"/>
  <c r="J580" i="5"/>
  <c r="I580" i="5"/>
  <c r="H580" i="5"/>
  <c r="G580" i="5"/>
  <c r="F580" i="5"/>
  <c r="N578" i="5"/>
  <c r="M578" i="5"/>
  <c r="L578" i="5"/>
  <c r="K578" i="5"/>
  <c r="J578" i="5"/>
  <c r="I578" i="5"/>
  <c r="H578" i="5"/>
  <c r="G578" i="5"/>
  <c r="F578" i="5"/>
  <c r="N575" i="5"/>
  <c r="M575" i="5"/>
  <c r="L575" i="5"/>
  <c r="K575" i="5"/>
  <c r="J575" i="5"/>
  <c r="I575" i="5"/>
  <c r="H575" i="5"/>
  <c r="G575" i="5"/>
  <c r="F575" i="5"/>
  <c r="N573" i="5"/>
  <c r="M573" i="5"/>
  <c r="L573" i="5"/>
  <c r="K573" i="5"/>
  <c r="J573" i="5"/>
  <c r="I573" i="5"/>
  <c r="H573" i="5"/>
  <c r="G573" i="5"/>
  <c r="F573" i="5"/>
  <c r="N571" i="5"/>
  <c r="M571" i="5"/>
  <c r="L571" i="5"/>
  <c r="K571" i="5"/>
  <c r="J571" i="5"/>
  <c r="I571" i="5"/>
  <c r="H571" i="5"/>
  <c r="G571" i="5"/>
  <c r="F571" i="5"/>
  <c r="N569" i="5"/>
  <c r="M569" i="5"/>
  <c r="L569" i="5"/>
  <c r="K569" i="5"/>
  <c r="J569" i="5"/>
  <c r="I569" i="5"/>
  <c r="H569" i="5"/>
  <c r="G569" i="5"/>
  <c r="F569" i="5"/>
  <c r="N567" i="5"/>
  <c r="M567" i="5"/>
  <c r="L567" i="5"/>
  <c r="K567" i="5"/>
  <c r="J567" i="5"/>
  <c r="I567" i="5"/>
  <c r="H567" i="5"/>
  <c r="G567" i="5"/>
  <c r="F567" i="5"/>
  <c r="N565" i="5"/>
  <c r="M565" i="5"/>
  <c r="L565" i="5"/>
  <c r="K565" i="5"/>
  <c r="J565" i="5"/>
  <c r="I565" i="5"/>
  <c r="H565" i="5"/>
  <c r="G565" i="5"/>
  <c r="F565" i="5"/>
  <c r="N563" i="5"/>
  <c r="M563" i="5"/>
  <c r="L563" i="5"/>
  <c r="K563" i="5"/>
  <c r="J563" i="5"/>
  <c r="I563" i="5"/>
  <c r="H563" i="5"/>
  <c r="G563" i="5"/>
  <c r="F563" i="5"/>
  <c r="N561" i="5"/>
  <c r="M561" i="5"/>
  <c r="L561" i="5"/>
  <c r="K561" i="5"/>
  <c r="J561" i="5"/>
  <c r="I561" i="5"/>
  <c r="H561" i="5"/>
  <c r="G561" i="5"/>
  <c r="F561" i="5"/>
  <c r="N559" i="5"/>
  <c r="M559" i="5"/>
  <c r="L559" i="5"/>
  <c r="K559" i="5"/>
  <c r="J559" i="5"/>
  <c r="I559" i="5"/>
  <c r="H559" i="5"/>
  <c r="G559" i="5"/>
  <c r="F559" i="5"/>
  <c r="N557" i="5"/>
  <c r="M557" i="5"/>
  <c r="L557" i="5"/>
  <c r="K557" i="5"/>
  <c r="J557" i="5"/>
  <c r="I557" i="5"/>
  <c r="H557" i="5"/>
  <c r="G557" i="5"/>
  <c r="F557" i="5"/>
  <c r="N555" i="5"/>
  <c r="M555" i="5"/>
  <c r="L555" i="5"/>
  <c r="K555" i="5"/>
  <c r="J555" i="5"/>
  <c r="I555" i="5"/>
  <c r="H555" i="5"/>
  <c r="G555" i="5"/>
  <c r="F555" i="5"/>
  <c r="N553" i="5"/>
  <c r="M553" i="5"/>
  <c r="L553" i="5"/>
  <c r="K553" i="5"/>
  <c r="J553" i="5"/>
  <c r="I553" i="5"/>
  <c r="H553" i="5"/>
  <c r="G553" i="5"/>
  <c r="F553" i="5"/>
  <c r="N551" i="5"/>
  <c r="M551" i="5"/>
  <c r="L551" i="5"/>
  <c r="K551" i="5"/>
  <c r="J551" i="5"/>
  <c r="I551" i="5"/>
  <c r="H551" i="5"/>
  <c r="G551" i="5"/>
  <c r="F551" i="5"/>
  <c r="N549" i="5"/>
  <c r="M549" i="5"/>
  <c r="L549" i="5"/>
  <c r="K549" i="5"/>
  <c r="J549" i="5"/>
  <c r="I549" i="5"/>
  <c r="H549" i="5"/>
  <c r="G549" i="5"/>
  <c r="F549" i="5"/>
  <c r="N544" i="5"/>
  <c r="M544" i="5"/>
  <c r="L544" i="5"/>
  <c r="K544" i="5"/>
  <c r="J544" i="5"/>
  <c r="I544" i="5"/>
  <c r="H544" i="5"/>
  <c r="G544" i="5"/>
  <c r="F544" i="5"/>
  <c r="N542" i="5"/>
  <c r="M542" i="5"/>
  <c r="L542" i="5"/>
  <c r="K542" i="5"/>
  <c r="J542" i="5"/>
  <c r="I542" i="5"/>
  <c r="H542" i="5"/>
  <c r="G542" i="5"/>
  <c r="F542" i="5"/>
  <c r="N540" i="5"/>
  <c r="M540" i="5"/>
  <c r="L540" i="5"/>
  <c r="K540" i="5"/>
  <c r="J540" i="5"/>
  <c r="I540" i="5"/>
  <c r="H540" i="5"/>
  <c r="G540" i="5"/>
  <c r="F540" i="5"/>
  <c r="N538" i="5"/>
  <c r="M538" i="5"/>
  <c r="L538" i="5"/>
  <c r="K538" i="5"/>
  <c r="J538" i="5"/>
  <c r="I538" i="5"/>
  <c r="H538" i="5"/>
  <c r="G538" i="5"/>
  <c r="F538" i="5"/>
  <c r="N536" i="5"/>
  <c r="M536" i="5"/>
  <c r="L536" i="5"/>
  <c r="K536" i="5"/>
  <c r="J536" i="5"/>
  <c r="I536" i="5"/>
  <c r="H536" i="5"/>
  <c r="G536" i="5"/>
  <c r="F536" i="5"/>
  <c r="N534" i="5"/>
  <c r="M534" i="5"/>
  <c r="L534" i="5"/>
  <c r="K534" i="5"/>
  <c r="J534" i="5"/>
  <c r="I534" i="5"/>
  <c r="H534" i="5"/>
  <c r="G534" i="5"/>
  <c r="F534" i="5"/>
  <c r="N532" i="5"/>
  <c r="M532" i="5"/>
  <c r="L532" i="5"/>
  <c r="K532" i="5"/>
  <c r="J532" i="5"/>
  <c r="I532" i="5"/>
  <c r="H532" i="5"/>
  <c r="G532" i="5"/>
  <c r="F532" i="5"/>
  <c r="N530" i="5"/>
  <c r="M530" i="5"/>
  <c r="L530" i="5"/>
  <c r="K530" i="5"/>
  <c r="J530" i="5"/>
  <c r="I530" i="5"/>
  <c r="H530" i="5"/>
  <c r="G530" i="5"/>
  <c r="F530" i="5"/>
  <c r="N528" i="5"/>
  <c r="M528" i="5"/>
  <c r="L528" i="5"/>
  <c r="K528" i="5"/>
  <c r="J528" i="5"/>
  <c r="I528" i="5"/>
  <c r="H528" i="5"/>
  <c r="G528" i="5"/>
  <c r="F528" i="5"/>
  <c r="N526" i="5"/>
  <c r="M526" i="5"/>
  <c r="L526" i="5"/>
  <c r="K526" i="5"/>
  <c r="J526" i="5"/>
  <c r="I526" i="5"/>
  <c r="H526" i="5"/>
  <c r="G526" i="5"/>
  <c r="F526" i="5"/>
  <c r="N524" i="5"/>
  <c r="M524" i="5"/>
  <c r="L524" i="5"/>
  <c r="K524" i="5"/>
  <c r="J524" i="5"/>
  <c r="I524" i="5"/>
  <c r="H524" i="5"/>
  <c r="F524" i="5"/>
  <c r="N519" i="5"/>
  <c r="M519" i="5"/>
  <c r="L519" i="5"/>
  <c r="K519" i="5"/>
  <c r="J519" i="5"/>
  <c r="I519" i="5"/>
  <c r="H519" i="5"/>
  <c r="F519" i="5"/>
  <c r="N517" i="5"/>
  <c r="M517" i="5"/>
  <c r="L517" i="5"/>
  <c r="K517" i="5"/>
  <c r="J517" i="5"/>
  <c r="I517" i="5"/>
  <c r="H517" i="5"/>
  <c r="F517" i="5"/>
  <c r="N515" i="5"/>
  <c r="M515" i="5"/>
  <c r="L515" i="5"/>
  <c r="K515" i="5"/>
  <c r="J515" i="5"/>
  <c r="I515" i="5"/>
  <c r="H515" i="5"/>
  <c r="F515" i="5"/>
  <c r="N513" i="5"/>
  <c r="M513" i="5"/>
  <c r="L513" i="5"/>
  <c r="K513" i="5"/>
  <c r="J513" i="5"/>
  <c r="I513" i="5"/>
  <c r="H513" i="5"/>
  <c r="F513" i="5"/>
  <c r="N510" i="5"/>
  <c r="M510" i="5"/>
  <c r="L510" i="5"/>
  <c r="K510" i="5"/>
  <c r="J510" i="5"/>
  <c r="I510" i="5"/>
  <c r="H510" i="5"/>
  <c r="F510" i="5"/>
  <c r="N507" i="5"/>
  <c r="M507" i="5"/>
  <c r="L507" i="5"/>
  <c r="K507" i="5"/>
  <c r="J507" i="5"/>
  <c r="I507" i="5"/>
  <c r="H507" i="5"/>
  <c r="F507" i="5"/>
  <c r="N501" i="5"/>
  <c r="M501" i="5"/>
  <c r="L501" i="5"/>
  <c r="K501" i="5"/>
  <c r="J501" i="5"/>
  <c r="I501" i="5"/>
  <c r="H501" i="5"/>
  <c r="F501" i="5"/>
  <c r="N496" i="5"/>
  <c r="M496" i="5"/>
  <c r="L496" i="5"/>
  <c r="K496" i="5"/>
  <c r="J496" i="5"/>
  <c r="I496" i="5"/>
  <c r="H496" i="5"/>
  <c r="F496" i="5"/>
  <c r="N490" i="5"/>
  <c r="M490" i="5"/>
  <c r="L490" i="5"/>
  <c r="K490" i="5"/>
  <c r="J490" i="5"/>
  <c r="I490" i="5"/>
  <c r="H490" i="5"/>
  <c r="F490" i="5"/>
  <c r="N487" i="5"/>
  <c r="M487" i="5"/>
  <c r="L487" i="5"/>
  <c r="K487" i="5"/>
  <c r="J487" i="5"/>
  <c r="I487" i="5"/>
  <c r="H487" i="5"/>
  <c r="F487" i="5"/>
  <c r="N483" i="5"/>
  <c r="M483" i="5"/>
  <c r="L483" i="5"/>
  <c r="K483" i="5"/>
  <c r="J483" i="5"/>
  <c r="I483" i="5"/>
  <c r="H483" i="5"/>
  <c r="F483" i="5"/>
  <c r="N481" i="5"/>
  <c r="N480" i="5" s="1"/>
  <c r="M481" i="5"/>
  <c r="L481" i="5"/>
  <c r="K481" i="5"/>
  <c r="J481" i="5"/>
  <c r="I481" i="5"/>
  <c r="H481" i="5"/>
  <c r="F481" i="5"/>
  <c r="N473" i="5"/>
  <c r="M473" i="5"/>
  <c r="L473" i="5"/>
  <c r="K473" i="5"/>
  <c r="J473" i="5"/>
  <c r="I473" i="5"/>
  <c r="H473" i="5"/>
  <c r="F473" i="5"/>
  <c r="N432" i="5"/>
  <c r="M432" i="5"/>
  <c r="L432" i="5"/>
  <c r="K432" i="5"/>
  <c r="J432" i="5"/>
  <c r="I432" i="5"/>
  <c r="H432" i="5"/>
  <c r="F432" i="5"/>
  <c r="D589" i="5"/>
  <c r="D587" i="5"/>
  <c r="D586" i="5" s="1"/>
  <c r="D580" i="5"/>
  <c r="D578" i="5"/>
  <c r="D575" i="5"/>
  <c r="D573" i="5"/>
  <c r="D571" i="5"/>
  <c r="D569" i="5"/>
  <c r="D567" i="5"/>
  <c r="D565" i="5"/>
  <c r="D563" i="5"/>
  <c r="D561" i="5"/>
  <c r="D559" i="5"/>
  <c r="D557" i="5"/>
  <c r="D555" i="5"/>
  <c r="D553" i="5"/>
  <c r="D551" i="5"/>
  <c r="D549" i="5"/>
  <c r="D544" i="5"/>
  <c r="D542" i="5"/>
  <c r="D540" i="5"/>
  <c r="D538" i="5"/>
  <c r="D536" i="5"/>
  <c r="D534" i="5"/>
  <c r="D532" i="5"/>
  <c r="D530" i="5"/>
  <c r="D528" i="5"/>
  <c r="D526" i="5"/>
  <c r="D524" i="5"/>
  <c r="D519" i="5"/>
  <c r="D517" i="5"/>
  <c r="D515" i="5"/>
  <c r="D513" i="5"/>
  <c r="D510" i="5"/>
  <c r="D507" i="5"/>
  <c r="D501" i="5"/>
  <c r="D496" i="5"/>
  <c r="D490" i="5"/>
  <c r="D487" i="5"/>
  <c r="D483" i="5"/>
  <c r="D481" i="5"/>
  <c r="D473" i="5"/>
  <c r="D432" i="5"/>
  <c r="C589" i="5"/>
  <c r="C587" i="5"/>
  <c r="C580" i="5"/>
  <c r="C578" i="5"/>
  <c r="C575" i="5"/>
  <c r="C573" i="5"/>
  <c r="C571" i="5"/>
  <c r="C569" i="5"/>
  <c r="C567" i="5"/>
  <c r="C565" i="5"/>
  <c r="C563" i="5"/>
  <c r="C561" i="5"/>
  <c r="C559" i="5"/>
  <c r="C557" i="5"/>
  <c r="C555" i="5"/>
  <c r="C553" i="5"/>
  <c r="C551" i="5"/>
  <c r="C549" i="5"/>
  <c r="C544" i="5"/>
  <c r="C542" i="5"/>
  <c r="C540" i="5"/>
  <c r="C538" i="5"/>
  <c r="C536" i="5"/>
  <c r="C534" i="5"/>
  <c r="C532" i="5"/>
  <c r="C530" i="5"/>
  <c r="C528" i="5"/>
  <c r="C526" i="5"/>
  <c r="C524" i="5"/>
  <c r="C519" i="5"/>
  <c r="C517" i="5"/>
  <c r="C515" i="5"/>
  <c r="C513" i="5"/>
  <c r="C510" i="5"/>
  <c r="C507" i="5"/>
  <c r="C496" i="5"/>
  <c r="C490" i="5"/>
  <c r="C487" i="5"/>
  <c r="C483" i="5"/>
  <c r="C481" i="5"/>
  <c r="C432" i="5"/>
  <c r="O434" i="5"/>
  <c r="Q434" i="5" s="1"/>
  <c r="O435" i="5"/>
  <c r="Q435" i="5" s="1"/>
  <c r="O436" i="5"/>
  <c r="Q436" i="5" s="1"/>
  <c r="O437" i="5"/>
  <c r="Q437" i="5" s="1"/>
  <c r="O438" i="5"/>
  <c r="Q438" i="5" s="1"/>
  <c r="O439" i="5"/>
  <c r="Q439" i="5" s="1"/>
  <c r="O440" i="5"/>
  <c r="Q440" i="5" s="1"/>
  <c r="O441" i="5"/>
  <c r="Q441" i="5" s="1"/>
  <c r="O442" i="5"/>
  <c r="Q442" i="5" s="1"/>
  <c r="O443" i="5"/>
  <c r="Q443" i="5" s="1"/>
  <c r="O444" i="5"/>
  <c r="Q444" i="5" s="1"/>
  <c r="O445" i="5"/>
  <c r="Q445" i="5" s="1"/>
  <c r="O446" i="5"/>
  <c r="Q446" i="5" s="1"/>
  <c r="O447" i="5"/>
  <c r="Q447" i="5" s="1"/>
  <c r="O448" i="5"/>
  <c r="Q448" i="5" s="1"/>
  <c r="O449" i="5"/>
  <c r="Q449" i="5" s="1"/>
  <c r="O450" i="5"/>
  <c r="Q450" i="5" s="1"/>
  <c r="O451" i="5"/>
  <c r="Q451" i="5" s="1"/>
  <c r="O452" i="5"/>
  <c r="Q452" i="5" s="1"/>
  <c r="O453" i="5"/>
  <c r="Q453" i="5" s="1"/>
  <c r="O454" i="5"/>
  <c r="Q454" i="5" s="1"/>
  <c r="O455" i="5"/>
  <c r="Q455" i="5" s="1"/>
  <c r="O456" i="5"/>
  <c r="Q456" i="5" s="1"/>
  <c r="O457" i="5"/>
  <c r="Q457" i="5" s="1"/>
  <c r="O458" i="5"/>
  <c r="Q458" i="5" s="1"/>
  <c r="O459" i="5"/>
  <c r="Q459" i="5" s="1"/>
  <c r="O460" i="5"/>
  <c r="Q460" i="5" s="1"/>
  <c r="O461" i="5"/>
  <c r="Q461" i="5" s="1"/>
  <c r="O462" i="5"/>
  <c r="Q462" i="5" s="1"/>
  <c r="O463" i="5"/>
  <c r="Q463" i="5" s="1"/>
  <c r="O464" i="5"/>
  <c r="Q464" i="5" s="1"/>
  <c r="O465" i="5"/>
  <c r="Q465" i="5" s="1"/>
  <c r="O466" i="5"/>
  <c r="Q466" i="5" s="1"/>
  <c r="O467" i="5"/>
  <c r="Q467" i="5" s="1"/>
  <c r="O468" i="5"/>
  <c r="Q468" i="5" s="1"/>
  <c r="O469" i="5"/>
  <c r="Q469" i="5" s="1"/>
  <c r="O470" i="5"/>
  <c r="Q470" i="5" s="1"/>
  <c r="O471" i="5"/>
  <c r="Q471" i="5" s="1"/>
  <c r="O472" i="5"/>
  <c r="Q472" i="5" s="1"/>
  <c r="O474" i="5"/>
  <c r="Q474" i="5" s="1"/>
  <c r="O475" i="5"/>
  <c r="Q475" i="5" s="1"/>
  <c r="O476" i="5"/>
  <c r="Q476" i="5" s="1"/>
  <c r="O477" i="5"/>
  <c r="Q477" i="5" s="1"/>
  <c r="Q479" i="5"/>
  <c r="O482" i="5"/>
  <c r="Q482" i="5" s="1"/>
  <c r="O484" i="5"/>
  <c r="Q484" i="5" s="1"/>
  <c r="O485" i="5"/>
  <c r="Q485" i="5" s="1"/>
  <c r="O486" i="5"/>
  <c r="Q486" i="5" s="1"/>
  <c r="O488" i="5"/>
  <c r="Q488" i="5" s="1"/>
  <c r="O489" i="5"/>
  <c r="Q489" i="5" s="1"/>
  <c r="O491" i="5"/>
  <c r="Q491" i="5" s="1"/>
  <c r="O492" i="5"/>
  <c r="Q492" i="5" s="1"/>
  <c r="O493" i="5"/>
  <c r="Q493" i="5" s="1"/>
  <c r="O494" i="5"/>
  <c r="Q494" i="5" s="1"/>
  <c r="O495" i="5"/>
  <c r="Q495" i="5" s="1"/>
  <c r="O497" i="5"/>
  <c r="Q497" i="5" s="1"/>
  <c r="O498" i="5"/>
  <c r="Q498" i="5" s="1"/>
  <c r="O499" i="5"/>
  <c r="Q499" i="5" s="1"/>
  <c r="O500" i="5"/>
  <c r="Q500" i="5" s="1"/>
  <c r="O502" i="5"/>
  <c r="Q502" i="5" s="1"/>
  <c r="Q504" i="5"/>
  <c r="Q505" i="5"/>
  <c r="Q506" i="5"/>
  <c r="O508" i="5"/>
  <c r="Q508" i="5" s="1"/>
  <c r="O509" i="5"/>
  <c r="Q509" i="5" s="1"/>
  <c r="O511" i="5"/>
  <c r="Q511" i="5" s="1"/>
  <c r="O512" i="5"/>
  <c r="Q512" i="5" s="1"/>
  <c r="O514" i="5"/>
  <c r="Q514" i="5" s="1"/>
  <c r="O516" i="5"/>
  <c r="Q516" i="5" s="1"/>
  <c r="O518" i="5"/>
  <c r="Q518" i="5" s="1"/>
  <c r="O520" i="5"/>
  <c r="Q520" i="5" s="1"/>
  <c r="O522" i="5"/>
  <c r="Q522" i="5" s="1"/>
  <c r="O525" i="5"/>
  <c r="Q525" i="5" s="1"/>
  <c r="O527" i="5"/>
  <c r="Q527" i="5" s="1"/>
  <c r="O529" i="5"/>
  <c r="Q529" i="5" s="1"/>
  <c r="O531" i="5"/>
  <c r="Q531" i="5" s="1"/>
  <c r="O533" i="5"/>
  <c r="Q533" i="5" s="1"/>
  <c r="O535" i="5"/>
  <c r="Q535" i="5" s="1"/>
  <c r="O537" i="5"/>
  <c r="Q537" i="5" s="1"/>
  <c r="O539" i="5"/>
  <c r="Q539" i="5" s="1"/>
  <c r="O541" i="5"/>
  <c r="Q541" i="5" s="1"/>
  <c r="O543" i="5"/>
  <c r="Q543" i="5" s="1"/>
  <c r="O545" i="5"/>
  <c r="Q545" i="5" s="1"/>
  <c r="Q547" i="5"/>
  <c r="O550" i="5"/>
  <c r="Q550" i="5" s="1"/>
  <c r="O552" i="5"/>
  <c r="Q552" i="5" s="1"/>
  <c r="O554" i="5"/>
  <c r="Q554" i="5" s="1"/>
  <c r="O556" i="5"/>
  <c r="Q556" i="5" s="1"/>
  <c r="O558" i="5"/>
  <c r="Q558" i="5" s="1"/>
  <c r="O560" i="5"/>
  <c r="Q560" i="5" s="1"/>
  <c r="O562" i="5"/>
  <c r="Q562" i="5" s="1"/>
  <c r="O564" i="5"/>
  <c r="Q564" i="5" s="1"/>
  <c r="O566" i="5"/>
  <c r="Q566" i="5" s="1"/>
  <c r="O568" i="5"/>
  <c r="Q568" i="5" s="1"/>
  <c r="O570" i="5"/>
  <c r="Q570" i="5" s="1"/>
  <c r="O572" i="5"/>
  <c r="Q572" i="5" s="1"/>
  <c r="O574" i="5"/>
  <c r="Q574" i="5" s="1"/>
  <c r="O576" i="5"/>
  <c r="Q576" i="5" s="1"/>
  <c r="O579" i="5"/>
  <c r="Q579" i="5" s="1"/>
  <c r="O581" i="5"/>
  <c r="Q581" i="5" s="1"/>
  <c r="O588" i="5"/>
  <c r="Q588" i="5" s="1"/>
  <c r="O590" i="5"/>
  <c r="Q590" i="5" s="1"/>
  <c r="O591" i="5"/>
  <c r="Q591" i="5" s="1"/>
  <c r="Q607" i="5"/>
  <c r="Q608" i="5"/>
  <c r="Q610" i="5"/>
  <c r="Q613" i="5"/>
  <c r="Q614" i="5"/>
  <c r="Q619" i="5"/>
  <c r="Q622" i="5"/>
  <c r="O431" i="5"/>
  <c r="Q431" i="5" s="1"/>
  <c r="O433" i="5"/>
  <c r="Q433" i="5" s="1"/>
  <c r="D423" i="5"/>
  <c r="E423" i="5"/>
  <c r="F423" i="5"/>
  <c r="H423" i="5"/>
  <c r="I423" i="5"/>
  <c r="J423" i="5"/>
  <c r="K423" i="5"/>
  <c r="L423" i="5"/>
  <c r="M423" i="5"/>
  <c r="N423" i="5"/>
  <c r="Q416" i="5"/>
  <c r="Q417" i="5"/>
  <c r="Q420" i="5"/>
  <c r="Q421" i="5"/>
  <c r="O364" i="5"/>
  <c r="Q364" i="5" s="1"/>
  <c r="O365" i="5"/>
  <c r="Q365" i="5" s="1"/>
  <c r="O366" i="5"/>
  <c r="Q366" i="5" s="1"/>
  <c r="O367" i="5"/>
  <c r="Q367" i="5" s="1"/>
  <c r="O368" i="5"/>
  <c r="Q368" i="5" s="1"/>
  <c r="O369" i="5"/>
  <c r="Q369" i="5" s="1"/>
  <c r="O370" i="5"/>
  <c r="Q370" i="5" s="1"/>
  <c r="O371" i="5"/>
  <c r="Q371" i="5" s="1"/>
  <c r="O372" i="5"/>
  <c r="Q372" i="5" s="1"/>
  <c r="O373" i="5"/>
  <c r="Q373" i="5" s="1"/>
  <c r="O374" i="5"/>
  <c r="Q374" i="5" s="1"/>
  <c r="O375" i="5"/>
  <c r="Q375" i="5" s="1"/>
  <c r="Q376" i="5"/>
  <c r="Q377" i="5"/>
  <c r="Q378" i="5"/>
  <c r="Q379" i="5"/>
  <c r="Q382" i="5"/>
  <c r="Q380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8" i="5"/>
  <c r="Q410" i="5"/>
  <c r="Q424" i="5"/>
  <c r="Q425" i="5"/>
  <c r="Q427" i="5"/>
  <c r="O428" i="5"/>
  <c r="Q428" i="5" s="1"/>
  <c r="O429" i="5"/>
  <c r="Q429" i="5" s="1"/>
  <c r="O430" i="5"/>
  <c r="Q430" i="5" s="1"/>
  <c r="Q624" i="5"/>
  <c r="Q626" i="5"/>
  <c r="Q628" i="5"/>
  <c r="Q629" i="5"/>
  <c r="Q631" i="5"/>
  <c r="Q633" i="5"/>
  <c r="Q634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8" i="5"/>
  <c r="Q659" i="5"/>
  <c r="Q660" i="5"/>
  <c r="Q662" i="5"/>
  <c r="Q663" i="5"/>
  <c r="Q664" i="5"/>
  <c r="Q358" i="5"/>
  <c r="K480" i="5" l="1"/>
  <c r="G577" i="5"/>
  <c r="I577" i="5"/>
  <c r="K577" i="5"/>
  <c r="M577" i="5"/>
  <c r="E577" i="5"/>
  <c r="E432" i="454"/>
  <c r="K432" i="454" s="1"/>
  <c r="AC432" i="454" s="1"/>
  <c r="E483" i="454"/>
  <c r="K483" i="454" s="1"/>
  <c r="AC483" i="454" s="1"/>
  <c r="E490" i="454"/>
  <c r="K490" i="454" s="1"/>
  <c r="AC490" i="454" s="1"/>
  <c r="E507" i="454"/>
  <c r="K507" i="454" s="1"/>
  <c r="AC507" i="454" s="1"/>
  <c r="E513" i="454"/>
  <c r="K513" i="454" s="1"/>
  <c r="AC513" i="454" s="1"/>
  <c r="E517" i="454"/>
  <c r="K517" i="454" s="1"/>
  <c r="AC517" i="454" s="1"/>
  <c r="E524" i="454"/>
  <c r="K524" i="454" s="1"/>
  <c r="AC524" i="454" s="1"/>
  <c r="E528" i="454"/>
  <c r="K528" i="454" s="1"/>
  <c r="AC528" i="454" s="1"/>
  <c r="E532" i="454"/>
  <c r="K532" i="454" s="1"/>
  <c r="AC532" i="454" s="1"/>
  <c r="E536" i="454"/>
  <c r="K536" i="454" s="1"/>
  <c r="AC536" i="454" s="1"/>
  <c r="E540" i="454"/>
  <c r="K540" i="454" s="1"/>
  <c r="AC540" i="454" s="1"/>
  <c r="E544" i="454"/>
  <c r="K544" i="454" s="1"/>
  <c r="AC544" i="454" s="1"/>
  <c r="E551" i="454"/>
  <c r="K551" i="454" s="1"/>
  <c r="AC551" i="454" s="1"/>
  <c r="E555" i="454"/>
  <c r="K555" i="454" s="1"/>
  <c r="AC555" i="454" s="1"/>
  <c r="E559" i="454"/>
  <c r="K559" i="454" s="1"/>
  <c r="AC559" i="454" s="1"/>
  <c r="E563" i="454"/>
  <c r="K563" i="454" s="1"/>
  <c r="AC563" i="454" s="1"/>
  <c r="E567" i="454"/>
  <c r="K567" i="454" s="1"/>
  <c r="AC567" i="454" s="1"/>
  <c r="E571" i="454"/>
  <c r="K571" i="454" s="1"/>
  <c r="AC571" i="454" s="1"/>
  <c r="E575" i="454"/>
  <c r="K575" i="454" s="1"/>
  <c r="AC575" i="454" s="1"/>
  <c r="E580" i="454"/>
  <c r="K580" i="454" s="1"/>
  <c r="AC580" i="454" s="1"/>
  <c r="E589" i="454"/>
  <c r="K589" i="454" s="1"/>
  <c r="AC589" i="454" s="1"/>
  <c r="E473" i="454"/>
  <c r="K473" i="454" s="1"/>
  <c r="AC473" i="454" s="1"/>
  <c r="E501" i="454"/>
  <c r="K501" i="454" s="1"/>
  <c r="AC501" i="454" s="1"/>
  <c r="E713" i="454"/>
  <c r="K713" i="454" s="1"/>
  <c r="AC713" i="454" s="1"/>
  <c r="E725" i="454"/>
  <c r="K725" i="454" s="1"/>
  <c r="AC725" i="454" s="1"/>
  <c r="E731" i="454"/>
  <c r="K731" i="454" s="1"/>
  <c r="AC731" i="454" s="1"/>
  <c r="E735" i="454"/>
  <c r="K735" i="454" s="1"/>
  <c r="AC735" i="454" s="1"/>
  <c r="E739" i="454"/>
  <c r="K739" i="454" s="1"/>
  <c r="AC739" i="454" s="1"/>
  <c r="E743" i="454"/>
  <c r="K743" i="454" s="1"/>
  <c r="AC743" i="454" s="1"/>
  <c r="E749" i="454"/>
  <c r="K749" i="454" s="1"/>
  <c r="AC749" i="454" s="1"/>
  <c r="E753" i="454"/>
  <c r="K753" i="454" s="1"/>
  <c r="AC753" i="454" s="1"/>
  <c r="E761" i="454"/>
  <c r="K761" i="454" s="1"/>
  <c r="AC761" i="454" s="1"/>
  <c r="E765" i="454"/>
  <c r="K765" i="454" s="1"/>
  <c r="AC765" i="454" s="1"/>
  <c r="E769" i="454"/>
  <c r="K769" i="454" s="1"/>
  <c r="AC769" i="454" s="1"/>
  <c r="E423" i="454"/>
  <c r="K423" i="454" s="1"/>
  <c r="AC423" i="454" s="1"/>
  <c r="E481" i="454"/>
  <c r="K481" i="454" s="1"/>
  <c r="AC481" i="454" s="1"/>
  <c r="E487" i="454"/>
  <c r="K487" i="454" s="1"/>
  <c r="AC487" i="454" s="1"/>
  <c r="E496" i="454"/>
  <c r="K496" i="454" s="1"/>
  <c r="AC496" i="454" s="1"/>
  <c r="E510" i="454"/>
  <c r="K510" i="454" s="1"/>
  <c r="AC510" i="454" s="1"/>
  <c r="E515" i="454"/>
  <c r="K515" i="454" s="1"/>
  <c r="AC515" i="454" s="1"/>
  <c r="E519" i="454"/>
  <c r="K519" i="454" s="1"/>
  <c r="AC519" i="454" s="1"/>
  <c r="E526" i="454"/>
  <c r="K526" i="454" s="1"/>
  <c r="AC526" i="454" s="1"/>
  <c r="E530" i="454"/>
  <c r="K530" i="454" s="1"/>
  <c r="AC530" i="454" s="1"/>
  <c r="E534" i="454"/>
  <c r="K534" i="454" s="1"/>
  <c r="AC534" i="454" s="1"/>
  <c r="E538" i="454"/>
  <c r="K538" i="454" s="1"/>
  <c r="AC538" i="454" s="1"/>
  <c r="E542" i="454"/>
  <c r="K542" i="454" s="1"/>
  <c r="AC542" i="454" s="1"/>
  <c r="E549" i="454"/>
  <c r="K549" i="454" s="1"/>
  <c r="AC549" i="454" s="1"/>
  <c r="E553" i="454"/>
  <c r="K553" i="454" s="1"/>
  <c r="AC553" i="454" s="1"/>
  <c r="E557" i="454"/>
  <c r="K557" i="454" s="1"/>
  <c r="AC557" i="454" s="1"/>
  <c r="E561" i="454"/>
  <c r="K561" i="454" s="1"/>
  <c r="AC561" i="454" s="1"/>
  <c r="E565" i="454"/>
  <c r="K565" i="454" s="1"/>
  <c r="AC565" i="454" s="1"/>
  <c r="E569" i="454"/>
  <c r="K569" i="454" s="1"/>
  <c r="AC569" i="454" s="1"/>
  <c r="E573" i="454"/>
  <c r="K573" i="454" s="1"/>
  <c r="AC573" i="454" s="1"/>
  <c r="E578" i="454"/>
  <c r="K578" i="454" s="1"/>
  <c r="AC578" i="454" s="1"/>
  <c r="E587" i="454"/>
  <c r="K587" i="454" s="1"/>
  <c r="AC587" i="454" s="1"/>
  <c r="E708" i="454"/>
  <c r="K708" i="454" s="1"/>
  <c r="AC708" i="454" s="1"/>
  <c r="E729" i="454"/>
  <c r="K729" i="454" s="1"/>
  <c r="AC729" i="454" s="1"/>
  <c r="E733" i="454"/>
  <c r="K733" i="454" s="1"/>
  <c r="AC733" i="454" s="1"/>
  <c r="E737" i="454"/>
  <c r="K737" i="454" s="1"/>
  <c r="AC737" i="454" s="1"/>
  <c r="E741" i="454"/>
  <c r="K741" i="454" s="1"/>
  <c r="AC741" i="454" s="1"/>
  <c r="E746" i="454"/>
  <c r="K746" i="454" s="1"/>
  <c r="AC746" i="454" s="1"/>
  <c r="E751" i="454"/>
  <c r="K751" i="454" s="1"/>
  <c r="AC751" i="454" s="1"/>
  <c r="E759" i="454"/>
  <c r="K759" i="454" s="1"/>
  <c r="AC759" i="454" s="1"/>
  <c r="E763" i="454"/>
  <c r="K763" i="454" s="1"/>
  <c r="AC763" i="454" s="1"/>
  <c r="E767" i="454"/>
  <c r="K767" i="454" s="1"/>
  <c r="AC767" i="454" s="1"/>
  <c r="E771" i="454"/>
  <c r="K771" i="454" s="1"/>
  <c r="AC771" i="454" s="1"/>
  <c r="E1082" i="454"/>
  <c r="K1082" i="454" s="1"/>
  <c r="AC1082" i="454" s="1"/>
  <c r="C577" i="5"/>
  <c r="O737" i="5"/>
  <c r="Q737" i="5" s="1"/>
  <c r="O767" i="5"/>
  <c r="H577" i="5"/>
  <c r="L577" i="5"/>
  <c r="O713" i="5"/>
  <c r="O731" i="5"/>
  <c r="O739" i="5"/>
  <c r="O749" i="5"/>
  <c r="O761" i="5"/>
  <c r="O729" i="5"/>
  <c r="Q729" i="5" s="1"/>
  <c r="O759" i="5"/>
  <c r="Q759" i="5" s="1"/>
  <c r="O708" i="5"/>
  <c r="Q708" i="5" s="1"/>
  <c r="O733" i="5"/>
  <c r="Q733" i="5" s="1"/>
  <c r="O741" i="5"/>
  <c r="O751" i="5"/>
  <c r="Q751" i="5" s="1"/>
  <c r="O763" i="5"/>
  <c r="Q763" i="5" s="1"/>
  <c r="O1082" i="5"/>
  <c r="O746" i="5"/>
  <c r="D577" i="5"/>
  <c r="F577" i="5"/>
  <c r="J577" i="5"/>
  <c r="N577" i="5"/>
  <c r="O725" i="5"/>
  <c r="O735" i="5"/>
  <c r="Q735" i="5" s="1"/>
  <c r="O743" i="5"/>
  <c r="Q743" i="5" s="1"/>
  <c r="O753" i="5"/>
  <c r="Q753" i="5" s="1"/>
  <c r="O765" i="5"/>
  <c r="Q765" i="5" s="1"/>
  <c r="O524" i="5"/>
  <c r="Q524" i="5" s="1"/>
  <c r="O423" i="5"/>
  <c r="Q423" i="5" s="1"/>
  <c r="O549" i="5"/>
  <c r="Q549" i="5" s="1"/>
  <c r="C1081" i="5"/>
  <c r="K707" i="5"/>
  <c r="G707" i="5"/>
  <c r="E745" i="5"/>
  <c r="M745" i="5"/>
  <c r="K745" i="5"/>
  <c r="Q741" i="5"/>
  <c r="D707" i="5"/>
  <c r="L707" i="5"/>
  <c r="F745" i="5"/>
  <c r="J745" i="5"/>
  <c r="N745" i="5"/>
  <c r="O567" i="5"/>
  <c r="Q567" i="5" s="1"/>
  <c r="N758" i="5"/>
  <c r="G758" i="5"/>
  <c r="K758" i="5"/>
  <c r="C586" i="5"/>
  <c r="C745" i="5"/>
  <c r="C758" i="5"/>
  <c r="O526" i="5"/>
  <c r="Q526" i="5" s="1"/>
  <c r="O551" i="5"/>
  <c r="Q551" i="5" s="1"/>
  <c r="O575" i="5"/>
  <c r="Q575" i="5" s="1"/>
  <c r="G745" i="5"/>
  <c r="C724" i="5"/>
  <c r="I745" i="5"/>
  <c r="D758" i="5"/>
  <c r="H758" i="5"/>
  <c r="L758" i="5"/>
  <c r="Q731" i="5"/>
  <c r="Q739" i="5"/>
  <c r="O483" i="5"/>
  <c r="Q483" i="5" s="1"/>
  <c r="F758" i="5"/>
  <c r="J758" i="5"/>
  <c r="O769" i="5"/>
  <c r="Q769" i="5" s="1"/>
  <c r="O771" i="5"/>
  <c r="Q771" i="5" s="1"/>
  <c r="C707" i="5"/>
  <c r="O534" i="5"/>
  <c r="Q534" i="5" s="1"/>
  <c r="I480" i="5"/>
  <c r="E480" i="5"/>
  <c r="F707" i="5"/>
  <c r="J707" i="5"/>
  <c r="N707" i="5"/>
  <c r="O517" i="5"/>
  <c r="Q517" i="5" s="1"/>
  <c r="C480" i="5"/>
  <c r="O513" i="5"/>
  <c r="Q513" i="5" s="1"/>
  <c r="O521" i="5"/>
  <c r="Q521" i="5" s="1"/>
  <c r="O530" i="5"/>
  <c r="Q530" i="5" s="1"/>
  <c r="O546" i="5"/>
  <c r="Q546" i="5" s="1"/>
  <c r="O563" i="5"/>
  <c r="Q563" i="5" s="1"/>
  <c r="Q749" i="5"/>
  <c r="H745" i="5"/>
  <c r="L745" i="5"/>
  <c r="E758" i="5"/>
  <c r="I758" i="5"/>
  <c r="M758" i="5"/>
  <c r="Q767" i="5"/>
  <c r="I707" i="5"/>
  <c r="M707" i="5"/>
  <c r="G480" i="5"/>
  <c r="H707" i="5"/>
  <c r="Q713" i="5"/>
  <c r="Q761" i="5"/>
  <c r="E707" i="5"/>
  <c r="D745" i="5"/>
  <c r="Q746" i="5"/>
  <c r="O496" i="5"/>
  <c r="Q496" i="5" s="1"/>
  <c r="O487" i="5"/>
  <c r="Q487" i="5" s="1"/>
  <c r="O481" i="5"/>
  <c r="Q481" i="5" s="1"/>
  <c r="D480" i="5"/>
  <c r="M480" i="5"/>
  <c r="F480" i="5"/>
  <c r="H480" i="5"/>
  <c r="J480" i="5"/>
  <c r="L480" i="5"/>
  <c r="O473" i="5"/>
  <c r="Q473" i="5" s="1"/>
  <c r="O580" i="5"/>
  <c r="Q580" i="5" s="1"/>
  <c r="O507" i="5"/>
  <c r="Q507" i="5" s="1"/>
  <c r="O538" i="5"/>
  <c r="Q538" i="5" s="1"/>
  <c r="O542" i="5"/>
  <c r="Q542" i="5" s="1"/>
  <c r="O555" i="5"/>
  <c r="Q555" i="5" s="1"/>
  <c r="O559" i="5"/>
  <c r="Q559" i="5" s="1"/>
  <c r="O571" i="5"/>
  <c r="Q571" i="5" s="1"/>
  <c r="O589" i="5"/>
  <c r="Q589" i="5" s="1"/>
  <c r="O510" i="5"/>
  <c r="Q510" i="5" s="1"/>
  <c r="O587" i="5"/>
  <c r="Q587" i="5" s="1"/>
  <c r="O578" i="5"/>
  <c r="Q578" i="5" s="1"/>
  <c r="O501" i="5"/>
  <c r="Q501" i="5" s="1"/>
  <c r="O490" i="5"/>
  <c r="Q490" i="5" s="1"/>
  <c r="O515" i="5"/>
  <c r="Q515" i="5" s="1"/>
  <c r="O519" i="5"/>
  <c r="Q519" i="5" s="1"/>
  <c r="O528" i="5"/>
  <c r="Q528" i="5" s="1"/>
  <c r="O532" i="5"/>
  <c r="Q532" i="5" s="1"/>
  <c r="O536" i="5"/>
  <c r="Q536" i="5" s="1"/>
  <c r="O540" i="5"/>
  <c r="Q540" i="5" s="1"/>
  <c r="O544" i="5"/>
  <c r="Q544" i="5" s="1"/>
  <c r="O553" i="5"/>
  <c r="Q553" i="5" s="1"/>
  <c r="O557" i="5"/>
  <c r="Q557" i="5" s="1"/>
  <c r="O561" i="5"/>
  <c r="Q561" i="5" s="1"/>
  <c r="O565" i="5"/>
  <c r="Q565" i="5" s="1"/>
  <c r="O569" i="5"/>
  <c r="Q569" i="5" s="1"/>
  <c r="O573" i="5"/>
  <c r="Q573" i="5" s="1"/>
  <c r="O363" i="5"/>
  <c r="Q363" i="5" s="1"/>
  <c r="Q419" i="5"/>
  <c r="H697" i="5" l="1"/>
  <c r="H696" i="5" s="1"/>
  <c r="I697" i="5"/>
  <c r="I696" i="5" s="1"/>
  <c r="N697" i="5"/>
  <c r="N696" i="5" s="1"/>
  <c r="F697" i="5"/>
  <c r="F696" i="5" s="1"/>
  <c r="O707" i="5"/>
  <c r="C697" i="5"/>
  <c r="D697" i="5"/>
  <c r="D696" i="5" s="1"/>
  <c r="G697" i="5"/>
  <c r="G696" i="5" s="1"/>
  <c r="K697" i="5"/>
  <c r="K696" i="5" s="1"/>
  <c r="E697" i="5"/>
  <c r="E696" i="5" s="1"/>
  <c r="M697" i="5"/>
  <c r="M696" i="5" s="1"/>
  <c r="J697" i="5"/>
  <c r="J696" i="5" s="1"/>
  <c r="L697" i="5"/>
  <c r="L696" i="5" s="1"/>
  <c r="E577" i="454"/>
  <c r="K577" i="454" s="1"/>
  <c r="AC577" i="454" s="1"/>
  <c r="E480" i="454"/>
  <c r="K480" i="454" s="1"/>
  <c r="AC480" i="454" s="1"/>
  <c r="E707" i="454"/>
  <c r="K707" i="454" s="1"/>
  <c r="AC707" i="454" s="1"/>
  <c r="E724" i="454"/>
  <c r="K724" i="454" s="1"/>
  <c r="AC724" i="454" s="1"/>
  <c r="E758" i="454"/>
  <c r="K758" i="454" s="1"/>
  <c r="AC758" i="454" s="1"/>
  <c r="E745" i="454"/>
  <c r="K745" i="454" s="1"/>
  <c r="AC745" i="454" s="1"/>
  <c r="E586" i="454"/>
  <c r="K586" i="454" s="1"/>
  <c r="AC586" i="454" s="1"/>
  <c r="E1081" i="454"/>
  <c r="K1081" i="454" s="1"/>
  <c r="AC1081" i="454" s="1"/>
  <c r="O758" i="5"/>
  <c r="Q758" i="5" s="1"/>
  <c r="O724" i="5"/>
  <c r="Q724" i="5" s="1"/>
  <c r="O745" i="5"/>
  <c r="Q745" i="5" s="1"/>
  <c r="Q707" i="5"/>
  <c r="O1081" i="5"/>
  <c r="F723" i="5"/>
  <c r="F722" i="5" s="1"/>
  <c r="F721" i="5" s="1"/>
  <c r="F720" i="5" s="1"/>
  <c r="F719" i="5" s="1"/>
  <c r="O586" i="5"/>
  <c r="Q586" i="5" s="1"/>
  <c r="E723" i="5"/>
  <c r="E722" i="5" s="1"/>
  <c r="E721" i="5" s="1"/>
  <c r="E720" i="5" s="1"/>
  <c r="E719" i="5" s="1"/>
  <c r="M723" i="5"/>
  <c r="M722" i="5" s="1"/>
  <c r="M721" i="5" s="1"/>
  <c r="M720" i="5" s="1"/>
  <c r="M719" i="5" s="1"/>
  <c r="G723" i="5"/>
  <c r="G722" i="5" s="1"/>
  <c r="G721" i="5" s="1"/>
  <c r="G720" i="5" s="1"/>
  <c r="G719" i="5" s="1"/>
  <c r="K723" i="5"/>
  <c r="K722" i="5" s="1"/>
  <c r="K721" i="5" s="1"/>
  <c r="K720" i="5" s="1"/>
  <c r="K719" i="5" s="1"/>
  <c r="J723" i="5"/>
  <c r="J722" i="5" s="1"/>
  <c r="J721" i="5" s="1"/>
  <c r="J720" i="5" s="1"/>
  <c r="J719" i="5" s="1"/>
  <c r="L723" i="5"/>
  <c r="L722" i="5" s="1"/>
  <c r="L721" i="5" s="1"/>
  <c r="L720" i="5" s="1"/>
  <c r="L719" i="5" s="1"/>
  <c r="N723" i="5"/>
  <c r="N722" i="5" s="1"/>
  <c r="N721" i="5" s="1"/>
  <c r="N720" i="5" s="1"/>
  <c r="N719" i="5" s="1"/>
  <c r="I723" i="5"/>
  <c r="I722" i="5" s="1"/>
  <c r="I721" i="5" s="1"/>
  <c r="I720" i="5" s="1"/>
  <c r="I719" i="5" s="1"/>
  <c r="C723" i="5"/>
  <c r="H723" i="5"/>
  <c r="H722" i="5" s="1"/>
  <c r="H721" i="5" s="1"/>
  <c r="H720" i="5" s="1"/>
  <c r="H719" i="5" s="1"/>
  <c r="O480" i="5"/>
  <c r="Q480" i="5" s="1"/>
  <c r="R724" i="5"/>
  <c r="S724" i="5" s="1"/>
  <c r="Q725" i="5"/>
  <c r="D723" i="5"/>
  <c r="D722" i="5" s="1"/>
  <c r="D1011" i="5"/>
  <c r="E1011" i="5"/>
  <c r="E1010" i="5" s="1"/>
  <c r="F1011" i="5"/>
  <c r="F1010" i="5" s="1"/>
  <c r="G1011" i="5"/>
  <c r="G1010" i="5" s="1"/>
  <c r="H1011" i="5"/>
  <c r="H1010" i="5" s="1"/>
  <c r="I1011" i="5"/>
  <c r="I1010" i="5" s="1"/>
  <c r="J1011" i="5"/>
  <c r="J1010" i="5" s="1"/>
  <c r="K1011" i="5"/>
  <c r="K1010" i="5" s="1"/>
  <c r="L1011" i="5"/>
  <c r="L1010" i="5" s="1"/>
  <c r="M1011" i="5"/>
  <c r="M1010" i="5" s="1"/>
  <c r="N1011" i="5"/>
  <c r="N1010" i="5" s="1"/>
  <c r="D922" i="5"/>
  <c r="E922" i="5"/>
  <c r="F922" i="5"/>
  <c r="G922" i="5"/>
  <c r="H922" i="5"/>
  <c r="I922" i="5"/>
  <c r="J922" i="5"/>
  <c r="K922" i="5"/>
  <c r="L922" i="5"/>
  <c r="M922" i="5"/>
  <c r="N922" i="5"/>
  <c r="C922" i="5"/>
  <c r="E697" i="454" l="1"/>
  <c r="K697" i="454" s="1"/>
  <c r="AC697" i="454" s="1"/>
  <c r="E922" i="454"/>
  <c r="K922" i="454" s="1"/>
  <c r="AC922" i="454" s="1"/>
  <c r="E723" i="454"/>
  <c r="K723" i="454" s="1"/>
  <c r="AC723" i="454" s="1"/>
  <c r="O723" i="5"/>
  <c r="Q723" i="5" s="1"/>
  <c r="O697" i="5"/>
  <c r="Q697" i="5" s="1"/>
  <c r="O922" i="5"/>
  <c r="D1010" i="5"/>
  <c r="D721" i="5"/>
  <c r="C722" i="5"/>
  <c r="O577" i="5"/>
  <c r="Q577" i="5" s="1"/>
  <c r="C1011" i="5"/>
  <c r="C696" i="5"/>
  <c r="O845" i="5"/>
  <c r="O846" i="5"/>
  <c r="F338" i="5"/>
  <c r="F337" i="5" s="1"/>
  <c r="Q665" i="5"/>
  <c r="Q666" i="5"/>
  <c r="D627" i="5"/>
  <c r="E627" i="5"/>
  <c r="F627" i="5"/>
  <c r="G627" i="5"/>
  <c r="H627" i="5"/>
  <c r="I627" i="5"/>
  <c r="J627" i="5"/>
  <c r="K627" i="5"/>
  <c r="L627" i="5"/>
  <c r="M627" i="5"/>
  <c r="N627" i="5"/>
  <c r="C627" i="5"/>
  <c r="O250" i="5"/>
  <c r="Q250" i="5" s="1"/>
  <c r="O328" i="5"/>
  <c r="Q328" i="5" s="1"/>
  <c r="O329" i="5"/>
  <c r="Q329" i="5" s="1"/>
  <c r="O330" i="5"/>
  <c r="Q330" i="5" s="1"/>
  <c r="O331" i="5"/>
  <c r="Q331" i="5" s="1"/>
  <c r="O332" i="5"/>
  <c r="Q332" i="5" s="1"/>
  <c r="O340" i="5"/>
  <c r="Q340" i="5" s="1"/>
  <c r="O341" i="5"/>
  <c r="Q341" i="5" s="1"/>
  <c r="D338" i="5"/>
  <c r="E338" i="5"/>
  <c r="E337" i="5" s="1"/>
  <c r="G338" i="5"/>
  <c r="G337" i="5" s="1"/>
  <c r="I338" i="5"/>
  <c r="I337" i="5" s="1"/>
  <c r="J338" i="5"/>
  <c r="J337" i="5" s="1"/>
  <c r="K338" i="5"/>
  <c r="K337" i="5" s="1"/>
  <c r="L338" i="5"/>
  <c r="L337" i="5" s="1"/>
  <c r="M338" i="5"/>
  <c r="M337" i="5" s="1"/>
  <c r="N338" i="5"/>
  <c r="N337" i="5" s="1"/>
  <c r="C346" i="5"/>
  <c r="F272" i="5"/>
  <c r="O274" i="5"/>
  <c r="Q274" i="5" s="1"/>
  <c r="E272" i="454" l="1"/>
  <c r="K272" i="454" s="1"/>
  <c r="AC272" i="454" s="1"/>
  <c r="E627" i="454"/>
  <c r="K627" i="454" s="1"/>
  <c r="AC627" i="454" s="1"/>
  <c r="E696" i="454"/>
  <c r="K696" i="454" s="1"/>
  <c r="AC696" i="454" s="1"/>
  <c r="E1011" i="454"/>
  <c r="K1011" i="454" s="1"/>
  <c r="AC1011" i="454" s="1"/>
  <c r="E722" i="454"/>
  <c r="K722" i="454" s="1"/>
  <c r="AC722" i="454" s="1"/>
  <c r="O722" i="5"/>
  <c r="Q722" i="5" s="1"/>
  <c r="O696" i="5"/>
  <c r="Q696" i="5" s="1"/>
  <c r="O627" i="5"/>
  <c r="Q627" i="5" s="1"/>
  <c r="O1011" i="5"/>
  <c r="D720" i="5"/>
  <c r="D337" i="5"/>
  <c r="C721" i="5"/>
  <c r="C1010" i="5"/>
  <c r="C338" i="5"/>
  <c r="O339" i="5"/>
  <c r="Q339" i="5" s="1"/>
  <c r="H338" i="5"/>
  <c r="H337" i="5" s="1"/>
  <c r="E338" i="454" l="1"/>
  <c r="K338" i="454" s="1"/>
  <c r="AC338" i="454" s="1"/>
  <c r="E1010" i="454"/>
  <c r="K1010" i="454" s="1"/>
  <c r="AC1010" i="454" s="1"/>
  <c r="E721" i="454"/>
  <c r="K721" i="454" s="1"/>
  <c r="AC721" i="454" s="1"/>
  <c r="O721" i="5"/>
  <c r="Q721" i="5" s="1"/>
  <c r="O1010" i="5"/>
  <c r="D719" i="5"/>
  <c r="C720" i="5"/>
  <c r="C337" i="5"/>
  <c r="O338" i="5"/>
  <c r="Q338" i="5" s="1"/>
  <c r="E337" i="454" l="1"/>
  <c r="K337" i="454" s="1"/>
  <c r="AC337" i="454" s="1"/>
  <c r="E720" i="454"/>
  <c r="K720" i="454" s="1"/>
  <c r="AC720" i="454" s="1"/>
  <c r="O720" i="5"/>
  <c r="O337" i="5"/>
  <c r="Q337" i="5" s="1"/>
  <c r="Q720" i="5"/>
  <c r="C719" i="5"/>
  <c r="E719" i="454" l="1"/>
  <c r="K719" i="454" s="1"/>
  <c r="AC719" i="454" s="1"/>
  <c r="O719" i="5"/>
  <c r="Q719" i="5"/>
  <c r="Q314" i="5" l="1"/>
  <c r="O82" i="5" l="1"/>
  <c r="Q82" i="5" s="1"/>
  <c r="C81" i="5"/>
  <c r="C79" i="5"/>
  <c r="O940" i="5" l="1"/>
  <c r="D350" i="5"/>
  <c r="E350" i="5"/>
  <c r="F350" i="5"/>
  <c r="H350" i="5"/>
  <c r="I350" i="5"/>
  <c r="J350" i="5"/>
  <c r="K350" i="5"/>
  <c r="L350" i="5"/>
  <c r="M350" i="5"/>
  <c r="N350" i="5"/>
  <c r="Q359" i="5"/>
  <c r="Q362" i="5"/>
  <c r="N361" i="5"/>
  <c r="M361" i="5"/>
  <c r="L361" i="5"/>
  <c r="K361" i="5"/>
  <c r="J361" i="5"/>
  <c r="I361" i="5"/>
  <c r="H361" i="5"/>
  <c r="F361" i="5"/>
  <c r="E361" i="5"/>
  <c r="D361" i="5"/>
  <c r="C355" i="5"/>
  <c r="C361" i="5"/>
  <c r="E361" i="454" l="1"/>
  <c r="K361" i="454" s="1"/>
  <c r="AC361" i="454" s="1"/>
  <c r="O361" i="5"/>
  <c r="Q361" i="5" s="1"/>
  <c r="C354" i="5"/>
  <c r="O432" i="5"/>
  <c r="Q432" i="5" s="1"/>
  <c r="Q415" i="5"/>
  <c r="C1028" i="5"/>
  <c r="O357" i="5"/>
  <c r="Q357" i="5" s="1"/>
  <c r="E1028" i="454" l="1"/>
  <c r="K1028" i="454" s="1"/>
  <c r="AC1028" i="454" s="1"/>
  <c r="O1028" i="5"/>
  <c r="C1027" i="5"/>
  <c r="E1027" i="454" l="1"/>
  <c r="K1027" i="454" s="1"/>
  <c r="AC1027" i="454" s="1"/>
  <c r="O1027" i="5"/>
  <c r="N1132" i="5" l="1"/>
  <c r="M1132" i="5"/>
  <c r="L1132" i="5"/>
  <c r="K1132" i="5"/>
  <c r="J1132" i="5"/>
  <c r="I1132" i="5"/>
  <c r="H1132" i="5"/>
  <c r="G1132" i="5"/>
  <c r="F1132" i="5"/>
  <c r="E1132" i="5"/>
  <c r="D1132" i="5"/>
  <c r="C1132" i="5"/>
  <c r="N1125" i="5"/>
  <c r="M1125" i="5"/>
  <c r="L1125" i="5"/>
  <c r="K1125" i="5"/>
  <c r="J1125" i="5"/>
  <c r="I1125" i="5"/>
  <c r="H1125" i="5"/>
  <c r="G1125" i="5"/>
  <c r="F1125" i="5"/>
  <c r="E1125" i="5"/>
  <c r="D1125" i="5"/>
  <c r="N1123" i="5"/>
  <c r="N1122" i="5" s="1"/>
  <c r="N1121" i="5" s="1"/>
  <c r="M1123" i="5"/>
  <c r="M1122" i="5" s="1"/>
  <c r="M1121" i="5" s="1"/>
  <c r="L1123" i="5"/>
  <c r="L1122" i="5" s="1"/>
  <c r="L1121" i="5" s="1"/>
  <c r="K1123" i="5"/>
  <c r="K1122" i="5" s="1"/>
  <c r="K1121" i="5" s="1"/>
  <c r="J1123" i="5"/>
  <c r="J1122" i="5" s="1"/>
  <c r="J1121" i="5" s="1"/>
  <c r="I1123" i="5"/>
  <c r="I1122" i="5" s="1"/>
  <c r="I1121" i="5" s="1"/>
  <c r="H1123" i="5"/>
  <c r="H1122" i="5" s="1"/>
  <c r="H1121" i="5" s="1"/>
  <c r="G1123" i="5"/>
  <c r="G1122" i="5" s="1"/>
  <c r="G1121" i="5" s="1"/>
  <c r="F1123" i="5"/>
  <c r="F1122" i="5" s="1"/>
  <c r="F1121" i="5" s="1"/>
  <c r="E1123" i="5"/>
  <c r="E1122" i="5" s="1"/>
  <c r="E1121" i="5" s="1"/>
  <c r="D1123" i="5"/>
  <c r="D1122" i="5" s="1"/>
  <c r="D1121" i="5" s="1"/>
  <c r="C1123" i="5"/>
  <c r="N1118" i="5"/>
  <c r="N1116" i="5" s="1"/>
  <c r="N1115" i="5" s="1"/>
  <c r="N1114" i="5" s="1"/>
  <c r="N1113" i="5" s="1"/>
  <c r="N1112" i="5" s="1"/>
  <c r="M1118" i="5"/>
  <c r="M1116" i="5" s="1"/>
  <c r="M1115" i="5" s="1"/>
  <c r="M1114" i="5" s="1"/>
  <c r="M1113" i="5" s="1"/>
  <c r="M1112" i="5" s="1"/>
  <c r="L1118" i="5"/>
  <c r="L1116" i="5" s="1"/>
  <c r="L1115" i="5" s="1"/>
  <c r="L1114" i="5" s="1"/>
  <c r="L1113" i="5" s="1"/>
  <c r="L1112" i="5" s="1"/>
  <c r="K1118" i="5"/>
  <c r="K1116" i="5" s="1"/>
  <c r="K1115" i="5" s="1"/>
  <c r="K1114" i="5" s="1"/>
  <c r="K1113" i="5" s="1"/>
  <c r="K1112" i="5" s="1"/>
  <c r="J1118" i="5"/>
  <c r="J1116" i="5" s="1"/>
  <c r="J1115" i="5" s="1"/>
  <c r="J1114" i="5" s="1"/>
  <c r="J1113" i="5" s="1"/>
  <c r="J1112" i="5" s="1"/>
  <c r="I1118" i="5"/>
  <c r="I1116" i="5" s="1"/>
  <c r="I1115" i="5" s="1"/>
  <c r="I1114" i="5" s="1"/>
  <c r="I1113" i="5" s="1"/>
  <c r="I1112" i="5" s="1"/>
  <c r="H1118" i="5"/>
  <c r="H1116" i="5" s="1"/>
  <c r="H1115" i="5" s="1"/>
  <c r="H1114" i="5" s="1"/>
  <c r="H1113" i="5" s="1"/>
  <c r="H1112" i="5" s="1"/>
  <c r="G1118" i="5"/>
  <c r="G1116" i="5" s="1"/>
  <c r="G1115" i="5" s="1"/>
  <c r="G1114" i="5" s="1"/>
  <c r="G1113" i="5" s="1"/>
  <c r="G1112" i="5" s="1"/>
  <c r="F1118" i="5"/>
  <c r="F1116" i="5" s="1"/>
  <c r="F1115" i="5" s="1"/>
  <c r="F1114" i="5" s="1"/>
  <c r="F1113" i="5" s="1"/>
  <c r="F1112" i="5" s="1"/>
  <c r="E1118" i="5"/>
  <c r="E1116" i="5" s="1"/>
  <c r="E1115" i="5" s="1"/>
  <c r="E1114" i="5" s="1"/>
  <c r="E1113" i="5" s="1"/>
  <c r="E1112" i="5" s="1"/>
  <c r="D1118" i="5"/>
  <c r="D1116" i="5" s="1"/>
  <c r="D1115" i="5" s="1"/>
  <c r="D1114" i="5" s="1"/>
  <c r="D1113" i="5" s="1"/>
  <c r="D1112" i="5" s="1"/>
  <c r="C1118" i="5"/>
  <c r="E1132" i="454" l="1"/>
  <c r="K1132" i="454" s="1"/>
  <c r="AC1132" i="454" s="1"/>
  <c r="E1118" i="454"/>
  <c r="K1118" i="454" s="1"/>
  <c r="AC1118" i="454" s="1"/>
  <c r="E1123" i="454"/>
  <c r="K1123" i="454" s="1"/>
  <c r="AC1123" i="454" s="1"/>
  <c r="O1132" i="5"/>
  <c r="C1122" i="5"/>
  <c r="M1120" i="5"/>
  <c r="M1111" i="5" s="1"/>
  <c r="J1120" i="5"/>
  <c r="N1120" i="5"/>
  <c r="N1111" i="5" s="1"/>
  <c r="F1120" i="5"/>
  <c r="F1111" i="5" s="1"/>
  <c r="E1120" i="5"/>
  <c r="E1111" i="5" s="1"/>
  <c r="I1120" i="5"/>
  <c r="I1111" i="5" s="1"/>
  <c r="C1116" i="5"/>
  <c r="G1120" i="5"/>
  <c r="G1111" i="5" s="1"/>
  <c r="K1120" i="5"/>
  <c r="K1111" i="5" s="1"/>
  <c r="C1125" i="5"/>
  <c r="D1120" i="5"/>
  <c r="D1111" i="5" s="1"/>
  <c r="H1120" i="5"/>
  <c r="H1111" i="5" s="1"/>
  <c r="L1120" i="5"/>
  <c r="L1111" i="5" s="1"/>
  <c r="E1125" i="454" l="1"/>
  <c r="K1125" i="454" s="1"/>
  <c r="AC1125" i="454" s="1"/>
  <c r="E1116" i="454"/>
  <c r="K1116" i="454" s="1"/>
  <c r="AC1116" i="454" s="1"/>
  <c r="E1122" i="454"/>
  <c r="K1122" i="454" s="1"/>
  <c r="AC1122" i="454" s="1"/>
  <c r="J1111" i="5"/>
  <c r="C1121" i="5"/>
  <c r="C1115" i="5"/>
  <c r="O837" i="5"/>
  <c r="L1022" i="5"/>
  <c r="K1022" i="5"/>
  <c r="J1022" i="5"/>
  <c r="I1022" i="5"/>
  <c r="G1022" i="5"/>
  <c r="F1022" i="5"/>
  <c r="E1022" i="5"/>
  <c r="D1022" i="5"/>
  <c r="N1022" i="5"/>
  <c r="M1022" i="5"/>
  <c r="H1022" i="5"/>
  <c r="M1017" i="5"/>
  <c r="L1017" i="5"/>
  <c r="K1017" i="5"/>
  <c r="J1017" i="5"/>
  <c r="I1017" i="5"/>
  <c r="H1017" i="5"/>
  <c r="G1017" i="5"/>
  <c r="F1017" i="5"/>
  <c r="E1017" i="5"/>
  <c r="D1017" i="5"/>
  <c r="N1017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N1003" i="5"/>
  <c r="M1003" i="5"/>
  <c r="M1002" i="5" s="1"/>
  <c r="M1001" i="5" s="1"/>
  <c r="L1003" i="5"/>
  <c r="L1002" i="5" s="1"/>
  <c r="L1001" i="5" s="1"/>
  <c r="K1003" i="5"/>
  <c r="K1002" i="5" s="1"/>
  <c r="K1001" i="5" s="1"/>
  <c r="J1003" i="5"/>
  <c r="J1002" i="5" s="1"/>
  <c r="J1001" i="5" s="1"/>
  <c r="I1003" i="5"/>
  <c r="I1002" i="5" s="1"/>
  <c r="I1001" i="5" s="1"/>
  <c r="H1003" i="5"/>
  <c r="G1003" i="5"/>
  <c r="F1003" i="5"/>
  <c r="E1003" i="5"/>
  <c r="E1002" i="5" s="1"/>
  <c r="E1001" i="5" s="1"/>
  <c r="D1003" i="5"/>
  <c r="C1003" i="5"/>
  <c r="N1002" i="5"/>
  <c r="N1001" i="5" s="1"/>
  <c r="N992" i="5"/>
  <c r="M992" i="5"/>
  <c r="L992" i="5"/>
  <c r="K992" i="5"/>
  <c r="J992" i="5"/>
  <c r="I992" i="5"/>
  <c r="H992" i="5"/>
  <c r="G992" i="5"/>
  <c r="F992" i="5"/>
  <c r="E992" i="5"/>
  <c r="D992" i="5"/>
  <c r="N990" i="5"/>
  <c r="M990" i="5"/>
  <c r="L990" i="5"/>
  <c r="L987" i="5" s="1"/>
  <c r="K990" i="5"/>
  <c r="K987" i="5" s="1"/>
  <c r="J990" i="5"/>
  <c r="J987" i="5" s="1"/>
  <c r="I990" i="5"/>
  <c r="I987" i="5" s="1"/>
  <c r="H990" i="5"/>
  <c r="H987" i="5" s="1"/>
  <c r="G990" i="5"/>
  <c r="G987" i="5" s="1"/>
  <c r="F990" i="5"/>
  <c r="F987" i="5" s="1"/>
  <c r="E990" i="5"/>
  <c r="E987" i="5" s="1"/>
  <c r="D990" i="5"/>
  <c r="D987" i="5" s="1"/>
  <c r="C990" i="5"/>
  <c r="N987" i="5"/>
  <c r="M987" i="5"/>
  <c r="N985" i="5"/>
  <c r="M985" i="5"/>
  <c r="M982" i="5" s="1"/>
  <c r="L985" i="5"/>
  <c r="L982" i="5" s="1"/>
  <c r="K985" i="5"/>
  <c r="K982" i="5" s="1"/>
  <c r="J985" i="5"/>
  <c r="J982" i="5" s="1"/>
  <c r="I985" i="5"/>
  <c r="I982" i="5" s="1"/>
  <c r="H985" i="5"/>
  <c r="H982" i="5" s="1"/>
  <c r="G985" i="5"/>
  <c r="G982" i="5" s="1"/>
  <c r="F985" i="5"/>
  <c r="F982" i="5" s="1"/>
  <c r="E985" i="5"/>
  <c r="E982" i="5" s="1"/>
  <c r="D985" i="5"/>
  <c r="D982" i="5" s="1"/>
  <c r="C985" i="5"/>
  <c r="N982" i="5"/>
  <c r="N929" i="5"/>
  <c r="N928" i="5" s="1"/>
  <c r="M929" i="5"/>
  <c r="M928" i="5" s="1"/>
  <c r="L929" i="5"/>
  <c r="L928" i="5" s="1"/>
  <c r="K929" i="5"/>
  <c r="K928" i="5" s="1"/>
  <c r="J929" i="5"/>
  <c r="J928" i="5" s="1"/>
  <c r="I929" i="5"/>
  <c r="I928" i="5" s="1"/>
  <c r="H929" i="5"/>
  <c r="H928" i="5" s="1"/>
  <c r="G929" i="5"/>
  <c r="G928" i="5" s="1"/>
  <c r="F929" i="5"/>
  <c r="F928" i="5" s="1"/>
  <c r="E929" i="5"/>
  <c r="E928" i="5" s="1"/>
  <c r="D929" i="5"/>
  <c r="D928" i="5" s="1"/>
  <c r="C929" i="5"/>
  <c r="G921" i="5"/>
  <c r="F921" i="5"/>
  <c r="E921" i="5"/>
  <c r="D921" i="5"/>
  <c r="N921" i="5"/>
  <c r="M921" i="5"/>
  <c r="L921" i="5"/>
  <c r="K921" i="5"/>
  <c r="J921" i="5"/>
  <c r="I921" i="5"/>
  <c r="H921" i="5"/>
  <c r="N918" i="5"/>
  <c r="N917" i="5" s="1"/>
  <c r="N916" i="5" s="1"/>
  <c r="M918" i="5"/>
  <c r="M917" i="5" s="1"/>
  <c r="M916" i="5" s="1"/>
  <c r="L918" i="5"/>
  <c r="L917" i="5" s="1"/>
  <c r="L916" i="5" s="1"/>
  <c r="K918" i="5"/>
  <c r="K917" i="5" s="1"/>
  <c r="K916" i="5" s="1"/>
  <c r="J918" i="5"/>
  <c r="J917" i="5" s="1"/>
  <c r="J916" i="5" s="1"/>
  <c r="I918" i="5"/>
  <c r="I917" i="5" s="1"/>
  <c r="I916" i="5" s="1"/>
  <c r="H918" i="5"/>
  <c r="H917" i="5" s="1"/>
  <c r="H916" i="5" s="1"/>
  <c r="G918" i="5"/>
  <c r="G917" i="5" s="1"/>
  <c r="G916" i="5" s="1"/>
  <c r="F918" i="5"/>
  <c r="F917" i="5" s="1"/>
  <c r="F916" i="5" s="1"/>
  <c r="E918" i="5"/>
  <c r="E917" i="5" s="1"/>
  <c r="E916" i="5" s="1"/>
  <c r="D918" i="5"/>
  <c r="D917" i="5" s="1"/>
  <c r="D916" i="5" s="1"/>
  <c r="C918" i="5"/>
  <c r="N911" i="5"/>
  <c r="N910" i="5" s="1"/>
  <c r="M911" i="5"/>
  <c r="M910" i="5" s="1"/>
  <c r="L911" i="5"/>
  <c r="L910" i="5" s="1"/>
  <c r="K911" i="5"/>
  <c r="K910" i="5" s="1"/>
  <c r="J911" i="5"/>
  <c r="J910" i="5" s="1"/>
  <c r="I911" i="5"/>
  <c r="I910" i="5" s="1"/>
  <c r="H911" i="5"/>
  <c r="H910" i="5" s="1"/>
  <c r="G911" i="5"/>
  <c r="G910" i="5" s="1"/>
  <c r="F911" i="5"/>
  <c r="F910" i="5" s="1"/>
  <c r="E911" i="5"/>
  <c r="E910" i="5" s="1"/>
  <c r="D911" i="5"/>
  <c r="D910" i="5" s="1"/>
  <c r="C911" i="5"/>
  <c r="N903" i="5"/>
  <c r="M903" i="5"/>
  <c r="L903" i="5"/>
  <c r="K903" i="5"/>
  <c r="J903" i="5"/>
  <c r="I903" i="5"/>
  <c r="I902" i="5" s="1"/>
  <c r="I901" i="5" s="1"/>
  <c r="H903" i="5"/>
  <c r="H902" i="5" s="1"/>
  <c r="H901" i="5" s="1"/>
  <c r="G903" i="5"/>
  <c r="G902" i="5" s="1"/>
  <c r="G901" i="5" s="1"/>
  <c r="F903" i="5"/>
  <c r="F902" i="5" s="1"/>
  <c r="F901" i="5" s="1"/>
  <c r="E903" i="5"/>
  <c r="E902" i="5" s="1"/>
  <c r="E901" i="5" s="1"/>
  <c r="D903" i="5"/>
  <c r="D902" i="5" s="1"/>
  <c r="D901" i="5" s="1"/>
  <c r="C903" i="5"/>
  <c r="N902" i="5"/>
  <c r="N901" i="5" s="1"/>
  <c r="M902" i="5"/>
  <c r="M901" i="5" s="1"/>
  <c r="L902" i="5"/>
  <c r="L901" i="5" s="1"/>
  <c r="N899" i="5"/>
  <c r="N896" i="5" s="1"/>
  <c r="M899" i="5"/>
  <c r="M896" i="5" s="1"/>
  <c r="L899" i="5"/>
  <c r="L896" i="5" s="1"/>
  <c r="K899" i="5"/>
  <c r="K896" i="5" s="1"/>
  <c r="J899" i="5"/>
  <c r="J896" i="5" s="1"/>
  <c r="I899" i="5"/>
  <c r="I896" i="5" s="1"/>
  <c r="H899" i="5"/>
  <c r="H896" i="5" s="1"/>
  <c r="G899" i="5"/>
  <c r="G896" i="5" s="1"/>
  <c r="F899" i="5"/>
  <c r="F896" i="5" s="1"/>
  <c r="E899" i="5"/>
  <c r="E896" i="5" s="1"/>
  <c r="D899" i="5"/>
  <c r="D896" i="5" s="1"/>
  <c r="C899" i="5"/>
  <c r="K873" i="5"/>
  <c r="K861" i="5" s="1"/>
  <c r="J873" i="5"/>
  <c r="J861" i="5" s="1"/>
  <c r="I873" i="5"/>
  <c r="I861" i="5" s="1"/>
  <c r="H873" i="5"/>
  <c r="H861" i="5" s="1"/>
  <c r="F873" i="5"/>
  <c r="F861" i="5" s="1"/>
  <c r="E873" i="5"/>
  <c r="E861" i="5" s="1"/>
  <c r="D873" i="5"/>
  <c r="N873" i="5"/>
  <c r="N861" i="5" s="1"/>
  <c r="M873" i="5"/>
  <c r="M861" i="5" s="1"/>
  <c r="L873" i="5"/>
  <c r="L861" i="5" s="1"/>
  <c r="I853" i="5"/>
  <c r="I852" i="5" s="1"/>
  <c r="H853" i="5"/>
  <c r="H852" i="5" s="1"/>
  <c r="G853" i="5"/>
  <c r="G852" i="5" s="1"/>
  <c r="F853" i="5"/>
  <c r="F852" i="5" s="1"/>
  <c r="E853" i="5"/>
  <c r="E852" i="5" s="1"/>
  <c r="D853" i="5"/>
  <c r="N853" i="5"/>
  <c r="N852" i="5" s="1"/>
  <c r="M853" i="5"/>
  <c r="M852" i="5" s="1"/>
  <c r="L853" i="5"/>
  <c r="L852" i="5" s="1"/>
  <c r="K853" i="5"/>
  <c r="K852" i="5" s="1"/>
  <c r="J853" i="5"/>
  <c r="J852" i="5" s="1"/>
  <c r="N844" i="5"/>
  <c r="M844" i="5"/>
  <c r="L844" i="5"/>
  <c r="K844" i="5"/>
  <c r="J844" i="5"/>
  <c r="I844" i="5"/>
  <c r="H844" i="5"/>
  <c r="G844" i="5"/>
  <c r="F844" i="5"/>
  <c r="E844" i="5"/>
  <c r="D844" i="5"/>
  <c r="N836" i="5"/>
  <c r="K836" i="5"/>
  <c r="J836" i="5"/>
  <c r="I836" i="5"/>
  <c r="H836" i="5"/>
  <c r="G836" i="5"/>
  <c r="F836" i="5"/>
  <c r="E836" i="5"/>
  <c r="D836" i="5"/>
  <c r="O841" i="5"/>
  <c r="M836" i="5"/>
  <c r="L836" i="5"/>
  <c r="N823" i="5"/>
  <c r="M824" i="5"/>
  <c r="M823" i="5" s="1"/>
  <c r="L824" i="5"/>
  <c r="L823" i="5" s="1"/>
  <c r="K824" i="5"/>
  <c r="J824" i="5"/>
  <c r="J823" i="5" s="1"/>
  <c r="I824" i="5"/>
  <c r="I823" i="5" s="1"/>
  <c r="H824" i="5"/>
  <c r="H823" i="5" s="1"/>
  <c r="G824" i="5"/>
  <c r="G823" i="5" s="1"/>
  <c r="F824" i="5"/>
  <c r="F823" i="5" s="1"/>
  <c r="E824" i="5"/>
  <c r="E823" i="5" s="1"/>
  <c r="D824" i="5"/>
  <c r="O997" i="5" l="1"/>
  <c r="C992" i="5"/>
  <c r="O903" i="5"/>
  <c r="E824" i="454"/>
  <c r="K824" i="454" s="1"/>
  <c r="AC824" i="454" s="1"/>
  <c r="E841" i="454"/>
  <c r="K841" i="454" s="1"/>
  <c r="AC841" i="454" s="1"/>
  <c r="E853" i="454"/>
  <c r="K853" i="454" s="1"/>
  <c r="AC853" i="454" s="1"/>
  <c r="E899" i="454"/>
  <c r="K899" i="454" s="1"/>
  <c r="AC899" i="454" s="1"/>
  <c r="E929" i="454"/>
  <c r="K929" i="454" s="1"/>
  <c r="AC929" i="454" s="1"/>
  <c r="E1003" i="454"/>
  <c r="K1003" i="454" s="1"/>
  <c r="AC1003" i="454" s="1"/>
  <c r="E1006" i="454"/>
  <c r="K1006" i="454" s="1"/>
  <c r="AC1006" i="454" s="1"/>
  <c r="E1022" i="454"/>
  <c r="K1022" i="454" s="1"/>
  <c r="AC1022" i="454" s="1"/>
  <c r="D861" i="5"/>
  <c r="E873" i="454"/>
  <c r="K873" i="454" s="1"/>
  <c r="AC873" i="454" s="1"/>
  <c r="K851" i="5"/>
  <c r="E903" i="454"/>
  <c r="K903" i="454" s="1"/>
  <c r="AC903" i="454" s="1"/>
  <c r="E911" i="454"/>
  <c r="K911" i="454" s="1"/>
  <c r="AC911" i="454" s="1"/>
  <c r="E918" i="454"/>
  <c r="K918" i="454" s="1"/>
  <c r="AC918" i="454" s="1"/>
  <c r="E985" i="454"/>
  <c r="K985" i="454" s="1"/>
  <c r="AC985" i="454" s="1"/>
  <c r="E990" i="454"/>
  <c r="K990" i="454" s="1"/>
  <c r="AC990" i="454" s="1"/>
  <c r="E997" i="454"/>
  <c r="K997" i="454" s="1"/>
  <c r="AC997" i="454" s="1"/>
  <c r="E1115" i="454"/>
  <c r="K1115" i="454" s="1"/>
  <c r="AC1115" i="454" s="1"/>
  <c r="E1121" i="454"/>
  <c r="K1121" i="454" s="1"/>
  <c r="AC1121" i="454" s="1"/>
  <c r="O929" i="5"/>
  <c r="O990" i="5"/>
  <c r="O862" i="5"/>
  <c r="D852" i="5"/>
  <c r="O853" i="5"/>
  <c r="O911" i="5"/>
  <c r="O1003" i="5"/>
  <c r="O1006" i="5"/>
  <c r="O1022" i="5"/>
  <c r="O899" i="5"/>
  <c r="O985" i="5"/>
  <c r="O918" i="5"/>
  <c r="K823" i="5"/>
  <c r="O824" i="5"/>
  <c r="D823" i="5"/>
  <c r="J902" i="5"/>
  <c r="J901" i="5" s="1"/>
  <c r="H1002" i="5"/>
  <c r="H1001" i="5" s="1"/>
  <c r="G1002" i="5"/>
  <c r="G1001" i="5" s="1"/>
  <c r="D1002" i="5"/>
  <c r="D1001" i="5" s="1"/>
  <c r="C1120" i="5"/>
  <c r="K902" i="5"/>
  <c r="K901" i="5" s="1"/>
  <c r="C836" i="5"/>
  <c r="C982" i="5"/>
  <c r="C987" i="5"/>
  <c r="C1017" i="5"/>
  <c r="C910" i="5"/>
  <c r="O910" i="5" s="1"/>
  <c r="C896" i="5"/>
  <c r="C917" i="5"/>
  <c r="G884" i="5"/>
  <c r="K884" i="5"/>
  <c r="H981" i="5"/>
  <c r="H980" i="5" s="1"/>
  <c r="L981" i="5"/>
  <c r="L980" i="5" s="1"/>
  <c r="M981" i="5"/>
  <c r="M980" i="5" s="1"/>
  <c r="E981" i="5"/>
  <c r="E980" i="5" s="1"/>
  <c r="E851" i="5"/>
  <c r="I851" i="5"/>
  <c r="M851" i="5"/>
  <c r="D981" i="5"/>
  <c r="D980" i="5" s="1"/>
  <c r="N981" i="5"/>
  <c r="N980" i="5" s="1"/>
  <c r="F981" i="5"/>
  <c r="F980" i="5" s="1"/>
  <c r="J981" i="5"/>
  <c r="J980" i="5" s="1"/>
  <c r="G981" i="5"/>
  <c r="G980" i="5" s="1"/>
  <c r="K981" i="5"/>
  <c r="K980" i="5" s="1"/>
  <c r="I981" i="5"/>
  <c r="I980" i="5" s="1"/>
  <c r="G851" i="5"/>
  <c r="F1002" i="5"/>
  <c r="F1001" i="5" s="1"/>
  <c r="N851" i="5"/>
  <c r="H851" i="5"/>
  <c r="F851" i="5"/>
  <c r="J851" i="5"/>
  <c r="J884" i="5"/>
  <c r="I884" i="5"/>
  <c r="M884" i="5"/>
  <c r="E884" i="5"/>
  <c r="L851" i="5"/>
  <c r="D884" i="5"/>
  <c r="H884" i="5"/>
  <c r="L884" i="5"/>
  <c r="F884" i="5"/>
  <c r="N884" i="5"/>
  <c r="I1016" i="5"/>
  <c r="I1015" i="5" s="1"/>
  <c r="I1000" i="5" s="1"/>
  <c r="M1016" i="5"/>
  <c r="M1015" i="5" s="1"/>
  <c r="M1000" i="5" s="1"/>
  <c r="C1002" i="5"/>
  <c r="G1016" i="5"/>
  <c r="G1015" i="5" s="1"/>
  <c r="K1016" i="5"/>
  <c r="K1015" i="5" s="1"/>
  <c r="K1000" i="5" s="1"/>
  <c r="H1016" i="5"/>
  <c r="H1015" i="5" s="1"/>
  <c r="L1016" i="5"/>
  <c r="L1015" i="5" s="1"/>
  <c r="L1000" i="5" s="1"/>
  <c r="N1016" i="5"/>
  <c r="N1015" i="5" s="1"/>
  <c r="N1000" i="5" s="1"/>
  <c r="F1016" i="5"/>
  <c r="F1015" i="5" s="1"/>
  <c r="J1016" i="5"/>
  <c r="J1015" i="5" s="1"/>
  <c r="J1000" i="5" s="1"/>
  <c r="D1016" i="5"/>
  <c r="D1015" i="5" s="1"/>
  <c r="C921" i="5"/>
  <c r="C928" i="5"/>
  <c r="C1114" i="5"/>
  <c r="N927" i="5"/>
  <c r="N920" i="5" s="1"/>
  <c r="E927" i="5"/>
  <c r="E920" i="5" s="1"/>
  <c r="J927" i="5"/>
  <c r="J920" i="5" s="1"/>
  <c r="F927" i="5"/>
  <c r="F920" i="5" s="1"/>
  <c r="K927" i="5"/>
  <c r="K920" i="5" s="1"/>
  <c r="E1016" i="5"/>
  <c r="E1015" i="5" s="1"/>
  <c r="E1000" i="5" s="1"/>
  <c r="L927" i="5"/>
  <c r="L920" i="5" s="1"/>
  <c r="I927" i="5"/>
  <c r="I920" i="5" s="1"/>
  <c r="M927" i="5"/>
  <c r="M920" i="5" s="1"/>
  <c r="H927" i="5"/>
  <c r="C902" i="5"/>
  <c r="G927" i="5"/>
  <c r="G920" i="5" s="1"/>
  <c r="E1114" i="454" l="1"/>
  <c r="K1114" i="454" s="1"/>
  <c r="AC1114" i="454" s="1"/>
  <c r="E928" i="454"/>
  <c r="K928" i="454" s="1"/>
  <c r="AC928" i="454" s="1"/>
  <c r="E1002" i="454"/>
  <c r="K1002" i="454" s="1"/>
  <c r="AC1002" i="454" s="1"/>
  <c r="E917" i="454"/>
  <c r="K917" i="454" s="1"/>
  <c r="AC917" i="454" s="1"/>
  <c r="E1017" i="454"/>
  <c r="K1017" i="454" s="1"/>
  <c r="AC1017" i="454" s="1"/>
  <c r="E987" i="454"/>
  <c r="K987" i="454" s="1"/>
  <c r="AC987" i="454" s="1"/>
  <c r="E1120" i="454"/>
  <c r="K1120" i="454" s="1"/>
  <c r="AC1120" i="454" s="1"/>
  <c r="E885" i="454"/>
  <c r="K885" i="454" s="1"/>
  <c r="AC885" i="454" s="1"/>
  <c r="E902" i="454"/>
  <c r="K902" i="454" s="1"/>
  <c r="AC902" i="454" s="1"/>
  <c r="E921" i="454"/>
  <c r="K921" i="454" s="1"/>
  <c r="AC921" i="454" s="1"/>
  <c r="E896" i="454"/>
  <c r="K896" i="454" s="1"/>
  <c r="AC896" i="454" s="1"/>
  <c r="C884" i="5"/>
  <c r="E910" i="454"/>
  <c r="K910" i="454" s="1"/>
  <c r="AC910" i="454" s="1"/>
  <c r="E992" i="454"/>
  <c r="K992" i="454" s="1"/>
  <c r="AC992" i="454" s="1"/>
  <c r="E982" i="454"/>
  <c r="K982" i="454" s="1"/>
  <c r="AC982" i="454" s="1"/>
  <c r="E836" i="454"/>
  <c r="K836" i="454" s="1"/>
  <c r="AC836" i="454" s="1"/>
  <c r="E861" i="454"/>
  <c r="K861" i="454" s="1"/>
  <c r="AC861" i="454" s="1"/>
  <c r="O992" i="5"/>
  <c r="O873" i="5"/>
  <c r="O987" i="5"/>
  <c r="O921" i="5"/>
  <c r="O982" i="5"/>
  <c r="O928" i="5"/>
  <c r="O1002" i="5"/>
  <c r="O1017" i="5"/>
  <c r="O917" i="5"/>
  <c r="O896" i="5"/>
  <c r="O902" i="5"/>
  <c r="O885" i="5"/>
  <c r="O954" i="5"/>
  <c r="K835" i="5"/>
  <c r="K822" i="5" s="1"/>
  <c r="H920" i="5"/>
  <c r="H909" i="5" s="1"/>
  <c r="H1000" i="5"/>
  <c r="O836" i="5"/>
  <c r="D1000" i="5"/>
  <c r="G1000" i="5"/>
  <c r="C916" i="5"/>
  <c r="C981" i="5"/>
  <c r="G835" i="5"/>
  <c r="G822" i="5" s="1"/>
  <c r="F1000" i="5"/>
  <c r="L909" i="5"/>
  <c r="M835" i="5"/>
  <c r="M822" i="5" s="1"/>
  <c r="N909" i="5"/>
  <c r="N835" i="5"/>
  <c r="N822" i="5" s="1"/>
  <c r="E835" i="5"/>
  <c r="E822" i="5" s="1"/>
  <c r="H835" i="5"/>
  <c r="H822" i="5" s="1"/>
  <c r="I835" i="5"/>
  <c r="I822" i="5" s="1"/>
  <c r="C1016" i="5"/>
  <c r="F835" i="5"/>
  <c r="F822" i="5" s="1"/>
  <c r="J835" i="5"/>
  <c r="J822" i="5" s="1"/>
  <c r="D851" i="5"/>
  <c r="D835" i="5" s="1"/>
  <c r="D822" i="5" s="1"/>
  <c r="L835" i="5"/>
  <c r="L822" i="5" s="1"/>
  <c r="C852" i="5"/>
  <c r="C823" i="5"/>
  <c r="C1001" i="5"/>
  <c r="C1113" i="5"/>
  <c r="M909" i="5"/>
  <c r="O953" i="5"/>
  <c r="J909" i="5"/>
  <c r="I909" i="5"/>
  <c r="E909" i="5"/>
  <c r="G909" i="5"/>
  <c r="K909" i="5"/>
  <c r="F909" i="5"/>
  <c r="C901" i="5"/>
  <c r="E901" i="454" l="1"/>
  <c r="K901" i="454" s="1"/>
  <c r="AC901" i="454" s="1"/>
  <c r="E1113" i="454"/>
  <c r="K1113" i="454" s="1"/>
  <c r="AC1113" i="454" s="1"/>
  <c r="E823" i="454"/>
  <c r="K823" i="454" s="1"/>
  <c r="AC823" i="454" s="1"/>
  <c r="O852" i="5"/>
  <c r="E852" i="454"/>
  <c r="K852" i="454" s="1"/>
  <c r="AC852" i="454" s="1"/>
  <c r="E981" i="454"/>
  <c r="K981" i="454" s="1"/>
  <c r="AC981" i="454" s="1"/>
  <c r="E916" i="454"/>
  <c r="K916" i="454" s="1"/>
  <c r="AC916" i="454" s="1"/>
  <c r="E884" i="454"/>
  <c r="K884" i="454" s="1"/>
  <c r="AC884" i="454" s="1"/>
  <c r="E1001" i="454"/>
  <c r="K1001" i="454" s="1"/>
  <c r="AC1001" i="454" s="1"/>
  <c r="E1016" i="454"/>
  <c r="K1016" i="454" s="1"/>
  <c r="AC1016" i="454" s="1"/>
  <c r="E953" i="454"/>
  <c r="K953" i="454" s="1"/>
  <c r="AC953" i="454" s="1"/>
  <c r="O1001" i="5"/>
  <c r="O1016" i="5"/>
  <c r="O884" i="5"/>
  <c r="O981" i="5"/>
  <c r="O861" i="5"/>
  <c r="D927" i="5"/>
  <c r="D920" i="5" s="1"/>
  <c r="D909" i="5" s="1"/>
  <c r="D821" i="5" s="1"/>
  <c r="D820" i="5" s="1"/>
  <c r="D1104" i="5" s="1"/>
  <c r="O916" i="5"/>
  <c r="O901" i="5"/>
  <c r="G821" i="5"/>
  <c r="G820" i="5" s="1"/>
  <c r="G1104" i="5" s="1"/>
  <c r="M821" i="5"/>
  <c r="M820" i="5" s="1"/>
  <c r="M1104" i="5" s="1"/>
  <c r="C980" i="5"/>
  <c r="N821" i="5"/>
  <c r="N820" i="5" s="1"/>
  <c r="N1104" i="5" s="1"/>
  <c r="L821" i="5"/>
  <c r="L820" i="5" s="1"/>
  <c r="L1104" i="5" s="1"/>
  <c r="K821" i="5"/>
  <c r="K820" i="5" s="1"/>
  <c r="K1104" i="5" s="1"/>
  <c r="F821" i="5"/>
  <c r="F820" i="5" s="1"/>
  <c r="F1104" i="5" s="1"/>
  <c r="E821" i="5"/>
  <c r="E820" i="5" s="1"/>
  <c r="E1104" i="5" s="1"/>
  <c r="C1015" i="5"/>
  <c r="I821" i="5"/>
  <c r="I820" i="5" s="1"/>
  <c r="I1104" i="5" s="1"/>
  <c r="H821" i="5"/>
  <c r="J821" i="5"/>
  <c r="J820" i="5" s="1"/>
  <c r="J1104" i="5" s="1"/>
  <c r="C851" i="5"/>
  <c r="O823" i="5"/>
  <c r="C927" i="5"/>
  <c r="C1112" i="5"/>
  <c r="O851" i="5" l="1"/>
  <c r="E851" i="454"/>
  <c r="K851" i="454" s="1"/>
  <c r="AC851" i="454" s="1"/>
  <c r="E1112" i="454"/>
  <c r="K1112" i="454" s="1"/>
  <c r="AC1112" i="454" s="1"/>
  <c r="E927" i="454"/>
  <c r="K927" i="454" s="1"/>
  <c r="AC927" i="454" s="1"/>
  <c r="E1015" i="454"/>
  <c r="K1015" i="454" s="1"/>
  <c r="AC1015" i="454" s="1"/>
  <c r="E980" i="454"/>
  <c r="K980" i="454" s="1"/>
  <c r="AC980" i="454" s="1"/>
  <c r="O980" i="5"/>
  <c r="O1015" i="5"/>
  <c r="O927" i="5"/>
  <c r="C920" i="5"/>
  <c r="H820" i="5"/>
  <c r="C1000" i="5"/>
  <c r="C1111" i="5"/>
  <c r="E1000" i="454" l="1"/>
  <c r="K1000" i="454" s="1"/>
  <c r="AC1000" i="454" s="1"/>
  <c r="E920" i="454"/>
  <c r="K920" i="454" s="1"/>
  <c r="AC920" i="454" s="1"/>
  <c r="E1111" i="454"/>
  <c r="O1000" i="5"/>
  <c r="O920" i="5"/>
  <c r="H1104" i="5"/>
  <c r="C909" i="5"/>
  <c r="O909" i="5" s="1"/>
  <c r="E909" i="454" l="1"/>
  <c r="K909" i="454" s="1"/>
  <c r="AC909" i="454" s="1"/>
  <c r="E1135" i="454"/>
  <c r="K1111" i="454"/>
  <c r="K1135" i="454" l="1"/>
  <c r="AC1111" i="454"/>
  <c r="AC1135" i="454" l="1"/>
  <c r="Q693" i="5" l="1"/>
  <c r="N632" i="5"/>
  <c r="M632" i="5"/>
  <c r="L632" i="5"/>
  <c r="K632" i="5"/>
  <c r="J632" i="5"/>
  <c r="I632" i="5"/>
  <c r="H632" i="5"/>
  <c r="G632" i="5"/>
  <c r="F632" i="5"/>
  <c r="E632" i="5"/>
  <c r="D632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N621" i="5"/>
  <c r="M621" i="5"/>
  <c r="L621" i="5"/>
  <c r="K621" i="5"/>
  <c r="J621" i="5"/>
  <c r="I621" i="5"/>
  <c r="H621" i="5"/>
  <c r="G621" i="5"/>
  <c r="F621" i="5"/>
  <c r="E621" i="5"/>
  <c r="D621" i="5"/>
  <c r="C621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N606" i="5"/>
  <c r="M606" i="5"/>
  <c r="L606" i="5"/>
  <c r="K606" i="5"/>
  <c r="J606" i="5"/>
  <c r="J605" i="5" s="1"/>
  <c r="I606" i="5"/>
  <c r="I605" i="5" s="1"/>
  <c r="H606" i="5"/>
  <c r="H605" i="5" s="1"/>
  <c r="G606" i="5"/>
  <c r="G605" i="5" s="1"/>
  <c r="F606" i="5"/>
  <c r="F605" i="5" s="1"/>
  <c r="E606" i="5"/>
  <c r="E605" i="5" s="1"/>
  <c r="D606" i="5"/>
  <c r="D605" i="5" s="1"/>
  <c r="C606" i="5"/>
  <c r="N605" i="5"/>
  <c r="M605" i="5"/>
  <c r="L605" i="5"/>
  <c r="N355" i="5"/>
  <c r="N354" i="5" s="1"/>
  <c r="N349" i="5" s="1"/>
  <c r="M355" i="5"/>
  <c r="M354" i="5" s="1"/>
  <c r="M349" i="5" s="1"/>
  <c r="L355" i="5"/>
  <c r="L354" i="5" s="1"/>
  <c r="L349" i="5" s="1"/>
  <c r="K355" i="5"/>
  <c r="K354" i="5" s="1"/>
  <c r="K349" i="5" s="1"/>
  <c r="J355" i="5"/>
  <c r="J354" i="5" s="1"/>
  <c r="J349" i="5" s="1"/>
  <c r="I355" i="5"/>
  <c r="I354" i="5" s="1"/>
  <c r="I349" i="5" s="1"/>
  <c r="H355" i="5"/>
  <c r="H354" i="5" s="1"/>
  <c r="H349" i="5" s="1"/>
  <c r="G355" i="5"/>
  <c r="F355" i="5"/>
  <c r="F354" i="5" s="1"/>
  <c r="F349" i="5" s="1"/>
  <c r="E355" i="5"/>
  <c r="E354" i="5" s="1"/>
  <c r="E349" i="5" s="1"/>
  <c r="D355" i="5"/>
  <c r="C350" i="5"/>
  <c r="N346" i="5"/>
  <c r="N345" i="5" s="1"/>
  <c r="N344" i="5" s="1"/>
  <c r="N343" i="5" s="1"/>
  <c r="M346" i="5"/>
  <c r="M345" i="5" s="1"/>
  <c r="M344" i="5" s="1"/>
  <c r="M343" i="5" s="1"/>
  <c r="L346" i="5"/>
  <c r="L345" i="5" s="1"/>
  <c r="L344" i="5" s="1"/>
  <c r="L343" i="5" s="1"/>
  <c r="K346" i="5"/>
  <c r="K345" i="5" s="1"/>
  <c r="K344" i="5" s="1"/>
  <c r="K343" i="5" s="1"/>
  <c r="J346" i="5"/>
  <c r="J345" i="5" s="1"/>
  <c r="J344" i="5" s="1"/>
  <c r="J343" i="5" s="1"/>
  <c r="I346" i="5"/>
  <c r="I345" i="5" s="1"/>
  <c r="I344" i="5" s="1"/>
  <c r="I343" i="5" s="1"/>
  <c r="H346" i="5"/>
  <c r="H345" i="5" s="1"/>
  <c r="H344" i="5" s="1"/>
  <c r="H343" i="5" s="1"/>
  <c r="G346" i="5"/>
  <c r="G345" i="5" s="1"/>
  <c r="G344" i="5" s="1"/>
  <c r="G343" i="5" s="1"/>
  <c r="F346" i="5"/>
  <c r="F345" i="5" s="1"/>
  <c r="F344" i="5" s="1"/>
  <c r="F343" i="5" s="1"/>
  <c r="E346" i="5"/>
  <c r="E345" i="5" s="1"/>
  <c r="E344" i="5" s="1"/>
  <c r="E343" i="5" s="1"/>
  <c r="D346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N278" i="5"/>
  <c r="M278" i="5"/>
  <c r="M277" i="5" s="1"/>
  <c r="M279" i="5" s="1"/>
  <c r="L278" i="5"/>
  <c r="L277" i="5" s="1"/>
  <c r="L279" i="5" s="1"/>
  <c r="K278" i="5"/>
  <c r="K277" i="5" s="1"/>
  <c r="K279" i="5" s="1"/>
  <c r="J278" i="5"/>
  <c r="J277" i="5" s="1"/>
  <c r="J279" i="5" s="1"/>
  <c r="I278" i="5"/>
  <c r="I277" i="5" s="1"/>
  <c r="I279" i="5" s="1"/>
  <c r="H278" i="5"/>
  <c r="H277" i="5" s="1"/>
  <c r="H279" i="5" s="1"/>
  <c r="G278" i="5"/>
  <c r="G277" i="5" s="1"/>
  <c r="G279" i="5" s="1"/>
  <c r="F278" i="5"/>
  <c r="F277" i="5" s="1"/>
  <c r="F279" i="5" s="1"/>
  <c r="E278" i="5"/>
  <c r="E277" i="5" s="1"/>
  <c r="E279" i="5" s="1"/>
  <c r="D278" i="5"/>
  <c r="D277" i="5" s="1"/>
  <c r="D279" i="5" s="1"/>
  <c r="C278" i="5"/>
  <c r="N277" i="5"/>
  <c r="N279" i="5" s="1"/>
  <c r="N275" i="5"/>
  <c r="M275" i="5"/>
  <c r="L275" i="5"/>
  <c r="K275" i="5"/>
  <c r="J275" i="5"/>
  <c r="I275" i="5"/>
  <c r="H275" i="5"/>
  <c r="G275" i="5"/>
  <c r="E275" i="5"/>
  <c r="D275" i="5"/>
  <c r="C275" i="5"/>
  <c r="N273" i="5"/>
  <c r="M273" i="5"/>
  <c r="L273" i="5"/>
  <c r="K273" i="5"/>
  <c r="J273" i="5"/>
  <c r="I273" i="5"/>
  <c r="H273" i="5"/>
  <c r="G273" i="5"/>
  <c r="E273" i="5"/>
  <c r="D273" i="5"/>
  <c r="C273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N261" i="5"/>
  <c r="N255" i="5" s="1"/>
  <c r="M261" i="5"/>
  <c r="M255" i="5" s="1"/>
  <c r="L261" i="5"/>
  <c r="L255" i="5" s="1"/>
  <c r="K261" i="5"/>
  <c r="K255" i="5" s="1"/>
  <c r="J261" i="5"/>
  <c r="J255" i="5" s="1"/>
  <c r="I261" i="5"/>
  <c r="I255" i="5" s="1"/>
  <c r="H261" i="5"/>
  <c r="H255" i="5" s="1"/>
  <c r="G261" i="5"/>
  <c r="G255" i="5" s="1"/>
  <c r="F261" i="5"/>
  <c r="F255" i="5" s="1"/>
  <c r="E261" i="5"/>
  <c r="E255" i="5" s="1"/>
  <c r="D261" i="5"/>
  <c r="N252" i="5"/>
  <c r="N251" i="5" s="1"/>
  <c r="M252" i="5"/>
  <c r="M251" i="5" s="1"/>
  <c r="L252" i="5"/>
  <c r="L251" i="5" s="1"/>
  <c r="K252" i="5"/>
  <c r="K251" i="5" s="1"/>
  <c r="J252" i="5"/>
  <c r="J251" i="5" s="1"/>
  <c r="I252" i="5"/>
  <c r="I251" i="5" s="1"/>
  <c r="H252" i="5"/>
  <c r="H251" i="5" s="1"/>
  <c r="G252" i="5"/>
  <c r="G251" i="5" s="1"/>
  <c r="F252" i="5"/>
  <c r="F251" i="5" s="1"/>
  <c r="E252" i="5"/>
  <c r="E251" i="5" s="1"/>
  <c r="D252" i="5"/>
  <c r="D251" i="5" s="1"/>
  <c r="C252" i="5"/>
  <c r="N249" i="5"/>
  <c r="M249" i="5"/>
  <c r="L249" i="5"/>
  <c r="K249" i="5"/>
  <c r="K248" i="5" s="1"/>
  <c r="J249" i="5"/>
  <c r="J248" i="5" s="1"/>
  <c r="I249" i="5"/>
  <c r="I248" i="5" s="1"/>
  <c r="H249" i="5"/>
  <c r="H248" i="5" s="1"/>
  <c r="G249" i="5"/>
  <c r="G248" i="5" s="1"/>
  <c r="F249" i="5"/>
  <c r="F248" i="5" s="1"/>
  <c r="E249" i="5"/>
  <c r="E248" i="5" s="1"/>
  <c r="D249" i="5"/>
  <c r="D248" i="5" s="1"/>
  <c r="C249" i="5"/>
  <c r="N248" i="5"/>
  <c r="M248" i="5"/>
  <c r="L248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N224" i="5"/>
  <c r="M224" i="5"/>
  <c r="L224" i="5"/>
  <c r="K224" i="5"/>
  <c r="J224" i="5"/>
  <c r="J223" i="5" s="1"/>
  <c r="J222" i="5" s="1"/>
  <c r="J221" i="5" s="1"/>
  <c r="I224" i="5"/>
  <c r="I223" i="5" s="1"/>
  <c r="I222" i="5" s="1"/>
  <c r="I221" i="5" s="1"/>
  <c r="H224" i="5"/>
  <c r="H223" i="5" s="1"/>
  <c r="H222" i="5" s="1"/>
  <c r="H221" i="5" s="1"/>
  <c r="G224" i="5"/>
  <c r="G223" i="5" s="1"/>
  <c r="G222" i="5" s="1"/>
  <c r="G221" i="5" s="1"/>
  <c r="F224" i="5"/>
  <c r="F223" i="5" s="1"/>
  <c r="F222" i="5" s="1"/>
  <c r="F221" i="5" s="1"/>
  <c r="E224" i="5"/>
  <c r="E223" i="5" s="1"/>
  <c r="E222" i="5" s="1"/>
  <c r="E221" i="5" s="1"/>
  <c r="D224" i="5"/>
  <c r="D223" i="5" s="1"/>
  <c r="D222" i="5" s="1"/>
  <c r="D221" i="5" s="1"/>
  <c r="C224" i="5"/>
  <c r="N223" i="5"/>
  <c r="N222" i="5" s="1"/>
  <c r="N221" i="5" s="1"/>
  <c r="M223" i="5"/>
  <c r="M222" i="5" s="1"/>
  <c r="M221" i="5" s="1"/>
  <c r="L223" i="5"/>
  <c r="L222" i="5" s="1"/>
  <c r="L221" i="5" s="1"/>
  <c r="K223" i="5"/>
  <c r="K222" i="5" s="1"/>
  <c r="K221" i="5" s="1"/>
  <c r="N217" i="5"/>
  <c r="N216" i="5" s="1"/>
  <c r="M217" i="5"/>
  <c r="L217" i="5"/>
  <c r="L216" i="5" s="1"/>
  <c r="K217" i="5"/>
  <c r="K216" i="5" s="1"/>
  <c r="J217" i="5"/>
  <c r="J216" i="5" s="1"/>
  <c r="I217" i="5"/>
  <c r="I216" i="5" s="1"/>
  <c r="H217" i="5"/>
  <c r="H216" i="5" s="1"/>
  <c r="G217" i="5"/>
  <c r="G216" i="5" s="1"/>
  <c r="F217" i="5"/>
  <c r="F216" i="5" s="1"/>
  <c r="E217" i="5"/>
  <c r="E216" i="5" s="1"/>
  <c r="D217" i="5"/>
  <c r="N212" i="5"/>
  <c r="M212" i="5"/>
  <c r="M208" i="5" s="1"/>
  <c r="M206" i="5" s="1"/>
  <c r="L212" i="5"/>
  <c r="L208" i="5" s="1"/>
  <c r="L206" i="5" s="1"/>
  <c r="K212" i="5"/>
  <c r="K208" i="5" s="1"/>
  <c r="K206" i="5" s="1"/>
  <c r="J212" i="5"/>
  <c r="J208" i="5" s="1"/>
  <c r="J206" i="5" s="1"/>
  <c r="I212" i="5"/>
  <c r="I208" i="5" s="1"/>
  <c r="I206" i="5" s="1"/>
  <c r="H212" i="5"/>
  <c r="H208" i="5" s="1"/>
  <c r="H206" i="5" s="1"/>
  <c r="G212" i="5"/>
  <c r="G208" i="5" s="1"/>
  <c r="G206" i="5" s="1"/>
  <c r="F212" i="5"/>
  <c r="F208" i="5" s="1"/>
  <c r="F206" i="5" s="1"/>
  <c r="E212" i="5"/>
  <c r="E208" i="5" s="1"/>
  <c r="E206" i="5" s="1"/>
  <c r="D212" i="5"/>
  <c r="D208" i="5" s="1"/>
  <c r="D206" i="5" s="1"/>
  <c r="C212" i="5"/>
  <c r="N208" i="5"/>
  <c r="N206" i="5" s="1"/>
  <c r="N202" i="5"/>
  <c r="M202" i="5"/>
  <c r="L202" i="5"/>
  <c r="K202" i="5"/>
  <c r="J202" i="5"/>
  <c r="I202" i="5"/>
  <c r="H202" i="5"/>
  <c r="G202" i="5"/>
  <c r="F202" i="5"/>
  <c r="F201" i="5" s="1"/>
  <c r="F200" i="5" s="1"/>
  <c r="E202" i="5"/>
  <c r="E201" i="5" s="1"/>
  <c r="E200" i="5" s="1"/>
  <c r="D202" i="5"/>
  <c r="D201" i="5" s="1"/>
  <c r="D200" i="5" s="1"/>
  <c r="C202" i="5"/>
  <c r="N201" i="5"/>
  <c r="N200" i="5" s="1"/>
  <c r="M201" i="5"/>
  <c r="M200" i="5" s="1"/>
  <c r="L201" i="5"/>
  <c r="L200" i="5" s="1"/>
  <c r="K201" i="5"/>
  <c r="K200" i="5" s="1"/>
  <c r="J201" i="5"/>
  <c r="J200" i="5" s="1"/>
  <c r="I201" i="5"/>
  <c r="I200" i="5" s="1"/>
  <c r="H201" i="5"/>
  <c r="H200" i="5" s="1"/>
  <c r="G201" i="5"/>
  <c r="G200" i="5" s="1"/>
  <c r="N193" i="5"/>
  <c r="N192" i="5" s="1"/>
  <c r="M193" i="5"/>
  <c r="M192" i="5" s="1"/>
  <c r="L193" i="5"/>
  <c r="L192" i="5" s="1"/>
  <c r="K193" i="5"/>
  <c r="K192" i="5" s="1"/>
  <c r="J193" i="5"/>
  <c r="J192" i="5" s="1"/>
  <c r="I193" i="5"/>
  <c r="I192" i="5" s="1"/>
  <c r="H193" i="5"/>
  <c r="H192" i="5" s="1"/>
  <c r="G193" i="5"/>
  <c r="G192" i="5" s="1"/>
  <c r="F193" i="5"/>
  <c r="F192" i="5" s="1"/>
  <c r="E193" i="5"/>
  <c r="E192" i="5" s="1"/>
  <c r="D193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N184" i="5"/>
  <c r="M184" i="5"/>
  <c r="L184" i="5"/>
  <c r="K184" i="5"/>
  <c r="J184" i="5"/>
  <c r="I184" i="5"/>
  <c r="H184" i="5"/>
  <c r="G184" i="5"/>
  <c r="G183" i="5" s="1"/>
  <c r="G182" i="5" s="1"/>
  <c r="G181" i="5" s="1"/>
  <c r="F184" i="5"/>
  <c r="F183" i="5" s="1"/>
  <c r="F182" i="5" s="1"/>
  <c r="F181" i="5" s="1"/>
  <c r="E184" i="5"/>
  <c r="E183" i="5" s="1"/>
  <c r="E182" i="5" s="1"/>
  <c r="E181" i="5" s="1"/>
  <c r="D184" i="5"/>
  <c r="D183" i="5" s="1"/>
  <c r="D182" i="5" s="1"/>
  <c r="D181" i="5" s="1"/>
  <c r="C184" i="5"/>
  <c r="N183" i="5"/>
  <c r="N182" i="5" s="1"/>
  <c r="N181" i="5" s="1"/>
  <c r="M183" i="5"/>
  <c r="M182" i="5" s="1"/>
  <c r="M181" i="5" s="1"/>
  <c r="L183" i="5"/>
  <c r="L182" i="5" s="1"/>
  <c r="L181" i="5" s="1"/>
  <c r="K183" i="5"/>
  <c r="K182" i="5" s="1"/>
  <c r="K181" i="5" s="1"/>
  <c r="J183" i="5"/>
  <c r="J182" i="5" s="1"/>
  <c r="J181" i="5" s="1"/>
  <c r="I183" i="5"/>
  <c r="I182" i="5" s="1"/>
  <c r="I181" i="5" s="1"/>
  <c r="H183" i="5"/>
  <c r="H182" i="5" s="1"/>
  <c r="H181" i="5" s="1"/>
  <c r="N180" i="5"/>
  <c r="M180" i="5"/>
  <c r="L180" i="5"/>
  <c r="K180" i="5"/>
  <c r="J180" i="5"/>
  <c r="I180" i="5"/>
  <c r="H180" i="5"/>
  <c r="G180" i="5"/>
  <c r="F180" i="5"/>
  <c r="E180" i="5"/>
  <c r="D180" i="5"/>
  <c r="C180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N153" i="5"/>
  <c r="M153" i="5"/>
  <c r="M152" i="5" s="1"/>
  <c r="M151" i="5" s="1"/>
  <c r="L153" i="5"/>
  <c r="L152" i="5" s="1"/>
  <c r="L151" i="5" s="1"/>
  <c r="K153" i="5"/>
  <c r="K152" i="5" s="1"/>
  <c r="K151" i="5" s="1"/>
  <c r="J153" i="5"/>
  <c r="J152" i="5" s="1"/>
  <c r="I153" i="5"/>
  <c r="I152" i="5" s="1"/>
  <c r="I151" i="5" s="1"/>
  <c r="H153" i="5"/>
  <c r="H152" i="5" s="1"/>
  <c r="H151" i="5" s="1"/>
  <c r="G153" i="5"/>
  <c r="G152" i="5" s="1"/>
  <c r="G151" i="5" s="1"/>
  <c r="F153" i="5"/>
  <c r="F152" i="5" s="1"/>
  <c r="F151" i="5" s="1"/>
  <c r="E153" i="5"/>
  <c r="E152" i="5" s="1"/>
  <c r="E151" i="5" s="1"/>
  <c r="D153" i="5"/>
  <c r="D152" i="5" s="1"/>
  <c r="D151" i="5" s="1"/>
  <c r="C153" i="5"/>
  <c r="N147" i="5"/>
  <c r="M147" i="5"/>
  <c r="L147" i="5"/>
  <c r="K147" i="5"/>
  <c r="J147" i="5"/>
  <c r="J146" i="5" s="1"/>
  <c r="J143" i="5" s="1"/>
  <c r="I147" i="5"/>
  <c r="I146" i="5" s="1"/>
  <c r="I143" i="5" s="1"/>
  <c r="H147" i="5"/>
  <c r="H146" i="5" s="1"/>
  <c r="H143" i="5" s="1"/>
  <c r="G147" i="5"/>
  <c r="G146" i="5" s="1"/>
  <c r="G143" i="5" s="1"/>
  <c r="F147" i="5"/>
  <c r="F146" i="5" s="1"/>
  <c r="F143" i="5" s="1"/>
  <c r="E147" i="5"/>
  <c r="E146" i="5" s="1"/>
  <c r="E143" i="5" s="1"/>
  <c r="D147" i="5"/>
  <c r="D146" i="5" s="1"/>
  <c r="D143" i="5" s="1"/>
  <c r="C147" i="5"/>
  <c r="N146" i="5"/>
  <c r="N143" i="5" s="1"/>
  <c r="M146" i="5"/>
  <c r="M143" i="5" s="1"/>
  <c r="L146" i="5"/>
  <c r="L143" i="5" s="1"/>
  <c r="K146" i="5"/>
  <c r="K143" i="5" s="1"/>
  <c r="N145" i="5"/>
  <c r="M145" i="5"/>
  <c r="L145" i="5"/>
  <c r="K145" i="5"/>
  <c r="J145" i="5"/>
  <c r="I145" i="5"/>
  <c r="H145" i="5"/>
  <c r="G145" i="5"/>
  <c r="F145" i="5"/>
  <c r="E145" i="5"/>
  <c r="D145" i="5"/>
  <c r="C145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N99" i="5"/>
  <c r="M99" i="5"/>
  <c r="L99" i="5"/>
  <c r="K99" i="5"/>
  <c r="J99" i="5"/>
  <c r="I99" i="5"/>
  <c r="H99" i="5"/>
  <c r="G99" i="5"/>
  <c r="F99" i="5"/>
  <c r="E99" i="5"/>
  <c r="D99" i="5"/>
  <c r="C99" i="5"/>
  <c r="N98" i="5"/>
  <c r="M98" i="5"/>
  <c r="L98" i="5"/>
  <c r="K98" i="5"/>
  <c r="J98" i="5"/>
  <c r="I98" i="5"/>
  <c r="H98" i="5"/>
  <c r="G98" i="5"/>
  <c r="F98" i="5"/>
  <c r="E98" i="5"/>
  <c r="D98" i="5"/>
  <c r="C98" i="5"/>
  <c r="N97" i="5"/>
  <c r="M97" i="5"/>
  <c r="L97" i="5"/>
  <c r="K97" i="5"/>
  <c r="J97" i="5"/>
  <c r="I97" i="5"/>
  <c r="H97" i="5"/>
  <c r="G97" i="5"/>
  <c r="F97" i="5"/>
  <c r="E97" i="5"/>
  <c r="D97" i="5"/>
  <c r="C97" i="5"/>
  <c r="N96" i="5"/>
  <c r="M96" i="5"/>
  <c r="L96" i="5"/>
  <c r="K96" i="5"/>
  <c r="J96" i="5"/>
  <c r="I96" i="5"/>
  <c r="H96" i="5"/>
  <c r="G96" i="5"/>
  <c r="F96" i="5"/>
  <c r="E96" i="5"/>
  <c r="D96" i="5"/>
  <c r="C96" i="5"/>
  <c r="N94" i="5"/>
  <c r="M94" i="5"/>
  <c r="M93" i="5" s="1"/>
  <c r="L94" i="5"/>
  <c r="L93" i="5" s="1"/>
  <c r="K94" i="5"/>
  <c r="K93" i="5" s="1"/>
  <c r="J94" i="5"/>
  <c r="J93" i="5" s="1"/>
  <c r="I94" i="5"/>
  <c r="I93" i="5" s="1"/>
  <c r="H94" i="5"/>
  <c r="H93" i="5" s="1"/>
  <c r="G94" i="5"/>
  <c r="G93" i="5" s="1"/>
  <c r="F94" i="5"/>
  <c r="F93" i="5" s="1"/>
  <c r="E94" i="5"/>
  <c r="E93" i="5" s="1"/>
  <c r="D94" i="5"/>
  <c r="D93" i="5" s="1"/>
  <c r="C94" i="5"/>
  <c r="N93" i="5"/>
  <c r="N92" i="5"/>
  <c r="M92" i="5"/>
  <c r="L92" i="5"/>
  <c r="K92" i="5"/>
  <c r="J92" i="5"/>
  <c r="I92" i="5"/>
  <c r="H92" i="5"/>
  <c r="G92" i="5"/>
  <c r="F92" i="5"/>
  <c r="E92" i="5"/>
  <c r="D92" i="5"/>
  <c r="C92" i="5"/>
  <c r="N91" i="5"/>
  <c r="M91" i="5"/>
  <c r="L91" i="5"/>
  <c r="K91" i="5"/>
  <c r="J91" i="5"/>
  <c r="I91" i="5"/>
  <c r="H91" i="5"/>
  <c r="G91" i="5"/>
  <c r="F91" i="5"/>
  <c r="E91" i="5"/>
  <c r="D91" i="5"/>
  <c r="C91" i="5"/>
  <c r="N90" i="5"/>
  <c r="M90" i="5"/>
  <c r="L90" i="5"/>
  <c r="K90" i="5"/>
  <c r="J90" i="5"/>
  <c r="I90" i="5"/>
  <c r="H90" i="5"/>
  <c r="G90" i="5"/>
  <c r="F90" i="5"/>
  <c r="E90" i="5"/>
  <c r="D90" i="5"/>
  <c r="C90" i="5"/>
  <c r="N89" i="5"/>
  <c r="M89" i="5"/>
  <c r="L89" i="5"/>
  <c r="K89" i="5"/>
  <c r="J89" i="5"/>
  <c r="I89" i="5"/>
  <c r="H89" i="5"/>
  <c r="G89" i="5"/>
  <c r="F89" i="5"/>
  <c r="E89" i="5"/>
  <c r="D89" i="5"/>
  <c r="C89" i="5"/>
  <c r="N88" i="5"/>
  <c r="M88" i="5"/>
  <c r="L88" i="5"/>
  <c r="K88" i="5"/>
  <c r="J88" i="5"/>
  <c r="I88" i="5"/>
  <c r="H88" i="5"/>
  <c r="G88" i="5"/>
  <c r="F88" i="5"/>
  <c r="E88" i="5"/>
  <c r="D88" i="5"/>
  <c r="C88" i="5"/>
  <c r="M86" i="5"/>
  <c r="L86" i="5"/>
  <c r="K86" i="5"/>
  <c r="J86" i="5"/>
  <c r="I86" i="5"/>
  <c r="H86" i="5"/>
  <c r="G86" i="5"/>
  <c r="F86" i="5"/>
  <c r="E86" i="5"/>
  <c r="D86" i="5"/>
  <c r="C86" i="5"/>
  <c r="M85" i="5"/>
  <c r="L85" i="5"/>
  <c r="K85" i="5"/>
  <c r="J85" i="5"/>
  <c r="I85" i="5"/>
  <c r="H85" i="5"/>
  <c r="G85" i="5"/>
  <c r="F85" i="5"/>
  <c r="E85" i="5"/>
  <c r="D85" i="5"/>
  <c r="C85" i="5"/>
  <c r="M84" i="5"/>
  <c r="L84" i="5"/>
  <c r="K84" i="5"/>
  <c r="J84" i="5"/>
  <c r="I84" i="5"/>
  <c r="H84" i="5"/>
  <c r="G84" i="5"/>
  <c r="F84" i="5"/>
  <c r="E84" i="5"/>
  <c r="D84" i="5"/>
  <c r="C84" i="5"/>
  <c r="M83" i="5"/>
  <c r="L83" i="5"/>
  <c r="K83" i="5"/>
  <c r="J83" i="5"/>
  <c r="I83" i="5"/>
  <c r="H83" i="5"/>
  <c r="G83" i="5"/>
  <c r="F83" i="5"/>
  <c r="E83" i="5"/>
  <c r="D83" i="5"/>
  <c r="C83" i="5"/>
  <c r="M81" i="5"/>
  <c r="L81" i="5"/>
  <c r="K81" i="5"/>
  <c r="J81" i="5"/>
  <c r="I81" i="5"/>
  <c r="H81" i="5"/>
  <c r="G81" i="5"/>
  <c r="F81" i="5"/>
  <c r="E81" i="5"/>
  <c r="D81" i="5"/>
  <c r="M79" i="5"/>
  <c r="L79" i="5"/>
  <c r="K79" i="5"/>
  <c r="J79" i="5"/>
  <c r="I79" i="5"/>
  <c r="H79" i="5"/>
  <c r="G79" i="5"/>
  <c r="F79" i="5"/>
  <c r="E79" i="5"/>
  <c r="D79" i="5"/>
  <c r="N78" i="5"/>
  <c r="M78" i="5"/>
  <c r="L78" i="5"/>
  <c r="K78" i="5"/>
  <c r="J78" i="5"/>
  <c r="I78" i="5"/>
  <c r="H78" i="5"/>
  <c r="G78" i="5"/>
  <c r="F78" i="5"/>
  <c r="E78" i="5"/>
  <c r="D78" i="5"/>
  <c r="C78" i="5"/>
  <c r="N77" i="5"/>
  <c r="M77" i="5"/>
  <c r="L77" i="5"/>
  <c r="K77" i="5"/>
  <c r="J77" i="5"/>
  <c r="I77" i="5"/>
  <c r="H77" i="5"/>
  <c r="G77" i="5"/>
  <c r="F77" i="5"/>
  <c r="E77" i="5"/>
  <c r="D77" i="5"/>
  <c r="C77" i="5"/>
  <c r="N76" i="5"/>
  <c r="M76" i="5"/>
  <c r="L76" i="5"/>
  <c r="K76" i="5"/>
  <c r="J76" i="5"/>
  <c r="I76" i="5"/>
  <c r="H76" i="5"/>
  <c r="G76" i="5"/>
  <c r="F76" i="5"/>
  <c r="E76" i="5"/>
  <c r="D76" i="5"/>
  <c r="C76" i="5"/>
  <c r="N75" i="5"/>
  <c r="M75" i="5"/>
  <c r="L75" i="5"/>
  <c r="K75" i="5"/>
  <c r="J75" i="5"/>
  <c r="I75" i="5"/>
  <c r="H75" i="5"/>
  <c r="G75" i="5"/>
  <c r="F75" i="5"/>
  <c r="E75" i="5"/>
  <c r="D75" i="5"/>
  <c r="C75" i="5"/>
  <c r="M74" i="5"/>
  <c r="L74" i="5"/>
  <c r="K74" i="5"/>
  <c r="J74" i="5"/>
  <c r="I74" i="5"/>
  <c r="H74" i="5"/>
  <c r="G74" i="5"/>
  <c r="F74" i="5"/>
  <c r="E74" i="5"/>
  <c r="D74" i="5"/>
  <c r="C74" i="5"/>
  <c r="N72" i="5"/>
  <c r="M72" i="5"/>
  <c r="L72" i="5"/>
  <c r="K72" i="5"/>
  <c r="J72" i="5"/>
  <c r="I72" i="5"/>
  <c r="H72" i="5"/>
  <c r="G72" i="5"/>
  <c r="F72" i="5"/>
  <c r="E72" i="5"/>
  <c r="D72" i="5"/>
  <c r="C72" i="5"/>
  <c r="N71" i="5"/>
  <c r="M71" i="5"/>
  <c r="L71" i="5"/>
  <c r="K71" i="5"/>
  <c r="J71" i="5"/>
  <c r="I71" i="5"/>
  <c r="H71" i="5"/>
  <c r="G71" i="5"/>
  <c r="F71" i="5"/>
  <c r="E71" i="5"/>
  <c r="D71" i="5"/>
  <c r="C71" i="5"/>
  <c r="N70" i="5"/>
  <c r="M70" i="5"/>
  <c r="L70" i="5"/>
  <c r="K70" i="5"/>
  <c r="J70" i="5"/>
  <c r="I70" i="5"/>
  <c r="H70" i="5"/>
  <c r="G70" i="5"/>
  <c r="F70" i="5"/>
  <c r="E70" i="5"/>
  <c r="D70" i="5"/>
  <c r="N69" i="5"/>
  <c r="M69" i="5"/>
  <c r="L69" i="5"/>
  <c r="K69" i="5"/>
  <c r="J69" i="5"/>
  <c r="I69" i="5"/>
  <c r="H69" i="5"/>
  <c r="G69" i="5"/>
  <c r="F69" i="5"/>
  <c r="E69" i="5"/>
  <c r="D69" i="5"/>
  <c r="N68" i="5"/>
  <c r="M68" i="5"/>
  <c r="L68" i="5"/>
  <c r="K68" i="5"/>
  <c r="J68" i="5"/>
  <c r="I68" i="5"/>
  <c r="H68" i="5"/>
  <c r="G68" i="5"/>
  <c r="F68" i="5"/>
  <c r="E68" i="5"/>
  <c r="D68" i="5"/>
  <c r="N66" i="5"/>
  <c r="M66" i="5"/>
  <c r="L66" i="5"/>
  <c r="K66" i="5"/>
  <c r="J66" i="5"/>
  <c r="I66" i="5"/>
  <c r="H66" i="5"/>
  <c r="G66" i="5"/>
  <c r="F66" i="5"/>
  <c r="E66" i="5"/>
  <c r="D66" i="5"/>
  <c r="N65" i="5"/>
  <c r="M65" i="5"/>
  <c r="L65" i="5"/>
  <c r="K65" i="5"/>
  <c r="J65" i="5"/>
  <c r="I65" i="5"/>
  <c r="H65" i="5"/>
  <c r="G65" i="5"/>
  <c r="F65" i="5"/>
  <c r="E65" i="5"/>
  <c r="D65" i="5"/>
  <c r="C65" i="5"/>
  <c r="N64" i="5"/>
  <c r="M64" i="5"/>
  <c r="L64" i="5"/>
  <c r="K64" i="5"/>
  <c r="J64" i="5"/>
  <c r="I64" i="5"/>
  <c r="H64" i="5"/>
  <c r="G64" i="5"/>
  <c r="F64" i="5"/>
  <c r="E64" i="5"/>
  <c r="D64" i="5"/>
  <c r="C64" i="5"/>
  <c r="N63" i="5"/>
  <c r="M63" i="5"/>
  <c r="L63" i="5"/>
  <c r="K63" i="5"/>
  <c r="J63" i="5"/>
  <c r="I63" i="5"/>
  <c r="H63" i="5"/>
  <c r="G63" i="5"/>
  <c r="F63" i="5"/>
  <c r="E63" i="5"/>
  <c r="D63" i="5"/>
  <c r="C63" i="5"/>
  <c r="N62" i="5"/>
  <c r="M62" i="5"/>
  <c r="L62" i="5"/>
  <c r="K62" i="5"/>
  <c r="J62" i="5"/>
  <c r="I62" i="5"/>
  <c r="H62" i="5"/>
  <c r="G62" i="5"/>
  <c r="F62" i="5"/>
  <c r="E62" i="5"/>
  <c r="D62" i="5"/>
  <c r="C62" i="5"/>
  <c r="N61" i="5"/>
  <c r="M61" i="5"/>
  <c r="L61" i="5"/>
  <c r="K61" i="5"/>
  <c r="J61" i="5"/>
  <c r="I61" i="5"/>
  <c r="H61" i="5"/>
  <c r="G61" i="5"/>
  <c r="F61" i="5"/>
  <c r="E61" i="5"/>
  <c r="D61" i="5"/>
  <c r="C61" i="5"/>
  <c r="N59" i="5"/>
  <c r="M59" i="5"/>
  <c r="L59" i="5"/>
  <c r="K59" i="5"/>
  <c r="J59" i="5"/>
  <c r="I59" i="5"/>
  <c r="H59" i="5"/>
  <c r="G59" i="5"/>
  <c r="F59" i="5"/>
  <c r="E59" i="5"/>
  <c r="D59" i="5"/>
  <c r="C59" i="5"/>
  <c r="N58" i="5"/>
  <c r="M58" i="5"/>
  <c r="L58" i="5"/>
  <c r="K58" i="5"/>
  <c r="J58" i="5"/>
  <c r="I58" i="5"/>
  <c r="H58" i="5"/>
  <c r="G58" i="5"/>
  <c r="F58" i="5"/>
  <c r="E58" i="5"/>
  <c r="D58" i="5"/>
  <c r="C58" i="5"/>
  <c r="N57" i="5"/>
  <c r="M57" i="5"/>
  <c r="L57" i="5"/>
  <c r="K57" i="5"/>
  <c r="J57" i="5"/>
  <c r="I57" i="5"/>
  <c r="H57" i="5"/>
  <c r="G57" i="5"/>
  <c r="F57" i="5"/>
  <c r="E57" i="5"/>
  <c r="D57" i="5"/>
  <c r="C57" i="5"/>
  <c r="N56" i="5"/>
  <c r="M56" i="5"/>
  <c r="L56" i="5"/>
  <c r="K56" i="5"/>
  <c r="J56" i="5"/>
  <c r="I56" i="5"/>
  <c r="H56" i="5"/>
  <c r="G56" i="5"/>
  <c r="F56" i="5"/>
  <c r="E56" i="5"/>
  <c r="D56" i="5"/>
  <c r="C56" i="5"/>
  <c r="N55" i="5"/>
  <c r="M55" i="5"/>
  <c r="L55" i="5"/>
  <c r="K55" i="5"/>
  <c r="J55" i="5"/>
  <c r="I55" i="5"/>
  <c r="H55" i="5"/>
  <c r="G55" i="5"/>
  <c r="F55" i="5"/>
  <c r="E55" i="5"/>
  <c r="D55" i="5"/>
  <c r="C55" i="5"/>
  <c r="N53" i="5"/>
  <c r="M53" i="5"/>
  <c r="L53" i="5"/>
  <c r="K53" i="5"/>
  <c r="J53" i="5"/>
  <c r="I53" i="5"/>
  <c r="H53" i="5"/>
  <c r="G53" i="5"/>
  <c r="F53" i="5"/>
  <c r="E53" i="5"/>
  <c r="D53" i="5"/>
  <c r="C53" i="5"/>
  <c r="N51" i="5"/>
  <c r="M51" i="5"/>
  <c r="L51" i="5"/>
  <c r="K51" i="5"/>
  <c r="J51" i="5"/>
  <c r="I51" i="5"/>
  <c r="H51" i="5"/>
  <c r="G51" i="5"/>
  <c r="F51" i="5"/>
  <c r="E51" i="5"/>
  <c r="D51" i="5"/>
  <c r="C51" i="5"/>
  <c r="N50" i="5"/>
  <c r="M50" i="5"/>
  <c r="L50" i="5"/>
  <c r="K50" i="5"/>
  <c r="J50" i="5"/>
  <c r="I50" i="5"/>
  <c r="H50" i="5"/>
  <c r="G50" i="5"/>
  <c r="F50" i="5"/>
  <c r="E50" i="5"/>
  <c r="D50" i="5"/>
  <c r="C50" i="5"/>
  <c r="N49" i="5"/>
  <c r="M49" i="5"/>
  <c r="L49" i="5"/>
  <c r="K49" i="5"/>
  <c r="J49" i="5"/>
  <c r="I49" i="5"/>
  <c r="H49" i="5"/>
  <c r="G49" i="5"/>
  <c r="F49" i="5"/>
  <c r="E49" i="5"/>
  <c r="D49" i="5"/>
  <c r="C49" i="5"/>
  <c r="N48" i="5"/>
  <c r="M48" i="5"/>
  <c r="L48" i="5"/>
  <c r="K48" i="5"/>
  <c r="J48" i="5"/>
  <c r="I48" i="5"/>
  <c r="H48" i="5"/>
  <c r="G48" i="5"/>
  <c r="F48" i="5"/>
  <c r="E48" i="5"/>
  <c r="D48" i="5"/>
  <c r="C48" i="5"/>
  <c r="N47" i="5"/>
  <c r="M47" i="5"/>
  <c r="L47" i="5"/>
  <c r="K47" i="5"/>
  <c r="J47" i="5"/>
  <c r="I47" i="5"/>
  <c r="H47" i="5"/>
  <c r="G47" i="5"/>
  <c r="F47" i="5"/>
  <c r="E47" i="5"/>
  <c r="D47" i="5"/>
  <c r="C47" i="5"/>
  <c r="M45" i="5"/>
  <c r="L45" i="5"/>
  <c r="K45" i="5"/>
  <c r="J45" i="5"/>
  <c r="I45" i="5"/>
  <c r="H45" i="5"/>
  <c r="G45" i="5"/>
  <c r="F45" i="5"/>
  <c r="E45" i="5"/>
  <c r="D45" i="5"/>
  <c r="C45" i="5"/>
  <c r="M44" i="5"/>
  <c r="L44" i="5"/>
  <c r="K44" i="5"/>
  <c r="J44" i="5"/>
  <c r="I44" i="5"/>
  <c r="H44" i="5"/>
  <c r="G44" i="5"/>
  <c r="F44" i="5"/>
  <c r="E44" i="5"/>
  <c r="D44" i="5"/>
  <c r="C44" i="5"/>
  <c r="M43" i="5"/>
  <c r="L43" i="5"/>
  <c r="K43" i="5"/>
  <c r="J43" i="5"/>
  <c r="I43" i="5"/>
  <c r="H43" i="5"/>
  <c r="G43" i="5"/>
  <c r="F43" i="5"/>
  <c r="E43" i="5"/>
  <c r="D43" i="5"/>
  <c r="C43" i="5"/>
  <c r="M42" i="5"/>
  <c r="L42" i="5"/>
  <c r="K42" i="5"/>
  <c r="J42" i="5"/>
  <c r="I42" i="5"/>
  <c r="H42" i="5"/>
  <c r="G42" i="5"/>
  <c r="F42" i="5"/>
  <c r="E42" i="5"/>
  <c r="D42" i="5"/>
  <c r="C42" i="5"/>
  <c r="M41" i="5"/>
  <c r="L41" i="5"/>
  <c r="K41" i="5"/>
  <c r="J41" i="5"/>
  <c r="I41" i="5"/>
  <c r="H41" i="5"/>
  <c r="G41" i="5"/>
  <c r="F41" i="5"/>
  <c r="E41" i="5"/>
  <c r="D41" i="5"/>
  <c r="C41" i="5"/>
  <c r="M40" i="5"/>
  <c r="L40" i="5"/>
  <c r="K40" i="5"/>
  <c r="J40" i="5"/>
  <c r="I40" i="5"/>
  <c r="H40" i="5"/>
  <c r="G40" i="5"/>
  <c r="F40" i="5"/>
  <c r="E40" i="5"/>
  <c r="D40" i="5"/>
  <c r="C40" i="5"/>
  <c r="N31" i="5"/>
  <c r="M31" i="5"/>
  <c r="L31" i="5"/>
  <c r="K31" i="5"/>
  <c r="J31" i="5"/>
  <c r="I31" i="5"/>
  <c r="H31" i="5"/>
  <c r="G31" i="5"/>
  <c r="F31" i="5"/>
  <c r="E31" i="5"/>
  <c r="D31" i="5"/>
  <c r="C31" i="5"/>
  <c r="N29" i="5"/>
  <c r="M29" i="5"/>
  <c r="L29" i="5"/>
  <c r="K29" i="5"/>
  <c r="J29" i="5"/>
  <c r="I29" i="5"/>
  <c r="H29" i="5"/>
  <c r="G29" i="5"/>
  <c r="F29" i="5"/>
  <c r="E29" i="5"/>
  <c r="D29" i="5"/>
  <c r="C29" i="5"/>
  <c r="N28" i="5"/>
  <c r="M28" i="5"/>
  <c r="L28" i="5"/>
  <c r="K28" i="5"/>
  <c r="J28" i="5"/>
  <c r="I28" i="5"/>
  <c r="H28" i="5"/>
  <c r="G28" i="5"/>
  <c r="F28" i="5"/>
  <c r="E28" i="5"/>
  <c r="D28" i="5"/>
  <c r="C28" i="5"/>
  <c r="N27" i="5"/>
  <c r="M27" i="5"/>
  <c r="L27" i="5"/>
  <c r="K27" i="5"/>
  <c r="J27" i="5"/>
  <c r="I27" i="5"/>
  <c r="H27" i="5"/>
  <c r="G27" i="5"/>
  <c r="F27" i="5"/>
  <c r="E27" i="5"/>
  <c r="D27" i="5"/>
  <c r="C27" i="5"/>
  <c r="N26" i="5"/>
  <c r="M26" i="5"/>
  <c r="L26" i="5"/>
  <c r="K26" i="5"/>
  <c r="J26" i="5"/>
  <c r="I26" i="5"/>
  <c r="H26" i="5"/>
  <c r="G26" i="5"/>
  <c r="F26" i="5"/>
  <c r="E26" i="5"/>
  <c r="D26" i="5"/>
  <c r="C26" i="5"/>
  <c r="N25" i="5"/>
  <c r="M25" i="5"/>
  <c r="L25" i="5"/>
  <c r="K25" i="5"/>
  <c r="J25" i="5"/>
  <c r="I25" i="5"/>
  <c r="H25" i="5"/>
  <c r="G25" i="5"/>
  <c r="F25" i="5"/>
  <c r="E25" i="5"/>
  <c r="D25" i="5"/>
  <c r="C25" i="5"/>
  <c r="N24" i="5"/>
  <c r="M24" i="5"/>
  <c r="L24" i="5"/>
  <c r="K24" i="5"/>
  <c r="J24" i="5"/>
  <c r="I24" i="5"/>
  <c r="H24" i="5"/>
  <c r="G24" i="5"/>
  <c r="F24" i="5"/>
  <c r="E24" i="5"/>
  <c r="D24" i="5"/>
  <c r="C24" i="5"/>
  <c r="N22" i="5"/>
  <c r="M22" i="5"/>
  <c r="L22" i="5"/>
  <c r="K22" i="5"/>
  <c r="J22" i="5"/>
  <c r="I22" i="5"/>
  <c r="H22" i="5"/>
  <c r="G22" i="5"/>
  <c r="F22" i="5"/>
  <c r="E22" i="5"/>
  <c r="D22" i="5"/>
  <c r="C22" i="5"/>
  <c r="N21" i="5"/>
  <c r="M21" i="5"/>
  <c r="L21" i="5"/>
  <c r="K21" i="5"/>
  <c r="J21" i="5"/>
  <c r="I21" i="5"/>
  <c r="H21" i="5"/>
  <c r="G21" i="5"/>
  <c r="F21" i="5"/>
  <c r="E21" i="5"/>
  <c r="D21" i="5"/>
  <c r="C21" i="5"/>
  <c r="N20" i="5"/>
  <c r="M20" i="5"/>
  <c r="L20" i="5"/>
  <c r="K20" i="5"/>
  <c r="J20" i="5"/>
  <c r="I20" i="5"/>
  <c r="H20" i="5"/>
  <c r="G20" i="5"/>
  <c r="F20" i="5"/>
  <c r="E20" i="5"/>
  <c r="D20" i="5"/>
  <c r="C20" i="5"/>
  <c r="N19" i="5"/>
  <c r="M19" i="5"/>
  <c r="L19" i="5"/>
  <c r="K19" i="5"/>
  <c r="J19" i="5"/>
  <c r="I19" i="5"/>
  <c r="H19" i="5"/>
  <c r="G19" i="5"/>
  <c r="F19" i="5"/>
  <c r="E19" i="5"/>
  <c r="D19" i="5"/>
  <c r="C19" i="5"/>
  <c r="N18" i="5"/>
  <c r="M18" i="5"/>
  <c r="L18" i="5"/>
  <c r="K18" i="5"/>
  <c r="J18" i="5"/>
  <c r="I18" i="5"/>
  <c r="H18" i="5"/>
  <c r="G18" i="5"/>
  <c r="F18" i="5"/>
  <c r="E18" i="5"/>
  <c r="D18" i="5"/>
  <c r="C18" i="5"/>
  <c r="N17" i="5"/>
  <c r="M17" i="5"/>
  <c r="L17" i="5"/>
  <c r="K17" i="5"/>
  <c r="J17" i="5"/>
  <c r="I17" i="5"/>
  <c r="H17" i="5"/>
  <c r="G17" i="5"/>
  <c r="F17" i="5"/>
  <c r="E17" i="5"/>
  <c r="D17" i="5"/>
  <c r="C17" i="5"/>
  <c r="N15" i="5"/>
  <c r="M15" i="5"/>
  <c r="M14" i="5" s="1"/>
  <c r="L15" i="5"/>
  <c r="L14" i="5" s="1"/>
  <c r="K15" i="5"/>
  <c r="K14" i="5" s="1"/>
  <c r="J15" i="5"/>
  <c r="J14" i="5" s="1"/>
  <c r="I15" i="5"/>
  <c r="I14" i="5" s="1"/>
  <c r="H15" i="5"/>
  <c r="H14" i="5" s="1"/>
  <c r="G15" i="5"/>
  <c r="G14" i="5" s="1"/>
  <c r="F15" i="5"/>
  <c r="F14" i="5" s="1"/>
  <c r="E15" i="5"/>
  <c r="E14" i="5" s="1"/>
  <c r="D15" i="5"/>
  <c r="D14" i="5" s="1"/>
  <c r="C15" i="5"/>
  <c r="N14" i="5"/>
  <c r="N52" i="5" l="1"/>
  <c r="D52" i="5"/>
  <c r="F52" i="5"/>
  <c r="H52" i="5"/>
  <c r="J52" i="5"/>
  <c r="L52" i="5"/>
  <c r="E53" i="454"/>
  <c r="K53" i="454" s="1"/>
  <c r="AC53" i="454" s="1"/>
  <c r="E61" i="454"/>
  <c r="K61" i="454" s="1"/>
  <c r="AC61" i="454" s="1"/>
  <c r="E62" i="454"/>
  <c r="K62" i="454" s="1"/>
  <c r="AC62" i="454" s="1"/>
  <c r="E63" i="454"/>
  <c r="K63" i="454" s="1"/>
  <c r="AC63" i="454" s="1"/>
  <c r="E64" i="454"/>
  <c r="K64" i="454" s="1"/>
  <c r="AC64" i="454" s="1"/>
  <c r="E65" i="454"/>
  <c r="K65" i="454" s="1"/>
  <c r="AC65" i="454" s="1"/>
  <c r="E68" i="454"/>
  <c r="K68" i="454" s="1"/>
  <c r="AC68" i="454" s="1"/>
  <c r="E70" i="454"/>
  <c r="K70" i="454" s="1"/>
  <c r="AC70" i="454" s="1"/>
  <c r="E71" i="454"/>
  <c r="K71" i="454" s="1"/>
  <c r="AC71" i="454" s="1"/>
  <c r="E72" i="454"/>
  <c r="K72" i="454" s="1"/>
  <c r="AC72" i="454" s="1"/>
  <c r="E74" i="454"/>
  <c r="K74" i="454" s="1"/>
  <c r="AC74" i="454" s="1"/>
  <c r="E75" i="454"/>
  <c r="K75" i="454" s="1"/>
  <c r="AC75" i="454" s="1"/>
  <c r="E76" i="454"/>
  <c r="K76" i="454" s="1"/>
  <c r="AC76" i="454" s="1"/>
  <c r="E77" i="454"/>
  <c r="K77" i="454" s="1"/>
  <c r="AC77" i="454" s="1"/>
  <c r="E78" i="454"/>
  <c r="K78" i="454" s="1"/>
  <c r="AC78" i="454" s="1"/>
  <c r="E94" i="454"/>
  <c r="K94" i="454" s="1"/>
  <c r="AC94" i="454" s="1"/>
  <c r="E96" i="454"/>
  <c r="K96" i="454" s="1"/>
  <c r="E97" i="454"/>
  <c r="K97" i="454" s="1"/>
  <c r="E98" i="454"/>
  <c r="K98" i="454" s="1"/>
  <c r="E99" i="454"/>
  <c r="K99" i="454" s="1"/>
  <c r="E100" i="454"/>
  <c r="K100" i="454" s="1"/>
  <c r="E101" i="454"/>
  <c r="K101" i="454" s="1"/>
  <c r="E103" i="454"/>
  <c r="K103" i="454" s="1"/>
  <c r="AC103" i="454" s="1"/>
  <c r="E104" i="454"/>
  <c r="K104" i="454" s="1"/>
  <c r="AC104" i="454" s="1"/>
  <c r="E105" i="454"/>
  <c r="K105" i="454" s="1"/>
  <c r="AC105" i="454" s="1"/>
  <c r="E106" i="454"/>
  <c r="K106" i="454" s="1"/>
  <c r="AC106" i="454" s="1"/>
  <c r="E107" i="454"/>
  <c r="K107" i="454" s="1"/>
  <c r="AC107" i="454" s="1"/>
  <c r="E108" i="454"/>
  <c r="K108" i="454" s="1"/>
  <c r="AC108" i="454" s="1"/>
  <c r="E110" i="454"/>
  <c r="K110" i="454" s="1"/>
  <c r="AC110" i="454" s="1"/>
  <c r="E111" i="454"/>
  <c r="K111" i="454" s="1"/>
  <c r="AC111" i="454" s="1"/>
  <c r="E112" i="454"/>
  <c r="K112" i="454" s="1"/>
  <c r="AC112" i="454" s="1"/>
  <c r="E113" i="454"/>
  <c r="K113" i="454" s="1"/>
  <c r="AC113" i="454" s="1"/>
  <c r="E114" i="454"/>
  <c r="K114" i="454" s="1"/>
  <c r="AC114" i="454" s="1"/>
  <c r="E115" i="454"/>
  <c r="K115" i="454" s="1"/>
  <c r="AC115" i="454" s="1"/>
  <c r="E117" i="454"/>
  <c r="K117" i="454" s="1"/>
  <c r="AC117" i="454" s="1"/>
  <c r="E119" i="454"/>
  <c r="K119" i="454" s="1"/>
  <c r="AC119" i="454" s="1"/>
  <c r="E120" i="454"/>
  <c r="K120" i="454" s="1"/>
  <c r="AC120" i="454" s="1"/>
  <c r="E121" i="454"/>
  <c r="K121" i="454" s="1"/>
  <c r="AC121" i="454" s="1"/>
  <c r="E122" i="454"/>
  <c r="K122" i="454" s="1"/>
  <c r="AC122" i="454" s="1"/>
  <c r="E124" i="454"/>
  <c r="K124" i="454" s="1"/>
  <c r="AC124" i="454" s="1"/>
  <c r="E125" i="454"/>
  <c r="K125" i="454" s="1"/>
  <c r="AC125" i="454" s="1"/>
  <c r="E127" i="454"/>
  <c r="K127" i="454" s="1"/>
  <c r="AC127" i="454" s="1"/>
  <c r="E128" i="454"/>
  <c r="K128" i="454" s="1"/>
  <c r="AC128" i="454" s="1"/>
  <c r="E129" i="454"/>
  <c r="K129" i="454" s="1"/>
  <c r="AC129" i="454" s="1"/>
  <c r="E130" i="454"/>
  <c r="K130" i="454" s="1"/>
  <c r="AC130" i="454" s="1"/>
  <c r="E131" i="454"/>
  <c r="K131" i="454" s="1"/>
  <c r="AC131" i="454" s="1"/>
  <c r="E133" i="454"/>
  <c r="K133" i="454" s="1"/>
  <c r="AC133" i="454" s="1"/>
  <c r="E134" i="454"/>
  <c r="K134" i="454" s="1"/>
  <c r="AC134" i="454" s="1"/>
  <c r="E135" i="454"/>
  <c r="K135" i="454" s="1"/>
  <c r="AC135" i="454" s="1"/>
  <c r="E136" i="454"/>
  <c r="K136" i="454" s="1"/>
  <c r="AC136" i="454" s="1"/>
  <c r="E138" i="454"/>
  <c r="K138" i="454" s="1"/>
  <c r="AC138" i="454" s="1"/>
  <c r="E139" i="454"/>
  <c r="K139" i="454" s="1"/>
  <c r="AC139" i="454" s="1"/>
  <c r="E140" i="454"/>
  <c r="K140" i="454" s="1"/>
  <c r="AC140" i="454" s="1"/>
  <c r="E141" i="454"/>
  <c r="K141" i="454" s="1"/>
  <c r="AC141" i="454" s="1"/>
  <c r="E145" i="454"/>
  <c r="K145" i="454" s="1"/>
  <c r="AC145" i="454" s="1"/>
  <c r="E147" i="454"/>
  <c r="K147" i="454" s="1"/>
  <c r="AC147" i="454" s="1"/>
  <c r="E162" i="454"/>
  <c r="K162" i="454" s="1"/>
  <c r="AC162" i="454" s="1"/>
  <c r="E163" i="454"/>
  <c r="K163" i="454" s="1"/>
  <c r="AC163" i="454" s="1"/>
  <c r="E164" i="454"/>
  <c r="K164" i="454" s="1"/>
  <c r="AC164" i="454" s="1"/>
  <c r="E165" i="454"/>
  <c r="K165" i="454" s="1"/>
  <c r="AC165" i="454" s="1"/>
  <c r="E166" i="454"/>
  <c r="K166" i="454" s="1"/>
  <c r="AC166" i="454" s="1"/>
  <c r="E176" i="454"/>
  <c r="K176" i="454" s="1"/>
  <c r="AC176" i="454" s="1"/>
  <c r="E177" i="454"/>
  <c r="K177" i="454" s="1"/>
  <c r="AC177" i="454" s="1"/>
  <c r="E178" i="454"/>
  <c r="K178" i="454" s="1"/>
  <c r="AC178" i="454" s="1"/>
  <c r="E179" i="454"/>
  <c r="K179" i="454" s="1"/>
  <c r="AC179" i="454" s="1"/>
  <c r="E180" i="454"/>
  <c r="K180" i="454" s="1"/>
  <c r="AC180" i="454" s="1"/>
  <c r="E184" i="454"/>
  <c r="K184" i="454" s="1"/>
  <c r="AC184" i="454" s="1"/>
  <c r="E186" i="454"/>
  <c r="K186" i="454" s="1"/>
  <c r="AC186" i="454" s="1"/>
  <c r="E187" i="454"/>
  <c r="K187" i="454" s="1"/>
  <c r="AC187" i="454" s="1"/>
  <c r="E188" i="454"/>
  <c r="K188" i="454" s="1"/>
  <c r="AC188" i="454" s="1"/>
  <c r="E189" i="454"/>
  <c r="K189" i="454" s="1"/>
  <c r="AC189" i="454" s="1"/>
  <c r="E190" i="454"/>
  <c r="K190" i="454" s="1"/>
  <c r="AC190" i="454" s="1"/>
  <c r="E193" i="454"/>
  <c r="K193" i="454" s="1"/>
  <c r="AC193" i="454" s="1"/>
  <c r="E212" i="454"/>
  <c r="K212" i="454" s="1"/>
  <c r="AC212" i="454" s="1"/>
  <c r="E217" i="454"/>
  <c r="K217" i="454" s="1"/>
  <c r="AC217" i="454" s="1"/>
  <c r="E249" i="454"/>
  <c r="K249" i="454" s="1"/>
  <c r="AC249" i="454" s="1"/>
  <c r="E252" i="454"/>
  <c r="K252" i="454" s="1"/>
  <c r="AC252" i="454" s="1"/>
  <c r="E261" i="454"/>
  <c r="K261" i="454" s="1"/>
  <c r="AC261" i="454" s="1"/>
  <c r="E275" i="454"/>
  <c r="K275" i="454" s="1"/>
  <c r="AC275" i="454" s="1"/>
  <c r="E278" i="454"/>
  <c r="K278" i="454" s="1"/>
  <c r="AC278" i="454" s="1"/>
  <c r="E281" i="454"/>
  <c r="K281" i="454" s="1"/>
  <c r="AC281" i="454" s="1"/>
  <c r="E282" i="454"/>
  <c r="K282" i="454" s="1"/>
  <c r="AC282" i="454" s="1"/>
  <c r="E283" i="454"/>
  <c r="K283" i="454" s="1"/>
  <c r="AC283" i="454" s="1"/>
  <c r="E284" i="454"/>
  <c r="K284" i="454" s="1"/>
  <c r="AC284" i="454" s="1"/>
  <c r="E285" i="454"/>
  <c r="K285" i="454" s="1"/>
  <c r="AC285" i="454" s="1"/>
  <c r="E287" i="454"/>
  <c r="K287" i="454" s="1"/>
  <c r="AC287" i="454" s="1"/>
  <c r="E289" i="454"/>
  <c r="K289" i="454" s="1"/>
  <c r="E290" i="454"/>
  <c r="K290" i="454" s="1"/>
  <c r="E346" i="454"/>
  <c r="K346" i="454" s="1"/>
  <c r="AC346" i="454" s="1"/>
  <c r="E355" i="454"/>
  <c r="K355" i="454" s="1"/>
  <c r="AC355" i="454" s="1"/>
  <c r="E606" i="454"/>
  <c r="K606" i="454" s="1"/>
  <c r="AC606" i="454" s="1"/>
  <c r="E609" i="454"/>
  <c r="K609" i="454" s="1"/>
  <c r="E621" i="454"/>
  <c r="K621" i="454" s="1"/>
  <c r="E623" i="454"/>
  <c r="K623" i="454" s="1"/>
  <c r="E625" i="454"/>
  <c r="K625" i="454" s="1"/>
  <c r="E630" i="454"/>
  <c r="K630" i="454" s="1"/>
  <c r="AC630" i="454" s="1"/>
  <c r="E632" i="454"/>
  <c r="K632" i="454" s="1"/>
  <c r="E15" i="454"/>
  <c r="K15" i="454" s="1"/>
  <c r="AC15" i="454" s="1"/>
  <c r="E17" i="454"/>
  <c r="K17" i="454" s="1"/>
  <c r="AC17" i="454" s="1"/>
  <c r="E18" i="454"/>
  <c r="K18" i="454" s="1"/>
  <c r="AC18" i="454" s="1"/>
  <c r="E19" i="454"/>
  <c r="K19" i="454" s="1"/>
  <c r="AC19" i="454" s="1"/>
  <c r="E20" i="454"/>
  <c r="K20" i="454" s="1"/>
  <c r="AC20" i="454" s="1"/>
  <c r="E21" i="454"/>
  <c r="K21" i="454" s="1"/>
  <c r="AC21" i="454" s="1"/>
  <c r="E22" i="454"/>
  <c r="K22" i="454" s="1"/>
  <c r="AC22" i="454" s="1"/>
  <c r="E24" i="454"/>
  <c r="K24" i="454" s="1"/>
  <c r="AC24" i="454" s="1"/>
  <c r="E25" i="454"/>
  <c r="K25" i="454" s="1"/>
  <c r="AC25" i="454" s="1"/>
  <c r="E26" i="454"/>
  <c r="K26" i="454" s="1"/>
  <c r="AC26" i="454" s="1"/>
  <c r="E27" i="454"/>
  <c r="K27" i="454" s="1"/>
  <c r="AC27" i="454" s="1"/>
  <c r="E28" i="454"/>
  <c r="K28" i="454" s="1"/>
  <c r="AC28" i="454" s="1"/>
  <c r="E29" i="454"/>
  <c r="K29" i="454" s="1"/>
  <c r="AC29" i="454" s="1"/>
  <c r="E40" i="454"/>
  <c r="K40" i="454" s="1"/>
  <c r="AC40" i="454" s="1"/>
  <c r="E41" i="454"/>
  <c r="K41" i="454" s="1"/>
  <c r="AC41" i="454" s="1"/>
  <c r="E42" i="454"/>
  <c r="K42" i="454" s="1"/>
  <c r="AC42" i="454" s="1"/>
  <c r="E43" i="454"/>
  <c r="K43" i="454" s="1"/>
  <c r="AC43" i="454" s="1"/>
  <c r="E44" i="454"/>
  <c r="K44" i="454" s="1"/>
  <c r="AC44" i="454" s="1"/>
  <c r="E45" i="454"/>
  <c r="K45" i="454" s="1"/>
  <c r="AC45" i="454" s="1"/>
  <c r="E47" i="454"/>
  <c r="K47" i="454" s="1"/>
  <c r="AC47" i="454" s="1"/>
  <c r="E48" i="454"/>
  <c r="K48" i="454" s="1"/>
  <c r="AC48" i="454" s="1"/>
  <c r="E49" i="454"/>
  <c r="K49" i="454" s="1"/>
  <c r="AC49" i="454" s="1"/>
  <c r="E50" i="454"/>
  <c r="K50" i="454" s="1"/>
  <c r="AC50" i="454" s="1"/>
  <c r="E51" i="454"/>
  <c r="K51" i="454" s="1"/>
  <c r="AC51" i="454" s="1"/>
  <c r="E52" i="5"/>
  <c r="G52" i="5"/>
  <c r="I52" i="5"/>
  <c r="K52" i="5"/>
  <c r="M52" i="5"/>
  <c r="E55" i="454"/>
  <c r="K55" i="454" s="1"/>
  <c r="AC55" i="454" s="1"/>
  <c r="E56" i="454"/>
  <c r="K56" i="454" s="1"/>
  <c r="AC56" i="454" s="1"/>
  <c r="E57" i="454"/>
  <c r="K57" i="454" s="1"/>
  <c r="AC57" i="454" s="1"/>
  <c r="E58" i="454"/>
  <c r="K58" i="454" s="1"/>
  <c r="AC58" i="454" s="1"/>
  <c r="E59" i="454"/>
  <c r="K59" i="454" s="1"/>
  <c r="AC59" i="454" s="1"/>
  <c r="E66" i="454"/>
  <c r="K66" i="454" s="1"/>
  <c r="AC66" i="454" s="1"/>
  <c r="E69" i="454"/>
  <c r="K69" i="454" s="1"/>
  <c r="AC69" i="454" s="1"/>
  <c r="E88" i="454"/>
  <c r="K88" i="454" s="1"/>
  <c r="AC88" i="454" s="1"/>
  <c r="E89" i="454"/>
  <c r="K89" i="454" s="1"/>
  <c r="AC89" i="454" s="1"/>
  <c r="E90" i="454"/>
  <c r="K90" i="454" s="1"/>
  <c r="AC90" i="454" s="1"/>
  <c r="E91" i="454"/>
  <c r="K91" i="454" s="1"/>
  <c r="AC91" i="454" s="1"/>
  <c r="E92" i="454"/>
  <c r="K92" i="454" s="1"/>
  <c r="AC92" i="454" s="1"/>
  <c r="E155" i="454"/>
  <c r="K155" i="454" s="1"/>
  <c r="AC155" i="454" s="1"/>
  <c r="E156" i="454"/>
  <c r="K156" i="454" s="1"/>
  <c r="AC156" i="454" s="1"/>
  <c r="E157" i="454"/>
  <c r="K157" i="454" s="1"/>
  <c r="AC157" i="454" s="1"/>
  <c r="E158" i="454"/>
  <c r="K158" i="454" s="1"/>
  <c r="AC158" i="454" s="1"/>
  <c r="E159" i="454"/>
  <c r="K159" i="454" s="1"/>
  <c r="AC159" i="454" s="1"/>
  <c r="E160" i="454"/>
  <c r="K160" i="454" s="1"/>
  <c r="AC160" i="454" s="1"/>
  <c r="E167" i="454"/>
  <c r="K167" i="454" s="1"/>
  <c r="AC167" i="454" s="1"/>
  <c r="E169" i="454"/>
  <c r="K169" i="454" s="1"/>
  <c r="AC169" i="454" s="1"/>
  <c r="E170" i="454"/>
  <c r="K170" i="454" s="1"/>
  <c r="AC170" i="454" s="1"/>
  <c r="E171" i="454"/>
  <c r="K171" i="454" s="1"/>
  <c r="AC171" i="454" s="1"/>
  <c r="E172" i="454"/>
  <c r="K172" i="454" s="1"/>
  <c r="AC172" i="454" s="1"/>
  <c r="E173" i="454"/>
  <c r="K173" i="454" s="1"/>
  <c r="AC173" i="454" s="1"/>
  <c r="E174" i="454"/>
  <c r="K174" i="454" s="1"/>
  <c r="AC174" i="454" s="1"/>
  <c r="E202" i="454"/>
  <c r="K202" i="454" s="1"/>
  <c r="AC202" i="454" s="1"/>
  <c r="E224" i="454"/>
  <c r="K224" i="454" s="1"/>
  <c r="AC224" i="454" s="1"/>
  <c r="E226" i="454"/>
  <c r="K226" i="454" s="1"/>
  <c r="AC226" i="454" s="1"/>
  <c r="E227" i="454"/>
  <c r="K227" i="454" s="1"/>
  <c r="AC227" i="454" s="1"/>
  <c r="E228" i="454"/>
  <c r="K228" i="454" s="1"/>
  <c r="AC228" i="454" s="1"/>
  <c r="E229" i="454"/>
  <c r="K229" i="454" s="1"/>
  <c r="E230" i="454"/>
  <c r="K230" i="454" s="1"/>
  <c r="E231" i="454"/>
  <c r="K231" i="454" s="1"/>
  <c r="AC231" i="454" s="1"/>
  <c r="E232" i="454"/>
  <c r="K232" i="454" s="1"/>
  <c r="AC232" i="454" s="1"/>
  <c r="E233" i="454"/>
  <c r="K233" i="454" s="1"/>
  <c r="AC233" i="454" s="1"/>
  <c r="E234" i="454"/>
  <c r="K234" i="454" s="1"/>
  <c r="AC234" i="454" s="1"/>
  <c r="E235" i="454"/>
  <c r="K235" i="454" s="1"/>
  <c r="AC235" i="454" s="1"/>
  <c r="E237" i="454"/>
  <c r="K237" i="454" s="1"/>
  <c r="AC237" i="454" s="1"/>
  <c r="E238" i="454"/>
  <c r="K238" i="454" s="1"/>
  <c r="AC238" i="454" s="1"/>
  <c r="E239" i="454"/>
  <c r="K239" i="454" s="1"/>
  <c r="AC239" i="454" s="1"/>
  <c r="E240" i="454"/>
  <c r="K240" i="454" s="1"/>
  <c r="AC240" i="454" s="1"/>
  <c r="E241" i="454"/>
  <c r="K241" i="454" s="1"/>
  <c r="AC241" i="454" s="1"/>
  <c r="E242" i="454"/>
  <c r="K242" i="454" s="1"/>
  <c r="AC242" i="454" s="1"/>
  <c r="E243" i="454"/>
  <c r="K243" i="454" s="1"/>
  <c r="AC243" i="454" s="1"/>
  <c r="E244" i="454"/>
  <c r="K244" i="454" s="1"/>
  <c r="AC244" i="454" s="1"/>
  <c r="E245" i="454"/>
  <c r="K245" i="454" s="1"/>
  <c r="AC245" i="454" s="1"/>
  <c r="E246" i="454"/>
  <c r="K246" i="454" s="1"/>
  <c r="AC246" i="454" s="1"/>
  <c r="E263" i="454"/>
  <c r="K263" i="454" s="1"/>
  <c r="AC263" i="454" s="1"/>
  <c r="E264" i="454"/>
  <c r="K264" i="454" s="1"/>
  <c r="AC264" i="454" s="1"/>
  <c r="E265" i="454"/>
  <c r="K265" i="454" s="1"/>
  <c r="AC265" i="454" s="1"/>
  <c r="E266" i="454"/>
  <c r="K266" i="454" s="1"/>
  <c r="AC266" i="454" s="1"/>
  <c r="E268" i="454"/>
  <c r="K268" i="454" s="1"/>
  <c r="AC268" i="454" s="1"/>
  <c r="E269" i="454"/>
  <c r="K269" i="454" s="1"/>
  <c r="AC269" i="454" s="1"/>
  <c r="E270" i="454"/>
  <c r="K270" i="454" s="1"/>
  <c r="AC270" i="454" s="1"/>
  <c r="E271" i="454"/>
  <c r="K271" i="454" s="1"/>
  <c r="AC271" i="454" s="1"/>
  <c r="E273" i="454"/>
  <c r="K273" i="454" s="1"/>
  <c r="E350" i="454"/>
  <c r="K350" i="454" s="1"/>
  <c r="AC350" i="454" s="1"/>
  <c r="N152" i="5"/>
  <c r="E153" i="454"/>
  <c r="K153" i="454" s="1"/>
  <c r="AC153" i="454" s="1"/>
  <c r="E38" i="454"/>
  <c r="K38" i="454" s="1"/>
  <c r="AC38" i="454" s="1"/>
  <c r="E31" i="454"/>
  <c r="K31" i="454" s="1"/>
  <c r="AC31" i="454" s="1"/>
  <c r="O621" i="5"/>
  <c r="O623" i="5"/>
  <c r="Q623" i="5" s="1"/>
  <c r="O625" i="5"/>
  <c r="O630" i="5"/>
  <c r="Q630" i="5" s="1"/>
  <c r="O632" i="5"/>
  <c r="D255" i="5"/>
  <c r="D216" i="5"/>
  <c r="M216" i="5"/>
  <c r="L254" i="5"/>
  <c r="O606" i="5"/>
  <c r="Q606" i="5" s="1"/>
  <c r="O609" i="5"/>
  <c r="Q609" i="5" s="1"/>
  <c r="Q618" i="5"/>
  <c r="C52" i="5"/>
  <c r="E254" i="5"/>
  <c r="I254" i="5"/>
  <c r="M254" i="5"/>
  <c r="C349" i="5"/>
  <c r="G354" i="5"/>
  <c r="G349" i="5" s="1"/>
  <c r="G348" i="5" s="1"/>
  <c r="D192" i="5"/>
  <c r="J254" i="5"/>
  <c r="N254" i="5"/>
  <c r="D354" i="5"/>
  <c r="C254" i="5"/>
  <c r="K254" i="5"/>
  <c r="C223" i="5"/>
  <c r="C146" i="5"/>
  <c r="C208" i="5"/>
  <c r="C277" i="5"/>
  <c r="C201" i="5"/>
  <c r="C216" i="5"/>
  <c r="J151" i="5"/>
  <c r="J191" i="5"/>
  <c r="N191" i="5"/>
  <c r="G191" i="5"/>
  <c r="G142" i="5" s="1"/>
  <c r="E617" i="5"/>
  <c r="E612" i="5" s="1"/>
  <c r="I617" i="5"/>
  <c r="I612" i="5" s="1"/>
  <c r="M617" i="5"/>
  <c r="M612" i="5" s="1"/>
  <c r="F191" i="5"/>
  <c r="F142" i="5" s="1"/>
  <c r="G617" i="5"/>
  <c r="G612" i="5" s="1"/>
  <c r="K617" i="5"/>
  <c r="K612" i="5" s="1"/>
  <c r="C14" i="5"/>
  <c r="C251" i="5"/>
  <c r="D345" i="5"/>
  <c r="D344" i="5" s="1"/>
  <c r="D343" i="5" s="1"/>
  <c r="C183" i="5"/>
  <c r="Q621" i="5"/>
  <c r="Q625" i="5"/>
  <c r="Q632" i="5"/>
  <c r="E30" i="5"/>
  <c r="E13" i="5" s="1"/>
  <c r="J30" i="5"/>
  <c r="J13" i="5" s="1"/>
  <c r="H617" i="5"/>
  <c r="H612" i="5" s="1"/>
  <c r="L617" i="5"/>
  <c r="L612" i="5" s="1"/>
  <c r="G254" i="5"/>
  <c r="O245" i="5"/>
  <c r="Q245" i="5" s="1"/>
  <c r="O246" i="5"/>
  <c r="Q246" i="5" s="1"/>
  <c r="D254" i="5"/>
  <c r="H254" i="5"/>
  <c r="J617" i="5"/>
  <c r="J612" i="5" s="1"/>
  <c r="N617" i="5"/>
  <c r="N612" i="5" s="1"/>
  <c r="H30" i="5"/>
  <c r="H13" i="5" s="1"/>
  <c r="L30" i="5"/>
  <c r="L13" i="5" s="1"/>
  <c r="K191" i="5"/>
  <c r="K142" i="5" s="1"/>
  <c r="F617" i="5"/>
  <c r="F612" i="5" s="1"/>
  <c r="D617" i="5"/>
  <c r="D612" i="5" s="1"/>
  <c r="O249" i="5"/>
  <c r="Q249" i="5" s="1"/>
  <c r="O252" i="5"/>
  <c r="Q252" i="5" s="1"/>
  <c r="D30" i="5"/>
  <c r="D13" i="5" s="1"/>
  <c r="C605" i="5"/>
  <c r="C93" i="5"/>
  <c r="C152" i="5"/>
  <c r="C345" i="5"/>
  <c r="C248" i="5"/>
  <c r="I30" i="5"/>
  <c r="I13" i="5" s="1"/>
  <c r="L191" i="5"/>
  <c r="L142" i="5" s="1"/>
  <c r="F30" i="5"/>
  <c r="F13" i="5" s="1"/>
  <c r="M30" i="5"/>
  <c r="M13" i="5" s="1"/>
  <c r="G30" i="5"/>
  <c r="G13" i="5" s="1"/>
  <c r="K30" i="5"/>
  <c r="K13" i="5" s="1"/>
  <c r="H191" i="5"/>
  <c r="H142" i="5" s="1"/>
  <c r="K605" i="5"/>
  <c r="E191" i="5"/>
  <c r="E142" i="5" s="1"/>
  <c r="I191" i="5"/>
  <c r="I142" i="5" s="1"/>
  <c r="M191" i="5"/>
  <c r="M142" i="5" s="1"/>
  <c r="C617" i="5"/>
  <c r="E33" i="454"/>
  <c r="K33" i="454" s="1"/>
  <c r="AC33" i="454" s="1"/>
  <c r="E34" i="454"/>
  <c r="K34" i="454" s="1"/>
  <c r="AC34" i="454" s="1"/>
  <c r="E35" i="454"/>
  <c r="K35" i="454" s="1"/>
  <c r="AC35" i="454" s="1"/>
  <c r="E36" i="454"/>
  <c r="K36" i="454" s="1"/>
  <c r="AC36" i="454" s="1"/>
  <c r="E37" i="454"/>
  <c r="K37" i="454" s="1"/>
  <c r="AC37" i="454" s="1"/>
  <c r="D191" i="5" l="1"/>
  <c r="E617" i="454"/>
  <c r="K617" i="454" s="1"/>
  <c r="E248" i="454"/>
  <c r="K248" i="454" s="1"/>
  <c r="AC248" i="454" s="1"/>
  <c r="E345" i="454"/>
  <c r="K345" i="454" s="1"/>
  <c r="AC345" i="454" s="1"/>
  <c r="E605" i="454"/>
  <c r="K605" i="454" s="1"/>
  <c r="AC605" i="454" s="1"/>
  <c r="E201" i="454"/>
  <c r="K201" i="454" s="1"/>
  <c r="AC201" i="454" s="1"/>
  <c r="E277" i="454"/>
  <c r="K277" i="454" s="1"/>
  <c r="AC277" i="454" s="1"/>
  <c r="E208" i="454"/>
  <c r="K208" i="454" s="1"/>
  <c r="AC208" i="454" s="1"/>
  <c r="E146" i="454"/>
  <c r="K146" i="454" s="1"/>
  <c r="AC146" i="454" s="1"/>
  <c r="E223" i="454"/>
  <c r="K223" i="454" s="1"/>
  <c r="AC223" i="454" s="1"/>
  <c r="E255" i="454"/>
  <c r="K255" i="454" s="1"/>
  <c r="AC255" i="454" s="1"/>
  <c r="E14" i="454"/>
  <c r="K14" i="454" s="1"/>
  <c r="AC14" i="454" s="1"/>
  <c r="E93" i="454"/>
  <c r="K93" i="454" s="1"/>
  <c r="AC93" i="454" s="1"/>
  <c r="E183" i="454"/>
  <c r="K183" i="454" s="1"/>
  <c r="AC183" i="454" s="1"/>
  <c r="E251" i="454"/>
  <c r="K251" i="454" s="1"/>
  <c r="AC251" i="454" s="1"/>
  <c r="E216" i="454"/>
  <c r="K216" i="454" s="1"/>
  <c r="AC216" i="454" s="1"/>
  <c r="E354" i="454"/>
  <c r="K354" i="454" s="1"/>
  <c r="AC354" i="454" s="1"/>
  <c r="E192" i="454"/>
  <c r="K192" i="454" s="1"/>
  <c r="AC192" i="454" s="1"/>
  <c r="E52" i="454"/>
  <c r="K52" i="454" s="1"/>
  <c r="AC52" i="454" s="1"/>
  <c r="N151" i="5"/>
  <c r="E152" i="454"/>
  <c r="K152" i="454" s="1"/>
  <c r="AC152" i="454" s="1"/>
  <c r="O617" i="5"/>
  <c r="Q617" i="5" s="1"/>
  <c r="C612" i="5"/>
  <c r="F611" i="5"/>
  <c r="N611" i="5"/>
  <c r="H611" i="5"/>
  <c r="E611" i="5"/>
  <c r="J611" i="5"/>
  <c r="K611" i="5"/>
  <c r="D349" i="5"/>
  <c r="O605" i="5"/>
  <c r="Q605" i="5" s="1"/>
  <c r="G611" i="5"/>
  <c r="G247" i="5" s="1"/>
  <c r="M611" i="5"/>
  <c r="L611" i="5"/>
  <c r="I611" i="5"/>
  <c r="O208" i="5"/>
  <c r="C206" i="5"/>
  <c r="D142" i="5"/>
  <c r="D12" i="5" s="1"/>
  <c r="C222" i="5"/>
  <c r="C279" i="5"/>
  <c r="E12" i="5"/>
  <c r="J142" i="5"/>
  <c r="J12" i="5" s="1"/>
  <c r="C143" i="5"/>
  <c r="C200" i="5"/>
  <c r="I12" i="5"/>
  <c r="F12" i="5"/>
  <c r="K12" i="5"/>
  <c r="H12" i="5"/>
  <c r="L12" i="5"/>
  <c r="C182" i="5"/>
  <c r="G12" i="5"/>
  <c r="O251" i="5"/>
  <c r="Q251" i="5" s="1"/>
  <c r="C348" i="5"/>
  <c r="C30" i="5"/>
  <c r="K348" i="5"/>
  <c r="E348" i="5"/>
  <c r="L348" i="5"/>
  <c r="H348" i="5"/>
  <c r="M348" i="5"/>
  <c r="I348" i="5"/>
  <c r="N348" i="5"/>
  <c r="J348" i="5"/>
  <c r="F348" i="5"/>
  <c r="D611" i="5"/>
  <c r="O248" i="5"/>
  <c r="Q248" i="5" s="1"/>
  <c r="C344" i="5"/>
  <c r="C151" i="5"/>
  <c r="F254" i="5"/>
  <c r="M12" i="5"/>
  <c r="E182" i="454" l="1"/>
  <c r="K182" i="454" s="1"/>
  <c r="AC182" i="454" s="1"/>
  <c r="E200" i="454"/>
  <c r="K200" i="454" s="1"/>
  <c r="AC200" i="454" s="1"/>
  <c r="E254" i="454"/>
  <c r="K254" i="454" s="1"/>
  <c r="AC254" i="454" s="1"/>
  <c r="E344" i="454"/>
  <c r="K344" i="454" s="1"/>
  <c r="AC344" i="454" s="1"/>
  <c r="E143" i="454"/>
  <c r="K143" i="454" s="1"/>
  <c r="AC143" i="454" s="1"/>
  <c r="E279" i="454"/>
  <c r="K279" i="454" s="1"/>
  <c r="AC279" i="454" s="1"/>
  <c r="E222" i="454"/>
  <c r="K222" i="454" s="1"/>
  <c r="AC222" i="454" s="1"/>
  <c r="E206" i="454"/>
  <c r="K206" i="454" s="1"/>
  <c r="AC206" i="454" s="1"/>
  <c r="E612" i="454"/>
  <c r="K612" i="454" s="1"/>
  <c r="E151" i="454"/>
  <c r="K151" i="454" s="1"/>
  <c r="AC151" i="454" s="1"/>
  <c r="E349" i="454"/>
  <c r="K349" i="454" s="1"/>
  <c r="AC349" i="454" s="1"/>
  <c r="N142" i="5"/>
  <c r="I247" i="5"/>
  <c r="N247" i="5"/>
  <c r="L247" i="5"/>
  <c r="L11" i="5" s="1"/>
  <c r="L817" i="5" s="1"/>
  <c r="E247" i="5"/>
  <c r="E11" i="5" s="1"/>
  <c r="E817" i="5" s="1"/>
  <c r="O612" i="5"/>
  <c r="Q612" i="5" s="1"/>
  <c r="M247" i="5"/>
  <c r="M11" i="5" s="1"/>
  <c r="M817" i="5" s="1"/>
  <c r="K247" i="5"/>
  <c r="K11" i="5" s="1"/>
  <c r="K817" i="5" s="1"/>
  <c r="J247" i="5"/>
  <c r="J11" i="5" s="1"/>
  <c r="J817" i="5" s="1"/>
  <c r="H247" i="5"/>
  <c r="C221" i="5"/>
  <c r="O200" i="5"/>
  <c r="C191" i="5"/>
  <c r="I11" i="5"/>
  <c r="H11" i="5"/>
  <c r="C181" i="5"/>
  <c r="G11" i="5"/>
  <c r="G817" i="5" s="1"/>
  <c r="C13" i="5"/>
  <c r="D348" i="5"/>
  <c r="D247" i="5" s="1"/>
  <c r="D11" i="5" s="1"/>
  <c r="O344" i="5"/>
  <c r="Q344" i="5" s="1"/>
  <c r="F247" i="5"/>
  <c r="F11" i="5" s="1"/>
  <c r="F817" i="5" s="1"/>
  <c r="C343" i="5"/>
  <c r="C611" i="5"/>
  <c r="E611" i="454" l="1"/>
  <c r="K611" i="454" s="1"/>
  <c r="E181" i="454"/>
  <c r="K181" i="454" s="1"/>
  <c r="AC181" i="454" s="1"/>
  <c r="E343" i="454"/>
  <c r="K343" i="454" s="1"/>
  <c r="AC343" i="454" s="1"/>
  <c r="E191" i="454"/>
  <c r="K191" i="454" s="1"/>
  <c r="AC191" i="454" s="1"/>
  <c r="E221" i="454"/>
  <c r="K221" i="454" s="1"/>
  <c r="AC221" i="454" s="1"/>
  <c r="E348" i="454"/>
  <c r="K348" i="454" s="1"/>
  <c r="AC348" i="454" s="1"/>
  <c r="O611" i="5"/>
  <c r="Q611" i="5" s="1"/>
  <c r="D817" i="5"/>
  <c r="I817" i="5"/>
  <c r="H817" i="5"/>
  <c r="C142" i="5"/>
  <c r="O343" i="5"/>
  <c r="Q343" i="5" s="1"/>
  <c r="C247" i="5"/>
  <c r="E142" i="454" l="1"/>
  <c r="K142" i="454" s="1"/>
  <c r="AC142" i="454" s="1"/>
  <c r="E247" i="454"/>
  <c r="K247" i="454" s="1"/>
  <c r="AC247" i="454" s="1"/>
  <c r="C12" i="5"/>
  <c r="O247" i="5"/>
  <c r="Q247" i="5" s="1"/>
  <c r="C11" i="5" l="1"/>
  <c r="C817" i="5" l="1"/>
  <c r="O295" i="5" l="1"/>
  <c r="Q295" i="5" s="1"/>
  <c r="O319" i="5" l="1"/>
  <c r="Q319" i="5" s="1"/>
  <c r="O288" i="5" l="1"/>
  <c r="Q288" i="5" s="1"/>
  <c r="O289" i="5"/>
  <c r="Q289" i="5" s="1"/>
  <c r="O290" i="5"/>
  <c r="Q290" i="5" s="1"/>
  <c r="O291" i="5"/>
  <c r="Q291" i="5" s="1"/>
  <c r="O167" i="5" l="1"/>
  <c r="Q167" i="5" s="1"/>
  <c r="O166" i="5" l="1"/>
  <c r="Q166" i="5" s="1"/>
  <c r="O165" i="5" l="1"/>
  <c r="Q165" i="5" s="1"/>
  <c r="O320" i="5" l="1"/>
  <c r="Q320" i="5" s="1"/>
  <c r="O306" i="5"/>
  <c r="Q306" i="5" s="1"/>
  <c r="O307" i="5"/>
  <c r="Q307" i="5" s="1"/>
  <c r="O253" i="5" l="1"/>
  <c r="Q253" i="5" s="1"/>
  <c r="O254" i="5"/>
  <c r="Q254" i="5" s="1"/>
  <c r="O242" i="5"/>
  <c r="Q242" i="5" s="1"/>
  <c r="O243" i="5"/>
  <c r="Q243" i="5" s="1"/>
  <c r="O223" i="5"/>
  <c r="Q223" i="5" s="1"/>
  <c r="O287" i="5" l="1"/>
  <c r="Q287" i="5" s="1"/>
  <c r="O222" i="5"/>
  <c r="Q222" i="5" s="1"/>
  <c r="O345" i="5" l="1"/>
  <c r="Q345" i="5" s="1"/>
  <c r="O346" i="5"/>
  <c r="Q346" i="5" s="1"/>
  <c r="O347" i="5"/>
  <c r="Q347" i="5" s="1"/>
  <c r="O348" i="5"/>
  <c r="Q348" i="5" s="1"/>
  <c r="O350" i="5"/>
  <c r="Q350" i="5" s="1"/>
  <c r="O351" i="5"/>
  <c r="Q351" i="5" s="1"/>
  <c r="O352" i="5"/>
  <c r="Q352" i="5" s="1"/>
  <c r="O353" i="5"/>
  <c r="Q353" i="5" s="1"/>
  <c r="O354" i="5"/>
  <c r="O355" i="5"/>
  <c r="Q355" i="5" s="1"/>
  <c r="O356" i="5"/>
  <c r="Q356" i="5" s="1"/>
  <c r="O349" i="5" l="1"/>
  <c r="Q349" i="5" s="1"/>
  <c r="Q354" i="5"/>
  <c r="O241" i="5"/>
  <c r="Q241" i="5" s="1"/>
  <c r="O238" i="5"/>
  <c r="Q238" i="5" s="1"/>
  <c r="O244" i="5" l="1"/>
  <c r="Q244" i="5" s="1"/>
  <c r="Q673" i="5" l="1"/>
  <c r="Q668" i="5" l="1"/>
  <c r="Q669" i="5"/>
  <c r="Q670" i="5"/>
  <c r="Q671" i="5"/>
  <c r="Q672" i="5"/>
  <c r="Q674" i="5"/>
  <c r="Q680" i="5"/>
  <c r="Q681" i="5"/>
  <c r="Q683" i="5"/>
  <c r="Q684" i="5"/>
  <c r="Q685" i="5"/>
  <c r="Q688" i="5"/>
  <c r="Q689" i="5"/>
  <c r="Q692" i="5"/>
  <c r="Q682" i="5" l="1"/>
  <c r="Q687" i="5"/>
  <c r="O1110" i="5" l="1"/>
  <c r="O1119" i="5"/>
  <c r="O1125" i="5"/>
  <c r="O1126" i="5"/>
  <c r="O1127" i="5"/>
  <c r="O1117" i="5" l="1"/>
  <c r="O1121" i="5"/>
  <c r="O1113" i="5"/>
  <c r="O1114" i="5"/>
  <c r="O1115" i="5"/>
  <c r="O1116" i="5"/>
  <c r="O1118" i="5"/>
  <c r="O1120" i="5"/>
  <c r="O1122" i="5"/>
  <c r="O1123" i="5"/>
  <c r="O1124" i="5"/>
  <c r="O1134" i="5"/>
  <c r="O1128" i="5"/>
  <c r="O14" i="5"/>
  <c r="Q14" i="5" s="1"/>
  <c r="O29" i="5"/>
  <c r="Q29" i="5" s="1"/>
  <c r="O36" i="5"/>
  <c r="Q36" i="5" s="1"/>
  <c r="O45" i="5"/>
  <c r="Q45" i="5" s="1"/>
  <c r="O52" i="5"/>
  <c r="Q52" i="5" s="1"/>
  <c r="O60" i="5"/>
  <c r="Q60" i="5" s="1"/>
  <c r="O67" i="5"/>
  <c r="Q67" i="5" s="1"/>
  <c r="O76" i="5"/>
  <c r="Q76" i="5" s="1"/>
  <c r="O94" i="5"/>
  <c r="Q94" i="5" s="1"/>
  <c r="O96" i="5"/>
  <c r="Q96" i="5" s="1"/>
  <c r="O103" i="5"/>
  <c r="Q103" i="5" s="1"/>
  <c r="O110" i="5"/>
  <c r="Q110" i="5" s="1"/>
  <c r="O117" i="5"/>
  <c r="Q117" i="5" s="1"/>
  <c r="O125" i="5"/>
  <c r="Q125" i="5" s="1"/>
  <c r="O127" i="5"/>
  <c r="Q127" i="5" s="1"/>
  <c r="O130" i="5"/>
  <c r="Q130" i="5" s="1"/>
  <c r="O135" i="5"/>
  <c r="Q135" i="5" s="1"/>
  <c r="O140" i="5"/>
  <c r="Q140" i="5" s="1"/>
  <c r="O145" i="5"/>
  <c r="Q145" i="5" s="1"/>
  <c r="O152" i="5"/>
  <c r="Q152" i="5" s="1"/>
  <c r="O155" i="5"/>
  <c r="Q155" i="5" s="1"/>
  <c r="O157" i="5"/>
  <c r="Q157" i="5" s="1"/>
  <c r="O170" i="5"/>
  <c r="Q170" i="5" s="1"/>
  <c r="O177" i="5"/>
  <c r="Q177" i="5" s="1"/>
  <c r="O185" i="5"/>
  <c r="Q185" i="5" s="1"/>
  <c r="O192" i="5"/>
  <c r="Q192" i="5" s="1"/>
  <c r="O203" i="5"/>
  <c r="Q203" i="5" s="1"/>
  <c r="O204" i="5"/>
  <c r="Q204" i="5" s="1"/>
  <c r="O206" i="5"/>
  <c r="Q206" i="5" s="1"/>
  <c r="O215" i="5"/>
  <c r="Q215" i="5" s="1"/>
  <c r="O221" i="5"/>
  <c r="Q221" i="5" s="1"/>
  <c r="O226" i="5"/>
  <c r="Q226" i="5" s="1"/>
  <c r="O229" i="5"/>
  <c r="Q229" i="5" s="1"/>
  <c r="O231" i="5"/>
  <c r="Q231" i="5" s="1"/>
  <c r="O237" i="5"/>
  <c r="Q237" i="5" s="1"/>
  <c r="Q258" i="5"/>
  <c r="O266" i="5"/>
  <c r="Q266" i="5" s="1"/>
  <c r="O267" i="5"/>
  <c r="Q267" i="5" s="1"/>
  <c r="O271" i="5"/>
  <c r="Q271" i="5" s="1"/>
  <c r="O275" i="5"/>
  <c r="Q275" i="5" s="1"/>
  <c r="O294" i="5"/>
  <c r="Q294" i="5" s="1"/>
  <c r="O298" i="5"/>
  <c r="Q298" i="5" s="1"/>
  <c r="O301" i="5"/>
  <c r="Q301" i="5" s="1"/>
  <c r="O302" i="5"/>
  <c r="Q302" i="5" s="1"/>
  <c r="O308" i="5"/>
  <c r="Q308" i="5" s="1"/>
  <c r="Q312" i="5"/>
  <c r="Q313" i="5"/>
  <c r="Q316" i="5"/>
  <c r="O317" i="5"/>
  <c r="Q317" i="5" s="1"/>
  <c r="O318" i="5"/>
  <c r="Q318" i="5" s="1"/>
  <c r="O321" i="5"/>
  <c r="Q321" i="5" s="1"/>
  <c r="O322" i="5"/>
  <c r="Q322" i="5" s="1"/>
  <c r="O323" i="5"/>
  <c r="Q323" i="5" s="1"/>
  <c r="O324" i="5"/>
  <c r="Q324" i="5" s="1"/>
  <c r="O325" i="5"/>
  <c r="Q325" i="5" s="1"/>
  <c r="O326" i="5"/>
  <c r="Q326" i="5" s="1"/>
  <c r="O327" i="5"/>
  <c r="Q327" i="5" s="1"/>
  <c r="O169" i="5" l="1"/>
  <c r="Q169" i="5" s="1"/>
  <c r="O292" i="5"/>
  <c r="Q292" i="5" s="1"/>
  <c r="Q691" i="5"/>
  <c r="Q667" i="5"/>
  <c r="Q679" i="5"/>
  <c r="O210" i="5"/>
  <c r="Q210" i="5" s="1"/>
  <c r="O88" i="5"/>
  <c r="Q88" i="5" s="1"/>
  <c r="O297" i="5"/>
  <c r="Q297" i="5" s="1"/>
  <c r="O184" i="5"/>
  <c r="Q184" i="5" s="1"/>
  <c r="O171" i="5"/>
  <c r="Q171" i="5" s="1"/>
  <c r="O189" i="5"/>
  <c r="Q189" i="5" s="1"/>
  <c r="O265" i="5"/>
  <c r="Q265" i="5" s="1"/>
  <c r="O74" i="5"/>
  <c r="Q74" i="5" s="1"/>
  <c r="O128" i="5"/>
  <c r="Q128" i="5" s="1"/>
  <c r="O23" i="5"/>
  <c r="Q23" i="5" s="1"/>
  <c r="O33" i="5"/>
  <c r="Q33" i="5" s="1"/>
  <c r="O38" i="5"/>
  <c r="Q38" i="5" s="1"/>
  <c r="O42" i="5"/>
  <c r="Q42" i="5" s="1"/>
  <c r="O47" i="5"/>
  <c r="Q47" i="5" s="1"/>
  <c r="O51" i="5"/>
  <c r="Q51" i="5" s="1"/>
  <c r="O61" i="5"/>
  <c r="Q61" i="5" s="1"/>
  <c r="O65" i="5"/>
  <c r="Q65" i="5" s="1"/>
  <c r="O70" i="5"/>
  <c r="Q70" i="5" s="1"/>
  <c r="O90" i="5"/>
  <c r="Q90" i="5" s="1"/>
  <c r="O95" i="5"/>
  <c r="Q95" i="5" s="1"/>
  <c r="O100" i="5"/>
  <c r="Q100" i="5" s="1"/>
  <c r="O105" i="5"/>
  <c r="Q105" i="5" s="1"/>
  <c r="O109" i="5"/>
  <c r="Q109" i="5" s="1"/>
  <c r="O114" i="5"/>
  <c r="Q114" i="5" s="1"/>
  <c r="O119" i="5"/>
  <c r="Q119" i="5" s="1"/>
  <c r="O123" i="5"/>
  <c r="Q123" i="5" s="1"/>
  <c r="O129" i="5"/>
  <c r="Q129" i="5" s="1"/>
  <c r="O134" i="5"/>
  <c r="Q134" i="5" s="1"/>
  <c r="O139" i="5"/>
  <c r="Q139" i="5" s="1"/>
  <c r="O144" i="5"/>
  <c r="Q144" i="5" s="1"/>
  <c r="O149" i="5"/>
  <c r="Q149" i="5" s="1"/>
  <c r="O154" i="5"/>
  <c r="Q154" i="5" s="1"/>
  <c r="O160" i="5"/>
  <c r="Q160" i="5" s="1"/>
  <c r="O174" i="5"/>
  <c r="Q174" i="5" s="1"/>
  <c r="O179" i="5"/>
  <c r="Q179" i="5" s="1"/>
  <c r="O183" i="5"/>
  <c r="Q183" i="5" s="1"/>
  <c r="O188" i="5"/>
  <c r="Q188" i="5" s="1"/>
  <c r="O193" i="5"/>
  <c r="Q193" i="5" s="1"/>
  <c r="Q197" i="5"/>
  <c r="Q208" i="5"/>
  <c r="O212" i="5"/>
  <c r="Q212" i="5" s="1"/>
  <c r="O220" i="5"/>
  <c r="Q220" i="5" s="1"/>
  <c r="O230" i="5"/>
  <c r="Q230" i="5" s="1"/>
  <c r="Q260" i="5"/>
  <c r="O264" i="5"/>
  <c r="Q264" i="5" s="1"/>
  <c r="O276" i="5"/>
  <c r="Q276" i="5" s="1"/>
  <c r="O300" i="5"/>
  <c r="Q300" i="5" s="1"/>
  <c r="O305" i="5"/>
  <c r="Q305" i="5" s="1"/>
  <c r="O261" i="5"/>
  <c r="Q261" i="5" s="1"/>
  <c r="O113" i="5"/>
  <c r="Q113" i="5" s="1"/>
  <c r="O101" i="5"/>
  <c r="Q101" i="5" s="1"/>
  <c r="O72" i="5"/>
  <c r="Q72" i="5" s="1"/>
  <c r="O56" i="5"/>
  <c r="Q56" i="5" s="1"/>
  <c r="O28" i="5"/>
  <c r="Q28" i="5" s="1"/>
  <c r="O37" i="5"/>
  <c r="Q37" i="5" s="1"/>
  <c r="O46" i="5"/>
  <c r="Q46" i="5" s="1"/>
  <c r="O55" i="5"/>
  <c r="Q55" i="5" s="1"/>
  <c r="O69" i="5"/>
  <c r="Q69" i="5" s="1"/>
  <c r="O73" i="5"/>
  <c r="Q73" i="5" s="1"/>
  <c r="O89" i="5"/>
  <c r="Q89" i="5" s="1"/>
  <c r="O99" i="5"/>
  <c r="Q99" i="5" s="1"/>
  <c r="O104" i="5"/>
  <c r="Q104" i="5" s="1"/>
  <c r="O118" i="5"/>
  <c r="Q118" i="5" s="1"/>
  <c r="O122" i="5"/>
  <c r="Q122" i="5" s="1"/>
  <c r="O138" i="5"/>
  <c r="Q138" i="5" s="1"/>
  <c r="O143" i="5"/>
  <c r="Q143" i="5" s="1"/>
  <c r="O153" i="5"/>
  <c r="Q153" i="5" s="1"/>
  <c r="O159" i="5"/>
  <c r="Q159" i="5" s="1"/>
  <c r="O173" i="5"/>
  <c r="Q173" i="5" s="1"/>
  <c r="O178" i="5"/>
  <c r="Q178" i="5" s="1"/>
  <c r="O187" i="5"/>
  <c r="Q187" i="5" s="1"/>
  <c r="O191" i="5"/>
  <c r="Q191" i="5" s="1"/>
  <c r="O202" i="5"/>
  <c r="Q202" i="5" s="1"/>
  <c r="O228" i="5"/>
  <c r="Q228" i="5" s="1"/>
  <c r="O240" i="5"/>
  <c r="Q240" i="5" s="1"/>
  <c r="O263" i="5"/>
  <c r="Q263" i="5" s="1"/>
  <c r="O195" i="5"/>
  <c r="Q195" i="5" s="1"/>
  <c r="O161" i="5"/>
  <c r="Q161" i="5" s="1"/>
  <c r="O148" i="5"/>
  <c r="Q148" i="5" s="1"/>
  <c r="O133" i="5"/>
  <c r="Q133" i="5" s="1"/>
  <c r="O32" i="5"/>
  <c r="Q32" i="5" s="1"/>
  <c r="O41" i="5"/>
  <c r="Q41" i="5" s="1"/>
  <c r="O50" i="5"/>
  <c r="Q50" i="5" s="1"/>
  <c r="O59" i="5"/>
  <c r="Q59" i="5" s="1"/>
  <c r="O78" i="5"/>
  <c r="Q78" i="5" s="1"/>
  <c r="O93" i="5"/>
  <c r="Q93" i="5" s="1"/>
  <c r="O163" i="5"/>
  <c r="Q163" i="5" s="1"/>
  <c r="O182" i="5"/>
  <c r="Q182" i="5" s="1"/>
  <c r="Q196" i="5"/>
  <c r="O211" i="5"/>
  <c r="Q211" i="5" s="1"/>
  <c r="Q259" i="5"/>
  <c r="O34" i="5"/>
  <c r="Q34" i="5" s="1"/>
  <c r="O39" i="5"/>
  <c r="Q39" i="5" s="1"/>
  <c r="O53" i="5"/>
  <c r="Q53" i="5" s="1"/>
  <c r="O57" i="5"/>
  <c r="Q57" i="5" s="1"/>
  <c r="O62" i="5"/>
  <c r="Q62" i="5" s="1"/>
  <c r="O66" i="5"/>
  <c r="Q66" i="5" s="1"/>
  <c r="O71" i="5"/>
  <c r="Q71" i="5" s="1"/>
  <c r="O75" i="5"/>
  <c r="Q75" i="5" s="1"/>
  <c r="O87" i="5"/>
  <c r="Q87" i="5" s="1"/>
  <c r="O91" i="5"/>
  <c r="Q91" i="5" s="1"/>
  <c r="O97" i="5"/>
  <c r="Q97" i="5" s="1"/>
  <c r="O106" i="5"/>
  <c r="Q106" i="5" s="1"/>
  <c r="O111" i="5"/>
  <c r="Q111" i="5" s="1"/>
  <c r="O115" i="5"/>
  <c r="Q115" i="5" s="1"/>
  <c r="O120" i="5"/>
  <c r="Q120" i="5" s="1"/>
  <c r="O124" i="5"/>
  <c r="Q124" i="5" s="1"/>
  <c r="O131" i="5"/>
  <c r="Q131" i="5" s="1"/>
  <c r="O136" i="5"/>
  <c r="Q136" i="5" s="1"/>
  <c r="O141" i="5"/>
  <c r="Q141" i="5" s="1"/>
  <c r="O146" i="5"/>
  <c r="Q146" i="5" s="1"/>
  <c r="O150" i="5"/>
  <c r="Q150" i="5" s="1"/>
  <c r="O156" i="5"/>
  <c r="Q156" i="5" s="1"/>
  <c r="O175" i="5"/>
  <c r="Q175" i="5" s="1"/>
  <c r="O180" i="5"/>
  <c r="Q180" i="5" s="1"/>
  <c r="O194" i="5"/>
  <c r="Q194" i="5" s="1"/>
  <c r="Q200" i="5"/>
  <c r="Q209" i="5"/>
  <c r="O213" i="5"/>
  <c r="Q213" i="5" s="1"/>
  <c r="O236" i="5"/>
  <c r="Q236" i="5" s="1"/>
  <c r="O20" i="5"/>
  <c r="Q20" i="5" s="1"/>
  <c r="O31" i="5"/>
  <c r="Q31" i="5" s="1"/>
  <c r="O40" i="5"/>
  <c r="Q40" i="5" s="1"/>
  <c r="O44" i="5"/>
  <c r="Q44" i="5" s="1"/>
  <c r="O49" i="5"/>
  <c r="Q49" i="5" s="1"/>
  <c r="O54" i="5"/>
  <c r="Q54" i="5" s="1"/>
  <c r="O58" i="5"/>
  <c r="Q58" i="5" s="1"/>
  <c r="O63" i="5"/>
  <c r="Q63" i="5" s="1"/>
  <c r="O68" i="5"/>
  <c r="Q68" i="5" s="1"/>
  <c r="O77" i="5"/>
  <c r="Q77" i="5" s="1"/>
  <c r="O92" i="5"/>
  <c r="Q92" i="5" s="1"/>
  <c r="O98" i="5"/>
  <c r="Q98" i="5" s="1"/>
  <c r="O102" i="5"/>
  <c r="Q102" i="5" s="1"/>
  <c r="O107" i="5"/>
  <c r="Q107" i="5" s="1"/>
  <c r="O112" i="5"/>
  <c r="Q112" i="5" s="1"/>
  <c r="O116" i="5"/>
  <c r="Q116" i="5" s="1"/>
  <c r="O126" i="5"/>
  <c r="Q126" i="5" s="1"/>
  <c r="O132" i="5"/>
  <c r="Q132" i="5" s="1"/>
  <c r="O137" i="5"/>
  <c r="Q137" i="5" s="1"/>
  <c r="O142" i="5"/>
  <c r="Q142" i="5" s="1"/>
  <c r="O147" i="5"/>
  <c r="Q147" i="5" s="1"/>
  <c r="O151" i="5"/>
  <c r="Q151" i="5" s="1"/>
  <c r="O158" i="5"/>
  <c r="Q158" i="5" s="1"/>
  <c r="O162" i="5"/>
  <c r="Q162" i="5" s="1"/>
  <c r="O172" i="5"/>
  <c r="Q172" i="5" s="1"/>
  <c r="O176" i="5"/>
  <c r="Q176" i="5" s="1"/>
  <c r="O181" i="5"/>
  <c r="Q181" i="5" s="1"/>
  <c r="O186" i="5"/>
  <c r="Q186" i="5" s="1"/>
  <c r="O190" i="5"/>
  <c r="Q190" i="5" s="1"/>
  <c r="O262" i="5"/>
  <c r="Q262" i="5" s="1"/>
  <c r="O270" i="5"/>
  <c r="Q270" i="5" s="1"/>
  <c r="O273" i="5"/>
  <c r="Q273" i="5" s="1"/>
  <c r="O225" i="5"/>
  <c r="Q225" i="5" s="1"/>
  <c r="O214" i="5"/>
  <c r="Q214" i="5" s="1"/>
  <c r="O121" i="5"/>
  <c r="Q121" i="5" s="1"/>
  <c r="O108" i="5"/>
  <c r="Q108" i="5" s="1"/>
  <c r="O64" i="5"/>
  <c r="Q64" i="5" s="1"/>
  <c r="O48" i="5"/>
  <c r="Q48" i="5" s="1"/>
  <c r="O35" i="5"/>
  <c r="Q35" i="5" s="1"/>
  <c r="O25" i="5"/>
  <c r="Q25" i="5" s="1"/>
  <c r="O21" i="5"/>
  <c r="Q21" i="5" s="1"/>
  <c r="O15" i="5"/>
  <c r="Q15" i="5" s="1"/>
  <c r="O24" i="5"/>
  <c r="Q24" i="5" s="1"/>
  <c r="O16" i="5"/>
  <c r="Q16" i="5" s="1"/>
  <c r="O19" i="5"/>
  <c r="Q19" i="5" s="1"/>
  <c r="O168" i="5" l="1"/>
  <c r="Q168" i="5" s="1"/>
  <c r="O43" i="5"/>
  <c r="Q43" i="5" s="1"/>
  <c r="O27" i="5"/>
  <c r="Q27" i="5" s="1"/>
  <c r="Q690" i="5"/>
  <c r="O239" i="5"/>
  <c r="Q239" i="5" s="1"/>
  <c r="O218" i="5"/>
  <c r="Q218" i="5" s="1"/>
  <c r="Q677" i="5"/>
  <c r="O304" i="5"/>
  <c r="Q304" i="5" s="1"/>
  <c r="O283" i="5"/>
  <c r="Q283" i="5" s="1"/>
  <c r="Q256" i="5"/>
  <c r="O18" i="5"/>
  <c r="Q18" i="5" s="1"/>
  <c r="O269" i="5"/>
  <c r="Q269" i="5" s="1"/>
  <c r="O201" i="5"/>
  <c r="Q201" i="5" s="1"/>
  <c r="O272" i="5"/>
  <c r="Q272" i="5" s="1"/>
  <c r="O299" i="5"/>
  <c r="Q299" i="5" s="1"/>
  <c r="O278" i="5"/>
  <c r="Q278" i="5" s="1"/>
  <c r="O296" i="5"/>
  <c r="Q296" i="5" s="1"/>
  <c r="O280" i="5"/>
  <c r="Q280" i="5" s="1"/>
  <c r="O205" i="5"/>
  <c r="Q205" i="5" s="1"/>
  <c r="O235" i="5"/>
  <c r="Q235" i="5" s="1"/>
  <c r="O286" i="5"/>
  <c r="Q286" i="5" s="1"/>
  <c r="O227" i="5"/>
  <c r="Q227" i="5" s="1"/>
  <c r="O224" i="5"/>
  <c r="Q224" i="5" s="1"/>
  <c r="Q311" i="5"/>
  <c r="O22" i="5"/>
  <c r="Q22" i="5" s="1"/>
  <c r="G819" i="5" l="1"/>
  <c r="O255" i="5"/>
  <c r="Q255" i="5" s="1"/>
  <c r="Q676" i="5"/>
  <c r="O26" i="5"/>
  <c r="Q26" i="5" s="1"/>
  <c r="O303" i="5"/>
  <c r="Q303" i="5" s="1"/>
  <c r="O217" i="5"/>
  <c r="Q217" i="5" s="1"/>
  <c r="Q310" i="5"/>
  <c r="O285" i="5"/>
  <c r="Q285" i="5" s="1"/>
  <c r="O234" i="5"/>
  <c r="Q234" i="5" s="1"/>
  <c r="O268" i="5"/>
  <c r="Q268" i="5" s="1"/>
  <c r="O279" i="5"/>
  <c r="Q279" i="5" s="1"/>
  <c r="O17" i="5"/>
  <c r="Q17" i="5" s="1"/>
  <c r="O281" i="5" l="1"/>
  <c r="Q281" i="5" s="1"/>
  <c r="O233" i="5"/>
  <c r="Q233" i="5" s="1"/>
  <c r="O282" i="5" l="1"/>
  <c r="Q282" i="5" s="1"/>
  <c r="O232" i="5"/>
  <c r="Q232" i="5" s="1"/>
  <c r="O277" i="5" l="1"/>
  <c r="Q277" i="5" s="1"/>
  <c r="O216" i="5"/>
  <c r="Q216" i="5" s="1"/>
  <c r="O164" i="5" l="1"/>
  <c r="Q164" i="5" s="1"/>
  <c r="O1107" i="5" l="1"/>
  <c r="C1108" i="5" l="1"/>
  <c r="D1108" i="5"/>
  <c r="E1108" i="5"/>
  <c r="F1108" i="5"/>
  <c r="G1108" i="5"/>
  <c r="H1108" i="5"/>
  <c r="I1108" i="5"/>
  <c r="J1108" i="5"/>
  <c r="K1108" i="5"/>
  <c r="L1108" i="5"/>
  <c r="M1108" i="5"/>
  <c r="N1108" i="5"/>
  <c r="O1108" i="5" l="1"/>
  <c r="C1135" i="5" l="1"/>
  <c r="H1135" i="5" l="1"/>
  <c r="H1136" i="5" s="1"/>
  <c r="M1135" i="5"/>
  <c r="M1136" i="5" s="1"/>
  <c r="L1135" i="5"/>
  <c r="L1136" i="5" s="1"/>
  <c r="F1135" i="5"/>
  <c r="F1136" i="5" s="1"/>
  <c r="K1135" i="5"/>
  <c r="K1136" i="5" s="1"/>
  <c r="G1135" i="5"/>
  <c r="G1136" i="5" s="1"/>
  <c r="E1135" i="5"/>
  <c r="E1136" i="5" s="1"/>
  <c r="I1135" i="5"/>
  <c r="I1136" i="5" s="1"/>
  <c r="J1135" i="5"/>
  <c r="J1136" i="5" s="1"/>
  <c r="N1135" i="5" l="1"/>
  <c r="O1112" i="5"/>
  <c r="O1111" i="5" l="1"/>
  <c r="D1135" i="5"/>
  <c r="D1136" i="5" l="1"/>
  <c r="O1135" i="5"/>
  <c r="Q675" i="5" l="1"/>
  <c r="O284" i="5" l="1"/>
  <c r="Q284" i="5" s="1"/>
  <c r="O847" i="5" l="1"/>
  <c r="C844" i="5"/>
  <c r="E844" i="454" l="1"/>
  <c r="K844" i="454" s="1"/>
  <c r="AC844" i="454" s="1"/>
  <c r="C835" i="5"/>
  <c r="O844" i="5"/>
  <c r="E835" i="454" l="1"/>
  <c r="K835" i="454" s="1"/>
  <c r="AC835" i="454" s="1"/>
  <c r="C822" i="5"/>
  <c r="O822" i="5" s="1"/>
  <c r="O835" i="5"/>
  <c r="C821" i="5" l="1"/>
  <c r="E821" i="454" s="1"/>
  <c r="K821" i="454" s="1"/>
  <c r="AC821" i="454" s="1"/>
  <c r="E822" i="454"/>
  <c r="K822" i="454" s="1"/>
  <c r="AC822" i="454" s="1"/>
  <c r="C820" i="5" l="1"/>
  <c r="O821" i="5"/>
  <c r="E820" i="454"/>
  <c r="C1104" i="5"/>
  <c r="C1136" i="5" s="1"/>
  <c r="O820" i="5"/>
  <c r="O1104" i="5" s="1"/>
  <c r="E1104" i="454" l="1"/>
  <c r="K820" i="454"/>
  <c r="K1104" i="454" l="1"/>
  <c r="AC820" i="454"/>
  <c r="AC1104" i="454" l="1"/>
  <c r="O86" i="5" l="1"/>
  <c r="Q86" i="5" s="1"/>
  <c r="O84" i="5"/>
  <c r="Q84" i="5" s="1"/>
  <c r="N79" i="5"/>
  <c r="N30" i="5" s="1"/>
  <c r="O85" i="5"/>
  <c r="Q85" i="5" s="1"/>
  <c r="O83" i="5"/>
  <c r="Q83" i="5" s="1"/>
  <c r="E80" i="454"/>
  <c r="K80" i="454" s="1"/>
  <c r="AC80" i="454" s="1"/>
  <c r="O81" i="5"/>
  <c r="Q81" i="5" s="1"/>
  <c r="E81" i="454"/>
  <c r="O80" i="5"/>
  <c r="Q80" i="5" s="1"/>
  <c r="K81" i="454" l="1"/>
  <c r="AC81" i="454"/>
  <c r="N13" i="5"/>
  <c r="O30" i="5"/>
  <c r="Q30" i="5" s="1"/>
  <c r="E30" i="454"/>
  <c r="K30" i="454" s="1"/>
  <c r="AC30" i="454" s="1"/>
  <c r="E83" i="454"/>
  <c r="K83" i="454" s="1"/>
  <c r="E85" i="454"/>
  <c r="K85" i="454" s="1"/>
  <c r="E79" i="454"/>
  <c r="K79" i="454" s="1"/>
  <c r="AC79" i="454" s="1"/>
  <c r="O79" i="5"/>
  <c r="Q79" i="5" s="1"/>
  <c r="E84" i="454"/>
  <c r="K84" i="454" s="1"/>
  <c r="E86" i="454"/>
  <c r="K86" i="454" s="1"/>
  <c r="AC85" i="454" l="1"/>
  <c r="AC86" i="454"/>
  <c r="AC84" i="454"/>
  <c r="AC83" i="454"/>
  <c r="E13" i="454"/>
  <c r="K13" i="454" s="1"/>
  <c r="N12" i="5"/>
  <c r="O13" i="5"/>
  <c r="Q13" i="5" s="1"/>
  <c r="L1155" i="454" l="1"/>
  <c r="O12" i="5"/>
  <c r="Q12" i="5" s="1"/>
  <c r="E12" i="454"/>
  <c r="K12" i="454" s="1"/>
  <c r="AC12" i="454" s="1"/>
  <c r="N11" i="5"/>
  <c r="AC13" i="454"/>
  <c r="L1154" i="454" l="1"/>
  <c r="M1154" i="454" s="1"/>
  <c r="N1154" i="454" s="1"/>
  <c r="O1154" i="454" s="1"/>
  <c r="L1152" i="454"/>
  <c r="M1152" i="454" s="1"/>
  <c r="N1152" i="454" s="1"/>
  <c r="O1152" i="454" s="1"/>
  <c r="L1150" i="454"/>
  <c r="L1153" i="454"/>
  <c r="M1153" i="454" s="1"/>
  <c r="N1153" i="454" s="1"/>
  <c r="O1153" i="454" s="1"/>
  <c r="L1151" i="454"/>
  <c r="M1151" i="454" s="1"/>
  <c r="N1151" i="454" s="1"/>
  <c r="O1151" i="454" s="1"/>
  <c r="O11" i="5"/>
  <c r="E11" i="454"/>
  <c r="N817" i="5"/>
  <c r="N1136" i="5" s="1"/>
  <c r="M1150" i="454" l="1"/>
  <c r="L1156" i="454"/>
  <c r="E817" i="454"/>
  <c r="K11" i="454"/>
  <c r="O817" i="5"/>
  <c r="O1136" i="5" s="1"/>
  <c r="Q11" i="5"/>
  <c r="M1156" i="454" l="1"/>
  <c r="N1150" i="454"/>
  <c r="O1150" i="454" s="1"/>
  <c r="O1156" i="454" s="1"/>
  <c r="AC11" i="454"/>
  <c r="K817" i="454"/>
  <c r="E1136" i="454"/>
  <c r="M1157" i="454" l="1"/>
  <c r="N1156" i="454"/>
  <c r="AC817" i="454"/>
  <c r="K1136" i="454"/>
  <c r="AC1136" i="454" s="1"/>
</calcChain>
</file>

<file path=xl/comments1.xml><?xml version="1.0" encoding="utf-8"?>
<comments xmlns="http://schemas.openxmlformats.org/spreadsheetml/2006/main">
  <authors>
    <author>Jose Luna Duran</author>
    <author>USUARIO</author>
  </authors>
  <commentList>
    <comment ref="Y116" authorId="0" shapeId="0">
      <text>
        <r>
          <rPr>
            <b/>
            <sz val="9"/>
            <color indexed="81"/>
            <rFont val="Tahoma"/>
            <family val="2"/>
          </rPr>
          <t>En el mes de marzo se presenta un ajuste por valor de -$364.560.236 
En el mes de mayo se presenta una ajuste por valor de -$161.852.959 debido a que se recaudo es este $674.934.085 y se realizaron devoluciones por valor de $835.673.163 y $1.113.881 ($836.787.044)</t>
        </r>
      </text>
    </comment>
    <comment ref="F204" authorId="0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" authorId="1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</text>
    </comment>
    <comment ref="F931" authorId="1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</text>
    </comment>
    <comment ref="F932" authorId="1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</text>
    </comment>
    <comment ref="G962" authorId="0" shapeId="0">
      <text>
        <r>
          <rPr>
            <b/>
            <sz val="9"/>
            <color indexed="81"/>
            <rFont val="Tahoma"/>
            <family val="2"/>
          </rPr>
          <t>DECRETO 495 DE OCTUBRE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3" authorId="1" shapeId="0">
      <text>
        <r>
          <rPr>
            <b/>
            <sz val="9"/>
            <color indexed="81"/>
            <rFont val="Tahoma"/>
            <family val="2"/>
          </rPr>
          <t>DECRETO 650 DEL 13 DE DICIEMBRE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7" authorId="0" shapeId="0">
      <text>
        <r>
          <rPr>
            <b/>
            <sz val="9"/>
            <color indexed="81"/>
            <rFont val="Tahoma"/>
            <family val="2"/>
          </rPr>
          <t>DECRETO 481 DE OCTUBRE 06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8" authorId="1" shapeId="0">
      <text>
        <r>
          <rPr>
            <b/>
            <sz val="9"/>
            <color indexed="81"/>
            <rFont val="Tahoma"/>
            <family val="2"/>
          </rPr>
          <t>DECRETO 650 DEL 13 DE DICIEMBRE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1" authorId="0" shapeId="0">
      <text>
        <r>
          <rPr>
            <b/>
            <sz val="9"/>
            <color indexed="81"/>
            <rFont val="Tahoma"/>
            <family val="2"/>
          </rPr>
          <t>DECRETO 535 DE 06 DE NOVIEMBRE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</text>
    </comment>
    <comment ref="F103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</text>
    </comment>
  </commentList>
</comments>
</file>

<file path=xl/comments2.xml><?xml version="1.0" encoding="utf-8"?>
<comments xmlns="http://schemas.openxmlformats.org/spreadsheetml/2006/main">
  <authors>
    <author>Jose Luna Duran</author>
    <author>USUARIO</author>
  </authors>
  <commentList>
    <comment ref="N16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9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0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4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6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9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1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2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4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7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8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9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1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1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2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3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5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8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9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0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1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2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7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8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55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56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57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58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59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0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9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70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71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72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73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74" authorId="0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98" authorId="0" shapeId="0">
      <text>
        <r>
          <rPr>
            <b/>
            <sz val="9"/>
            <color indexed="81"/>
            <rFont val="Tahoma"/>
            <family val="2"/>
          </rPr>
          <t>ORDENANZA NO 24 DEL03 AGOSTO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99" authorId="0" shapeId="0">
      <text>
        <r>
          <rPr>
            <b/>
            <sz val="9"/>
            <color indexed="81"/>
            <rFont val="Tahoma"/>
            <family val="2"/>
          </rPr>
          <t>ORDENANZA NO 24 DEL03 AGOSTO DEL 2021 </t>
        </r>
      </text>
    </comment>
    <comment ref="J207" authorId="0" shapeId="0">
      <text>
        <r>
          <rPr>
            <b/>
            <sz val="9"/>
            <color indexed="81"/>
            <rFont val="Tahoma"/>
            <family val="2"/>
          </rPr>
          <t>DECRETO 392 DEL 20 DE AGOSTO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19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4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93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09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14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15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3" authorId="0" shapeId="0">
      <text>
        <r>
          <rPr>
            <b/>
            <sz val="9"/>
            <color indexed="81"/>
            <rFont val="Tahoma"/>
            <family val="2"/>
          </rPr>
          <t>ORDENANZA NO 020 DE JUNIO 03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4" authorId="0" shapeId="0">
      <text>
        <r>
          <rPr>
            <b/>
            <sz val="9"/>
            <color indexed="81"/>
            <rFont val="Tahoma"/>
            <family val="2"/>
          </rPr>
          <t>ORDENANZA NO 020 DE JUNIO 03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35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36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40" authorId="0" shapeId="0">
      <text>
        <r>
          <rPr>
            <b/>
            <sz val="9"/>
            <color indexed="81"/>
            <rFont val="Tahoma"/>
            <family val="2"/>
          </rPr>
          <t>DECRETO 180 DEL 19 DE ABRIL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41" authorId="0" shapeId="0">
      <text>
        <r>
          <rPr>
            <b/>
            <sz val="9"/>
            <color indexed="81"/>
            <rFont val="Tahoma"/>
            <family val="2"/>
          </rPr>
          <t>DECRETO 180 DEL 19 DE ABRIL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2" authorId="0" shapeId="0">
      <text>
        <r>
          <rPr>
            <b/>
            <sz val="9"/>
            <color indexed="81"/>
            <rFont val="Tahoma"/>
            <family val="2"/>
          </rPr>
          <t>DECRETO 234 DEL 19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59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60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62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07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09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411" authorId="0" shapeId="0">
      <text>
        <r>
          <rPr>
            <b/>
            <sz val="9"/>
            <color indexed="81"/>
            <rFont val="Tahoma"/>
            <family val="2"/>
          </rPr>
          <t>ORDENANZA NO 24 DEL03 AGOSTO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12" authorId="0" shapeId="0">
      <text>
        <r>
          <rPr>
            <b/>
            <sz val="9"/>
            <color indexed="81"/>
            <rFont val="Tahoma"/>
            <family val="2"/>
          </rPr>
          <t>ORDENANZA NO 34 DE SEPTIEMBRE 15-2021 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13" authorId="0" shapeId="0">
      <text>
        <r>
          <rPr>
            <b/>
            <sz val="9"/>
            <color indexed="81"/>
            <rFont val="Tahoma"/>
            <family val="2"/>
          </rPr>
          <t>ORDENANZA NO 34 DE SEPTIEMBRE 15-2021 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14" authorId="0" shapeId="0">
      <text>
        <r>
          <rPr>
            <b/>
            <sz val="9"/>
            <color indexed="81"/>
            <rFont val="Tahoma"/>
            <family val="2"/>
          </rPr>
          <t>ORDENANZA NO 34 DE SEPTIEMBRE 15-2021 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17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18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1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22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4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5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26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7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8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9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0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3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78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03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23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48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7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7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7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7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7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8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83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585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8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9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9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93" authorId="0" shapeId="0">
      <text>
        <r>
          <rPr>
            <b/>
            <sz val="9"/>
            <color indexed="81"/>
            <rFont val="Tahoma"/>
            <family val="2"/>
          </rPr>
          <t xml:space="preserve">ORDENANZA NO 24 DEL03 AGOSTO DEL 2021 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95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</text>
    </comment>
    <comment ref="K596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</text>
    </comment>
    <comment ref="K598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</text>
    </comment>
    <comment ref="K600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</text>
    </comment>
    <comment ref="K602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</text>
    </comment>
    <comment ref="K604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</text>
    </comment>
    <comment ref="H615" authorId="0" shapeId="0">
      <text>
        <r>
          <rPr>
            <b/>
            <sz val="9"/>
            <color indexed="81"/>
            <rFont val="Tahoma"/>
            <family val="2"/>
          </rPr>
          <t>ORDENANZA NO 020 DE JUNIO 03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16" authorId="0" shapeId="0">
      <text>
        <r>
          <rPr>
            <b/>
            <sz val="9"/>
            <color indexed="81"/>
            <rFont val="Tahoma"/>
            <family val="2"/>
          </rPr>
          <t>ORDENANZA NO 34 DE SEPTIEMBRE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20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</text>
    </comment>
    <comment ref="F629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35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2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55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56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61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4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78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86" authorId="0" shapeId="0">
      <text>
        <r>
          <rPr>
            <b/>
            <sz val="9"/>
            <color indexed="81"/>
            <rFont val="Tahoma"/>
            <family val="2"/>
          </rPr>
          <t>ORDENANZA NO 42 DE NOVIEMBRE 10 DEL 2011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99" authorId="0" shapeId="0">
      <text>
        <r>
          <rPr>
            <b/>
            <sz val="9"/>
            <color indexed="81"/>
            <rFont val="Tahoma"/>
            <family val="2"/>
          </rPr>
          <t>DECRETO 281 DEL 21 DE JUNIO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00" authorId="0" shapeId="0">
      <text>
        <r>
          <rPr>
            <b/>
            <sz val="9"/>
            <color indexed="81"/>
            <rFont val="Tahoma"/>
            <family val="2"/>
          </rPr>
          <t>DECRETO 314 DEL 13 DE JULIO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701" authorId="0" shapeId="0">
      <text>
        <r>
          <rPr>
            <b/>
            <sz val="9"/>
            <color indexed="81"/>
            <rFont val="Tahoma"/>
            <family val="2"/>
          </rPr>
          <t>DECRETO 382 DEL 05 DE AGOSTO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702" authorId="0" shapeId="0">
      <text>
        <r>
          <rPr>
            <b/>
            <sz val="9"/>
            <color indexed="81"/>
            <rFont val="Tahoma"/>
            <family val="2"/>
          </rPr>
          <t>DECRETO 392 DEL 20 DE AGOSTO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03" authorId="1" shapeId="0">
      <text>
        <r>
          <rPr>
            <b/>
            <sz val="9"/>
            <color indexed="81"/>
            <rFont val="Tahoma"/>
            <family val="2"/>
          </rPr>
          <t>DECRETO 711 DEL 29 DE DICIEMBRE 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05" authorId="1" shapeId="0">
      <text>
        <r>
          <rPr>
            <b/>
            <sz val="9"/>
            <color indexed="81"/>
            <rFont val="Tahoma"/>
            <family val="2"/>
          </rPr>
          <t>DECRETO 711 DEL 29 DE DICIEMBRE 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06" authorId="1" shapeId="0">
      <text>
        <r>
          <rPr>
            <b/>
            <sz val="9"/>
            <color indexed="81"/>
            <rFont val="Tahoma"/>
            <family val="2"/>
          </rPr>
          <t>DECRETO 711 DEL 29 DE DICIEMBRE 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09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0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1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2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4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5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6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7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8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7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1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1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1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1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1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1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1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26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27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29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30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33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34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38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40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</text>
    </comment>
    <comment ref="N843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</text>
    </comment>
    <comment ref="F846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50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55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57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60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64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65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67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68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71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72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75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76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78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79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82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83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87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88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90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91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94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94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95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07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08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6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5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36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37" authorId="1" shapeId="0">
      <text>
        <r>
          <rPr>
            <b/>
            <sz val="9"/>
            <color indexed="81"/>
            <rFont val="Tahoma"/>
            <family val="2"/>
          </rPr>
          <t>DECRETO 687 DEL 22 DE DICIEMBRE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38" authorId="1" shapeId="0">
      <text>
        <r>
          <rPr>
            <b/>
            <sz val="9"/>
            <color indexed="81"/>
            <rFont val="Tahoma"/>
            <family val="2"/>
          </rPr>
          <t>DECRETO 687 DEL 22 DE DICIEMBRE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39" authorId="0" shapeId="0">
      <text>
        <r>
          <rPr>
            <b/>
            <sz val="9"/>
            <color indexed="81"/>
            <rFont val="Tahoma"/>
            <family val="2"/>
          </rPr>
          <t>ORDENANZA 022 DEL 03 DE JUNIO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43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44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6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47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48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51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52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58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59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69" authorId="1" shapeId="0">
      <text>
        <r>
          <rPr>
            <b/>
            <sz val="9"/>
            <color indexed="81"/>
            <rFont val="Tahoma"/>
            <family val="2"/>
          </rPr>
          <t>ORDENANZA NO 54 DE DICIEMBRE 01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74" authorId="1" shapeId="0">
      <text>
        <r>
          <rPr>
            <b/>
            <sz val="9"/>
            <color indexed="81"/>
            <rFont val="Tahoma"/>
            <family val="2"/>
          </rPr>
          <t>DECRETO 687 DEL 22 DE DICIEMBRE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78" authorId="0" shapeId="0">
      <text>
        <r>
          <rPr>
            <b/>
            <sz val="9"/>
            <color indexed="81"/>
            <rFont val="Tahoma"/>
            <family val="2"/>
          </rPr>
          <t>ORDENANZA 022 DEL 03 DE JUNIO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79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94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96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99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" authorId="0" shapeId="0">
      <text>
        <r>
          <rPr>
            <b/>
            <sz val="9"/>
            <color indexed="81"/>
            <rFont val="Tahoma"/>
            <family val="2"/>
          </rPr>
          <t>DECRETO 180 DEL 19 DE ABRIL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14" authorId="0" shapeId="0">
      <text>
        <r>
          <rPr>
            <b/>
            <sz val="9"/>
            <color indexed="81"/>
            <rFont val="Tahoma"/>
            <family val="2"/>
          </rPr>
          <t>DECRETO 234 DEL 19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020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</text>
    </comment>
    <comment ref="K1021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025" authorId="1" shapeId="0">
      <text>
        <r>
          <rPr>
            <b/>
            <sz val="9"/>
            <color indexed="81"/>
            <rFont val="Tahoma"/>
            <family val="2"/>
          </rPr>
          <t>ORDENANZA 059 DEL 02 DE DICIEMBRE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26" authorId="0" shapeId="0">
      <text>
        <r>
          <rPr>
            <b/>
            <sz val="9"/>
            <color indexed="81"/>
            <rFont val="Tahoma"/>
            <family val="2"/>
          </rPr>
          <t>ORDENANZA Nº 33 DE SEPTIEMBRE 15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33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5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6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7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8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9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0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1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2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3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4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5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6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7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8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9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0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1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2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3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RESOLUCION NO 01 DE FEBRERO 10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Jose Luna Duran</author>
    <author>USUARIO</author>
  </authors>
  <commentList>
    <comment ref="Y116" authorId="0" shapeId="0">
      <text>
        <r>
          <rPr>
            <b/>
            <sz val="9"/>
            <color indexed="81"/>
            <rFont val="Tahoma"/>
            <family val="2"/>
          </rPr>
          <t>En el mes de marzo se presenta un ajuste por valor de -$364.560.236 
En el mes de mayo se presenta una ajuste por valor de -$161.852.959 debido a que se recaudo es este $674.934.085 y se realizaron devoluciones por valor de $835.673.163 y $1.113.881 ($836.787.044)</t>
        </r>
      </text>
    </comment>
    <comment ref="F204" authorId="0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" authorId="1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</text>
    </comment>
    <comment ref="F931" authorId="1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</text>
    </comment>
    <comment ref="F932" authorId="1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</text>
    </comment>
    <comment ref="G962" authorId="0" shapeId="0">
      <text>
        <r>
          <rPr>
            <b/>
            <sz val="9"/>
            <color indexed="81"/>
            <rFont val="Tahoma"/>
            <family val="2"/>
          </rPr>
          <t>DECRETO 495 DE OCTUBRE 15-2021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3" authorId="1" shapeId="0">
      <text>
        <r>
          <rPr>
            <b/>
            <sz val="9"/>
            <color indexed="81"/>
            <rFont val="Tahoma"/>
            <family val="2"/>
          </rPr>
          <t>DECRETO 650 DEL 13 DE DICIEMBRE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7" authorId="0" shapeId="0">
      <text>
        <r>
          <rPr>
            <b/>
            <sz val="9"/>
            <color indexed="81"/>
            <rFont val="Tahoma"/>
            <family val="2"/>
          </rPr>
          <t>DECRETO 481 DE OCTUBRE 06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8" authorId="1" shapeId="0">
      <text>
        <r>
          <rPr>
            <b/>
            <sz val="9"/>
            <color indexed="81"/>
            <rFont val="Tahoma"/>
            <family val="2"/>
          </rPr>
          <t>DECRETO 650 DEL 13 DE DICIEMBRE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1" authorId="0" shapeId="0">
      <text>
        <r>
          <rPr>
            <b/>
            <sz val="9"/>
            <color indexed="81"/>
            <rFont val="Tahoma"/>
            <family val="2"/>
          </rPr>
          <t>DECRETO 535 DE 06 DE NOVIEMBRE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</text>
    </comment>
    <comment ref="F103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</text>
    </comment>
  </commentList>
</comments>
</file>

<file path=xl/sharedStrings.xml><?xml version="1.0" encoding="utf-8"?>
<sst xmlns="http://schemas.openxmlformats.org/spreadsheetml/2006/main" count="6998" uniqueCount="1917">
  <si>
    <t xml:space="preserve">     PRESUPUESTO DE INGRESOS</t>
  </si>
  <si>
    <t>APROPIACION</t>
  </si>
  <si>
    <t>ADICIONES</t>
  </si>
  <si>
    <t>PRESUPUESTO</t>
  </si>
  <si>
    <t>ENERO</t>
  </si>
  <si>
    <t>FEBRERO</t>
  </si>
  <si>
    <t xml:space="preserve">MARZO </t>
  </si>
  <si>
    <t>ABRIL</t>
  </si>
  <si>
    <t>MAYO</t>
  </si>
  <si>
    <t>JUNIO</t>
  </si>
  <si>
    <t>SUBTOTAL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</si>
  <si>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</si>
  <si>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</si>
  <si>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</si>
  <si>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</si>
  <si>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</si>
  <si>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</si>
  <si>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</si>
  <si>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%</t>
  </si>
  <si>
    <t>INICIAL</t>
  </si>
  <si>
    <t>DEFINITIVO</t>
  </si>
  <si>
    <t>FONDO SECCIONAL DE SALUD</t>
  </si>
  <si>
    <t xml:space="preserve">TOTAL FONDO SALUD </t>
  </si>
  <si>
    <t>EJEC.</t>
  </si>
  <si>
    <t>FUENTES</t>
  </si>
  <si>
    <t xml:space="preserve">TOTAL FONDO EDUCACION  </t>
  </si>
  <si>
    <t>RECAUDADO</t>
  </si>
  <si>
    <t xml:space="preserve">CREDITO </t>
  </si>
  <si>
    <t xml:space="preserve">CONTRACREDITO </t>
  </si>
  <si>
    <t>1er  SEMEST</t>
  </si>
  <si>
    <t>2do  SEMESTR</t>
  </si>
  <si>
    <t xml:space="preserve">FONDO EDUCACION </t>
  </si>
  <si>
    <t>PROCULTURA</t>
  </si>
  <si>
    <t>PRODESARROLLO</t>
  </si>
  <si>
    <t>PROREFORESTACION</t>
  </si>
  <si>
    <t>NUMERO</t>
  </si>
  <si>
    <t>ESTAMPILLAS</t>
  </si>
  <si>
    <t xml:space="preserve">PROELECTRIFICACION </t>
  </si>
  <si>
    <t>APLAZAMIENTO</t>
  </si>
  <si>
    <t xml:space="preserve">JUNIO </t>
  </si>
  <si>
    <t>CODIGO</t>
  </si>
  <si>
    <t>Recursos destinados a cubrir reservas presupuestales vigencia anterior</t>
  </si>
  <si>
    <t xml:space="preserve">Reservas presupuestales vigencia anterior  Administración Central </t>
  </si>
  <si>
    <t>Ingresos Corrientes de Libre Destinación</t>
  </si>
  <si>
    <t>SUBCUENTA DE SALUD PUBLICA COLECTIVA</t>
  </si>
  <si>
    <t>Sistema General de Participaciones</t>
  </si>
  <si>
    <t>SUBCUENTA DE PRESTACION DE SERVICIOS DE SALUD EN LO NO CUBIERTO POR SUBSIDIOS A LA DEMANDA</t>
  </si>
  <si>
    <t>SUBCUENTA OTROS GASTOS EN SALUD FUNCIONAMIENTO</t>
  </si>
  <si>
    <t>TOTAL PRESUPUESTO DE INGRESOS</t>
  </si>
  <si>
    <t xml:space="preserve">TOTAL ADMINISTRACION  CENTRAL </t>
  </si>
  <si>
    <t>AJUSTES</t>
  </si>
  <si>
    <t>RECONOCIMIENTO</t>
  </si>
  <si>
    <t xml:space="preserve">LIBERACION </t>
  </si>
  <si>
    <t xml:space="preserve">FELIX EDUARDO RAMIREZ RESTREPO </t>
  </si>
  <si>
    <t>RECURSOS DE COFINANCIACION</t>
  </si>
  <si>
    <t>ICLD Rec.Bce</t>
  </si>
  <si>
    <t>Procultura   Rec.Bce</t>
  </si>
  <si>
    <t>Pro-Electrificacion Rec.Bce</t>
  </si>
  <si>
    <t>Prodesarrollo 25% Inf. Deportiva Rec.Bce</t>
  </si>
  <si>
    <t xml:space="preserve">Prodesarrollo 25% Inf. Educativa Rec. Bce </t>
  </si>
  <si>
    <t>Prodesarrollo 50% Saneamiento Basico Rec.Bce</t>
  </si>
  <si>
    <t>Proreforestación Rec.Bce</t>
  </si>
  <si>
    <t>CONTRIBUCION SOBRE CONTRATO DE OBRA PUBLICA</t>
  </si>
  <si>
    <t>REGALIAS Y COMPENSACIONES  PETROLERAS</t>
  </si>
  <si>
    <t xml:space="preserve">Margen de Comercializacion Rec.Bce </t>
  </si>
  <si>
    <t xml:space="preserve">OTROS INGRESOS </t>
  </si>
  <si>
    <t>RENDIMIENTOS ESTAMPILLAS</t>
  </si>
  <si>
    <t>Rendimientos Prodesarrollo 25%  Inf. Educativa Rec.Bce</t>
  </si>
  <si>
    <t>Rendimientos Prodesarrollo 25% Inf. Deportiva Rec.Bce</t>
  </si>
  <si>
    <t>RENDIMIENTOS ICLD</t>
  </si>
  <si>
    <t>Rendimientos ICLD Rec.Bce</t>
  </si>
  <si>
    <t>RENDIMIENTOS ACPM</t>
  </si>
  <si>
    <t>Rendimientos ACPM Rec Bce</t>
  </si>
  <si>
    <t>SOBRETASA AL ACPM</t>
  </si>
  <si>
    <t>Sobre Tasa ACPM Rec.Bce</t>
  </si>
  <si>
    <t>SGP-Agua Potable y Saneamiento Basico</t>
  </si>
  <si>
    <t xml:space="preserve">RECURSOS DESTINADOS A CUBRIR RESERVAS PRESUPUESALES </t>
  </si>
  <si>
    <t>RESERVAS PRESUPUESTALES FONDO SECCIONAL DE SALUD</t>
  </si>
  <si>
    <t xml:space="preserve">SUBCUENTA OTROS GASTOS EN SALUD INVERSION </t>
  </si>
  <si>
    <t>MEJORAMIENTO DE LA CALIDAD EN LA ATENCION EN SALUD</t>
  </si>
  <si>
    <t xml:space="preserve">RESERVA PRESUPUESTAL ADMINISTRACION CENTRAL </t>
  </si>
  <si>
    <t xml:space="preserve">RESERVA PRESUPUESTAL  FONDO SECCIONAL SALUD </t>
  </si>
  <si>
    <t xml:space="preserve">TOTAL  RESERVA PRESUPUESTAL ADMINISTRACION CENTRAL </t>
  </si>
  <si>
    <t xml:space="preserve">DIRECTOR TECNICO  DE PRESUPUESTO </t>
  </si>
  <si>
    <t>INGRESOS CORRIENTES </t>
  </si>
  <si>
    <t>INGRESOS DE CAPITAL </t>
  </si>
  <si>
    <t>Rendimientos I.C.L.D </t>
  </si>
  <si>
    <t>Rendimientos por A.C.P.M. </t>
  </si>
  <si>
    <t>Rendimientos Procultura - Inversion </t>
  </si>
  <si>
    <t>Rendimientos Procultura -PENSIONES 20% </t>
  </si>
  <si>
    <t>Rendimientos Pro-Cultura - Seguridad Social del creador y gestor </t>
  </si>
  <si>
    <t>Rendimientos Prodesarrollo 50% Saneamiento Basico </t>
  </si>
  <si>
    <t>Rendimientos Prodesarrollo 25% Infraest. Deportiva </t>
  </si>
  <si>
    <t>Rendimientos Prodesarrollo 25% Infraest. Educativa </t>
  </si>
  <si>
    <t>Rendimientos Prodesarrollo PENSIONES 20% </t>
  </si>
  <si>
    <t>Rendimientos Proelectrificacion - Inversion </t>
  </si>
  <si>
    <t>Rendimientos Proelectrificacion - PENSIONES 20% </t>
  </si>
  <si>
    <t>Rendimientos Pro-UIS - Educacion 75% uis </t>
  </si>
  <si>
    <t>Rendimientos Pro-UIS - Educacion 15% uts </t>
  </si>
  <si>
    <t>Rendimientos Pro-UIS - Educacion 10% unipaz </t>
  </si>
  <si>
    <t>Rendimientos Pro-UIS - PENSIONES 20% (15% uts) </t>
  </si>
  <si>
    <t>Rendimientos Pro-UIS-PENSIONES 20% (10% unipaz) </t>
  </si>
  <si>
    <t>Rendimientos Para el Bienestar del Adulto Mayor - Inversion </t>
  </si>
  <si>
    <t>ESSA </t>
  </si>
  <si>
    <t>VENTA DE BIENES Y SERVICIOS </t>
  </si>
  <si>
    <t>Credencial Expendedor de Medicamentos </t>
  </si>
  <si>
    <t>Recetarios Oficiales </t>
  </si>
  <si>
    <t>Venta y Distribucion Sometidos a Fiscalizacion y Monopolio </t>
  </si>
  <si>
    <t>RECURSOS DEL BALANCE </t>
  </si>
  <si>
    <t>Monopolio de Licores 51%</t>
  </si>
  <si>
    <t>RENDIMIENTOS PRODESARROLLO 50% SANEAMIENTO BASICO REC.BCE </t>
  </si>
  <si>
    <t>CONTRIBUCION SOBRE CTO DE OBRA PUBLICA POLICIA NACIONAL DTO 066/2012 REC.BCE </t>
  </si>
  <si>
    <t>UTILIDADES DE EMPRESAS ESSA </t>
  </si>
  <si>
    <t xml:space="preserve">TOTAL PRESUPUESTO DE INGRESOS RESERVA PPTAL </t>
  </si>
  <si>
    <t>INGRESOS TOTALES </t>
  </si>
  <si>
    <t>CONTRIBUCION SOBRE CTO DE OBRA PUBLICA EJERCITO NACIONAL REC BCE </t>
  </si>
  <si>
    <t xml:space="preserve">SGP AGUA POTABLE SANEAMIENTO BASICO </t>
  </si>
  <si>
    <t>RENDIMIENTOS PRO-ELECTRIFICACION INVERSION </t>
  </si>
  <si>
    <t>SGP-OFERTA </t>
  </si>
  <si>
    <t>CONTRIBUCION SOBRE CTO DE OBRA PUBLICA FONDO SEGURIDAD CIUDADANA REC.BCE </t>
  </si>
  <si>
    <t>IMPUESTO AL CONSUMO TELEFONIA MOVIL </t>
  </si>
  <si>
    <t>FONDO TABACALERO  REC. BCE</t>
  </si>
  <si>
    <t>ICLD DERECHO DE EXPLOTACION DE MONOPOLIOS DE LICORES </t>
  </si>
  <si>
    <t>REINTEGRO RESERVA DE JUBILADOS (MHCP) CON SITUACION DE FONDOS REC BCE </t>
  </si>
  <si>
    <t>INGRESOS TRIBUTARIOS </t>
  </si>
  <si>
    <t>Registro y Anotación - Libre destinacion Administracion Central </t>
  </si>
  <si>
    <t>Registro y Anotación - FONPET 10% </t>
  </si>
  <si>
    <t>Registro y Anotación - FONPET 20% </t>
  </si>
  <si>
    <t>Registro y Anotación -Fondo de Paz </t>
  </si>
  <si>
    <t>Registro y Anotación - Patrimonio Autonomo </t>
  </si>
  <si>
    <t>Registro y Anotación - 1% I.C.L.D. (Areas de Interes Ambiental Ley 1450/2011 ART. 210) </t>
  </si>
  <si>
    <t>Impuesto al Consumo de Licores de Libre Destinacion de Produccion Nacional Administracion Central </t>
  </si>
  <si>
    <t>Impuesto al Consumo de Licores Nacionales - Fondo de Paz </t>
  </si>
  <si>
    <t>Impuesto al Consumo de Licores Nacionales - FONPET </t>
  </si>
  <si>
    <t>Impuesto al Consumo de Licores Nacionales - Patrimonio Autonomo </t>
  </si>
  <si>
    <t>Impuesto al Consumo de Licores Nacionales - 1% I.C.L.D. (Areas de Interes Ambiental Ley 1450/2011 ART. 210) </t>
  </si>
  <si>
    <t>Impuesto al Consumo de Licores Extranjeros - Libre Destinacion Administracion Central </t>
  </si>
  <si>
    <t>Impuesto al Consumo de Licores Extranjeros - Fondo de Paz </t>
  </si>
  <si>
    <t>Impuesto al Consumo de Licores Extranjeros - FONPET </t>
  </si>
  <si>
    <t>Impuesto al Consumo de Licores Extranjeros - Patrimonio Autonomo </t>
  </si>
  <si>
    <t>Impuesto al Consumo de Licores Extranjeros - 1% I.C.L.D. (Areas de Interes Ambiental Ley 1450/2011 ART. 210) </t>
  </si>
  <si>
    <t>Impuesto al Consumo de vinos, aperitivos y similares Nacionales - Libre Destinacion Administracion Central </t>
  </si>
  <si>
    <t>Impuesto al Consumo de vinos, aperitivos y similares Nacionales - Fondo de Paz </t>
  </si>
  <si>
    <t>Impuesto al Consumo de vinos, aperitivos y similares Nacionales - FONPET </t>
  </si>
  <si>
    <t>Impuesto al Consumo de vinos, aperitivos y similares Nacionales - Patrimonio Autonomo </t>
  </si>
  <si>
    <t>Impuesto al Consumo de vinos, aperitivos y similares Nacionales - 1% I.C.L.D. (Areas de Interes Ambiental Ley 1450/2011 ART. 210) </t>
  </si>
  <si>
    <t>Impuesto al Consumo de vinos, aperitivos y similares extranjeros - Libre Destinacion Administracion Central </t>
  </si>
  <si>
    <t>Impuesto al Consumo de vinos, aperitivos y similares extranjeros - Fondo de Paz </t>
  </si>
  <si>
    <t>Impuesto al Consumo de vinos, aperitivos y similares extranjeros - FONPET </t>
  </si>
  <si>
    <t>Impuesto al Consumo de vinos, aperitivos y similares extranjeros - Patrimonio Autonomo </t>
  </si>
  <si>
    <t>Impuesto al Consumo de vinos, aperitivos y similares extranjeros - 1% I.C.L.D. (Areas de Interes Ambiental Ley 1450/2011 ART. 210) </t>
  </si>
  <si>
    <t>Impuesto al Consumo de Cerveza Extranjera - Libre Destinacion Administracion Central </t>
  </si>
  <si>
    <t>Impuesto al Consumo de Cerveza Extranjera - Fondo de Paz </t>
  </si>
  <si>
    <t>Impuesto al Consumo de Cerveza Extranjera - FONPET </t>
  </si>
  <si>
    <t>Impuesto al Consumo de Cerveza Extranjera - Patrimonio Autonomo </t>
  </si>
  <si>
    <t>Impuesto al Consumo de Cerveza Extranjera - 1% I.C.L.D. (Areas de Interes Ambiental Ley 1450/2011 ART. 210) </t>
  </si>
  <si>
    <t>Impuesto al Consumo de Tabaco y Cigarrillos Nacionales - Libre Destinacion Adminsitracion Central </t>
  </si>
  <si>
    <t>Impuesto al Consumo de Tabaco y Cigarrillos Nacionales - Fondo de Paz </t>
  </si>
  <si>
    <t>Impuesto al Consumo de Tabaco y Cigarrillos Nacionales - Fondo Tabacalero </t>
  </si>
  <si>
    <t>Impuesto al Consumo de Tabaco y Cigarrillos Nacionales - FONPET </t>
  </si>
  <si>
    <t>Impuesto al Consumo de Tabaco y Cigarrillos Nacionales - Patrimonio Autonomo </t>
  </si>
  <si>
    <t>Impuesto al Consumo de Tabaco y Cigarrillos Nacionales - 1% I.C.L.D. (Areas de Interes Ambiental Ley 1450/2011 ART. 210) </t>
  </si>
  <si>
    <t>Impuesto al Consumo de Tabaco y Cigarrillos Extranjeros - Libre Destinacion Admistracion Central </t>
  </si>
  <si>
    <t>Impuesto al Consumo de Tabaco y Cigarrillos Extranjeros - Fondo de Paz </t>
  </si>
  <si>
    <t>Impuesto al Consumo de Tabaco y Cigarrillos Extranjeros - Fondo Tabacalero </t>
  </si>
  <si>
    <t>Impuesto al Consumo de Tabaco y Cigarrillos Extranjeros - FONPET </t>
  </si>
  <si>
    <t>Impuesto al Consumo de Tabaco y Cigarrillos Extranjeros - Patrimonio Autonomo </t>
  </si>
  <si>
    <t>Impuesto al Consumo de Tabaco y Cigarrillos Extranjeros - 1% I.C.L.D. (Areas de Interes Ambiental Ley 1450/2011 ART. 210) </t>
  </si>
  <si>
    <t>Impuesto sobre Vehiculos Automotores </t>
  </si>
  <si>
    <t>Impuesto sobre Vehiculos Automotores - Vigencia Actual </t>
  </si>
  <si>
    <t>Vehiculos Automotores - Vigencia Actual - Libre destinacion Administracion Central </t>
  </si>
  <si>
    <t>Vehiculos Automotores - Vigencia Actual - Fondo de Paz </t>
  </si>
  <si>
    <t>Vehiculos Automotores - Vigencia Actual - FONPET </t>
  </si>
  <si>
    <t>Vehiculos Automotores - Vigencia Actual - Patrimonio Autonomo </t>
  </si>
  <si>
    <t>Vehiculos Automotores - Vigencia Actua -1% I.C.L.D. (Areas de Interes Ambiental Ley 1450/2011 ART. 210) </t>
  </si>
  <si>
    <t>Impuesto sobre Vehiculos Automotores - Vigencia Anterior </t>
  </si>
  <si>
    <t>Vehiculos Automotores - Vigencia Anterior - Libre destinacion Administracion Central </t>
  </si>
  <si>
    <t>Vehiculos Automotores - Vigencia Anterior - Fondo de Paz </t>
  </si>
  <si>
    <t>Vehiculos Automotores - Vigencia Anterior - FONPET </t>
  </si>
  <si>
    <t>Vehiculos Automotores - Vigencia Anterior - Patrimonio Autonomo </t>
  </si>
  <si>
    <t>Vehiculos Automotores - Vigencia Anterior - 1% I.C.L.D. (Areas de Interes Ambiental Ley 1450/2011 ART. 210) </t>
  </si>
  <si>
    <t>Degüello de Ganado Mayor - Libre Destinacion Administracion Central </t>
  </si>
  <si>
    <t>Degüello de Ganado Mayor - Fondo de Paz </t>
  </si>
  <si>
    <t>Degüello de Ganado Mayor - FONPET </t>
  </si>
  <si>
    <t>Degüello de Ganado Mayor - Patrimonio Autonomo </t>
  </si>
  <si>
    <t>Degüello de Ganado Mayor - 1% I.C.L.D. (Areas de Interes Ambiental Ley 1450/2011 ART. 210) </t>
  </si>
  <si>
    <t>Sobretasa a la Gasolina </t>
  </si>
  <si>
    <t>Sobretasa Gasolina - Libre Destinacion Administracion Central </t>
  </si>
  <si>
    <t>Sobretasa Gasolina - Fondo de Paz </t>
  </si>
  <si>
    <t>Sobretasa Gasolina - FONPET </t>
  </si>
  <si>
    <t>Sobretasa Gasolina - Patrimonio Autonomo </t>
  </si>
  <si>
    <t>Sobretasa Gasolina - 1% I.C.L.D. (Areas de Interes Ambiental Ley 1450/2011 ART. 210) </t>
  </si>
  <si>
    <t>Para el Bienestar del Adulto Mayor - Inversion </t>
  </si>
  <si>
    <t>Pro-Electrificacion Rural </t>
  </si>
  <si>
    <t>Pro-Electrificacion - Inversion </t>
  </si>
  <si>
    <t>Pro Electrificacion - PENSIONES 20% </t>
  </si>
  <si>
    <t>Pro-Cultura - Inversion </t>
  </si>
  <si>
    <t>Pro-cultura - PENSIONES 20% </t>
  </si>
  <si>
    <t>Pro-Cultura - Seguridad Social del creador y gestor </t>
  </si>
  <si>
    <t>Pro-Cultura - Lectura de Bibliotecas ley 1379/10 </t>
  </si>
  <si>
    <t>Pro-desarrollo - Inversion 25% Infraestruct. Deportiva </t>
  </si>
  <si>
    <t>Pro-desarrollo - Inversion 50% Saneamiento Basico </t>
  </si>
  <si>
    <t>Pro-desarrollo - Inversion 25% Infraestruct. Educativa </t>
  </si>
  <si>
    <t>Pro-desarrollo - PENSIONES 20% </t>
  </si>
  <si>
    <t>Pro-Hospital - Universitario de Santander </t>
  </si>
  <si>
    <t>Pro-Hospital - Pasivo Pensional Hospitales Universitarios Liquidados </t>
  </si>
  <si>
    <t>PRO-UIS - Educacion 75% uis </t>
  </si>
  <si>
    <t>PRO-UIS - Educacion 15% uts </t>
  </si>
  <si>
    <t>PRO-UIS - Educacion 10% unipaz </t>
  </si>
  <si>
    <t>PRO-UIS - PENSIONES 20% (15% uts) </t>
  </si>
  <si>
    <t>PRO-UIS - PENSIONES 20% (10% unipaz) </t>
  </si>
  <si>
    <t>INGRESOS NO TRIBUTARIOS </t>
  </si>
  <si>
    <t>Intereses por Impuesto - Otros Intereses de Origen Tributario - Libre Destinacion Administracion Central </t>
  </si>
  <si>
    <t>Intereses por Impuesto - Otros Intereses de Origen Tributario- Fondo de Paz </t>
  </si>
  <si>
    <t>Intereses por Impuesto - Otros Intereses de Origen Tributario - FONPET </t>
  </si>
  <si>
    <t>Intereses por Impuesto - Otros Intereses de Origen Tributario - Patrimonio Autonomo </t>
  </si>
  <si>
    <t>Intereses por Impuesto - Otros Intereses de Origen Tributario - 1% I.C.L.D. (Areas de Interes Ambiental Ley 1450/2011 ART. 210) </t>
  </si>
  <si>
    <t>Intereses por Impuesto sobre Vehiculos Automotores - Libre Destinacion Administracion Central </t>
  </si>
  <si>
    <t>Intereses por Impuesto sobre Vehiculos Automotores - Fondo de Paz </t>
  </si>
  <si>
    <t>Intereses por Impuesto sobre Vehiculos Automotores - FONPET </t>
  </si>
  <si>
    <t>Intereses por Impuesto sobre Vehiculos Automotores - Patrimonio Autonomo </t>
  </si>
  <si>
    <t>Intereses por Impuesto sobre Vehiculos Automotores - 1% I.C.L.D. (Areas de Interes Ambiental Ley 1450/2011 ART. 210) </t>
  </si>
  <si>
    <t>Sanciones Tributarias Vehiculos Automotores </t>
  </si>
  <si>
    <t>Multas y Sanciones por Impuestos Sobre Vehiculos Automotores - Libre Destinacion Administracion Central </t>
  </si>
  <si>
    <t>Multas y Sanciones por Impuestos Sobre Vehiculos Automotores - Fondo de Paz </t>
  </si>
  <si>
    <t>Multas y Sanciones por Impuestos Sobre Vehiculos Automotores - FONPET </t>
  </si>
  <si>
    <t>Multas y Sanciones por Impuestos Sobre Vehiculos Automotores - Patrimonio Autonomo </t>
  </si>
  <si>
    <t>Multas y Sanciones por Impuestos Sobre Vehiculos Automotores - 1% I.C.L.D. (Areas de Interes Ambiental Ley 1450/2011 ART. 210) </t>
  </si>
  <si>
    <t>Multas y Sanciones por Impuestos - Otras Sanciones tributarias - Libre Destinacion Administracion Central </t>
  </si>
  <si>
    <t>Multas y Sanciones por Impuestos - Otras Sanciones tributarias - Fondo de Paz </t>
  </si>
  <si>
    <t>Multas y Sanciones por Impuestos - Otras Sanciones tributarias - FONPET </t>
  </si>
  <si>
    <t>Multas y Sanciones por Impuestos - Otras Sanciones tributarias - Patrimonio Autonomo </t>
  </si>
  <si>
    <t>Multas y Sanciones por Impuestos - Otras Sanciones tributarias - 1% I.C.L.D. (Areas de Interes Ambiental Ley 1450/2011 ART. 210) </t>
  </si>
  <si>
    <t>Contribución de Valorización </t>
  </si>
  <si>
    <t>Contribución de Valorización Vigencia Actual </t>
  </si>
  <si>
    <t>Cofinanciacion Nacional - Nivel Central </t>
  </si>
  <si>
    <t>Rendimientos SGP Agua Potable  </t>
  </si>
  <si>
    <t>Rendimientos Pro-Cultura - Lectura de Bibliotecas ley 1379/10 </t>
  </si>
  <si>
    <t>Rendimientos Proanciano - Inversion </t>
  </si>
  <si>
    <t>Rendimientos Regalias Antiguas </t>
  </si>
  <si>
    <t xml:space="preserve">ADICIONES </t>
  </si>
  <si>
    <t xml:space="preserve">REDUCCIONES </t>
  </si>
  <si>
    <t xml:space="preserve">PRESUPUESTO DEFINITIVO </t>
  </si>
  <si>
    <t xml:space="preserve">APROPIACION INICIAL </t>
  </si>
  <si>
    <t xml:space="preserve">     PRESUPUESTO DE INGRESOS FUENTES</t>
  </si>
  <si>
    <t>SUBTOTAL  1er  SEMESTRE</t>
  </si>
  <si>
    <t>TOTAL  RECAUDADO</t>
  </si>
  <si>
    <t>% EJEC.</t>
  </si>
  <si>
    <t>SUBTOTAL   2do  SEMESTRE</t>
  </si>
  <si>
    <t>SGP AGUA POTABLE SANEAMIENTO BASICO  VIG FUTURA PDA </t>
  </si>
  <si>
    <t>TELEFONIA MOVIL 4% RES 852/2015 REC BCE </t>
  </si>
  <si>
    <t>EXCEDENTES IDESAN REC BCE </t>
  </si>
  <si>
    <t>SGP-SALUD PUBLICA COLECTIVA </t>
  </si>
  <si>
    <t>RENTAS CEDIDAS 25% FUNCIONAMIENTO </t>
  </si>
  <si>
    <t>RENTAS CEDIDAS LICORES 25%-OFERTA </t>
  </si>
  <si>
    <t>REND. FCIEROS SUBCTA SALUD PUBLICA COLECTIVA </t>
  </si>
  <si>
    <t>REND. F/ROS SUBCTA PREST. SERV. SALUD EN LO NO CUBIERTO POR SUBSIDIOS A DEMANDA REC BCE </t>
  </si>
  <si>
    <t>RENDIMIENTOS FINANCIEROS SUBCUENTA OTROS GASTOS EN SALUD INVERSION - VARIOS REC.BCE. </t>
  </si>
  <si>
    <t>FONDOS COMUNES FUNCIONAMIENTO REC BCE </t>
  </si>
  <si>
    <t>RESERVA PRESUPUESTAL  FONDO SECCIONAL  EDUCACION  SGP CSF </t>
  </si>
  <si>
    <t>RESERVA PRESUPUESTAL  FONDO DE GESTION DEL RIESGO DE DESASTRES DEL DEPARTAMENTO DE SANTANDER </t>
  </si>
  <si>
    <t>Contribución de Valorización Vigencias Anteriores </t>
  </si>
  <si>
    <t>Excedentes IDESAN </t>
  </si>
  <si>
    <t>FONDO DE GESTION DEL RIESGO DE DESASTRES DPTO </t>
  </si>
  <si>
    <t>TOTAL  FONDO DE GESTION DEL RIESGO DE DESASTRES DPTO </t>
  </si>
  <si>
    <t>INGRESOS FONDO DE GESTION DE RIESGO DE DESASTRES DEL DEPARTAMENTO DE SANTANDER VIGENCIA 2018 </t>
  </si>
  <si>
    <t>ICLD DERECHO DE EXPLOTACION DE MONOPOLIOS DE LICORES -  FONDO DE RENTAS </t>
  </si>
  <si>
    <t>RENDIMIENTOS PRO-REFORESTACION  REC BCE</t>
  </si>
  <si>
    <t>PARA EL BIENESTAR DEL ADULTO MAYOR INVERSION </t>
  </si>
  <si>
    <t>CONTRIBUCION SOBRE CTO DE OBRA PUBLICA UNIDAD NACIONAL DE PROTECCION DTO 066/2012 RE.BCE </t>
  </si>
  <si>
    <t>CONTRIBUCION SOBRE CONTRATO DE OBRA PUBLICA -CTI </t>
  </si>
  <si>
    <t>REINTEGROS ICLD </t>
  </si>
  <si>
    <t>REINTEGROS ICLD  REC. BCE</t>
  </si>
  <si>
    <t>ICLD EQUIDAD DE GENERO ORD. 28/10 </t>
  </si>
  <si>
    <t>REINTEGROS UTILIDADES EMPRESA ESSA REC BCE </t>
  </si>
  <si>
    <t>RENDIMIENTOS UTILIDADES EMPRESA ESSA REC BCE </t>
  </si>
  <si>
    <t>UTILIDADES EMPRESAS ESSA REC.BCE </t>
  </si>
  <si>
    <t>ICLD  REC BCE </t>
  </si>
  <si>
    <t>RENDIMIENTOS FINANCIEROS MEDICAMENTOS DE CONTROL REC.BCE. </t>
  </si>
  <si>
    <t>Participación por el ejercicio del monopolio de licores y alcoholes potables -Salud (14% LEY 1816/16) </t>
  </si>
  <si>
    <t>Participación por el ejercicio del monopolio de licores y alcoholes potables -Salud (2% LEY 1816/16) </t>
  </si>
  <si>
    <t>Dererecho Explot. Monopolio Licores - Libre Destinacion Administracion Central </t>
  </si>
  <si>
    <t>Derecho Explot. Monopolio Licores - FONPET </t>
  </si>
  <si>
    <t>Derecho Explot. Monopolio Licores - Patrimonio Autonomo </t>
  </si>
  <si>
    <t>Reintegros Regalias </t>
  </si>
  <si>
    <t>Reintegros I.C.L.D </t>
  </si>
  <si>
    <t>Reintegros Para el Bienestar del Adulto Mayor </t>
  </si>
  <si>
    <t>Reintegros Pro Reforestacion  </t>
  </si>
  <si>
    <t>Reintegros Pro Cultura  </t>
  </si>
  <si>
    <t>Reintegros Pro-Anciano  </t>
  </si>
  <si>
    <t>Reintegros Pro-Electrificación  </t>
  </si>
  <si>
    <t>Reintegros Pro-Hospitales  </t>
  </si>
  <si>
    <t>Reintegros Pro-Desarrollo 50% Saneamiento Basico  </t>
  </si>
  <si>
    <t>Reintegros Pro-Desarrollo 25% Infraestructura Educativa  </t>
  </si>
  <si>
    <t>Reintegros Pro-Desarrollo 25% Infraestructura Deportiva  </t>
  </si>
  <si>
    <t>Reintegros Fondo Tabacalero  </t>
  </si>
  <si>
    <t>Reintegros A.C.P.M  </t>
  </si>
  <si>
    <t>Reintegros Sobretasa Gasolina  </t>
  </si>
  <si>
    <t>Reintegros Escision ESSA  </t>
  </si>
  <si>
    <t>Reintegros Utilidades Empresa ESSA  </t>
  </si>
  <si>
    <t>Reintegros Margen de Comercialización  </t>
  </si>
  <si>
    <t>Reintegros ICLD Fondo de Contingencia  </t>
  </si>
  <si>
    <t>Reintegros Participación, Introducción y Comercialización de Licores  </t>
  </si>
  <si>
    <t>Reintegros credito Interno Banca Comercial  </t>
  </si>
  <si>
    <t>Reintegros ICLD Equidad de Genero Ord.28/10  </t>
  </si>
  <si>
    <t>Reintegros Áreas de Interes Ambiental Ley 1450-2011  </t>
  </si>
  <si>
    <t>Reintegros Contribución a la valorización  </t>
  </si>
  <si>
    <t>Reintegros Rendimientos Para el Bienestar del Adulto Mayor </t>
  </si>
  <si>
    <t>Reintegros Rendimientos Pro-Desarrollo 50% Saneamiento Basico  </t>
  </si>
  <si>
    <t>Reintegros Rendimientos Pro-Desarrollo 25% Infraestructura Educativa  </t>
  </si>
  <si>
    <t>Reintegros Rendimientos Pro-Desarrollo 25% Infraestructura Deportiva  </t>
  </si>
  <si>
    <t>Reintegros Rendimientos Fondo Tabacalero  </t>
  </si>
  <si>
    <t>Reintegros Rendimientos Contribución Sobre Contrato De Obra Publica - Policía Nacional  40% </t>
  </si>
  <si>
    <t>Reintegros Rendimientos Contribución Sobre Contrato De Obra Publica - Ejercito Nacional 30%  </t>
  </si>
  <si>
    <t>Reintegros Rendimientos Contribución Sobre Contrato De Obra Publica - Fondo de Seguridad Ciudadana 15%  </t>
  </si>
  <si>
    <t>Reintegros Rendimientos Contribución Sobre Contrato De Obra Publica - Cuerpo Tècnico de Investigaciòn Seccinal Stder-CTI 7%  </t>
  </si>
  <si>
    <t>Reintegros Rendimientos Contribución Sobre Contrato De Obra Publica - Unidad Admistrativa Especial Migración Colombia Seccional Santander 4%  </t>
  </si>
  <si>
    <t>Reintegros Rendimientos Contribución Sobre Contrato De Obra Publica - Unidad Nacional De Protección  4% </t>
  </si>
  <si>
    <t>Reintegros Rendimientos A.C.P.M  </t>
  </si>
  <si>
    <t>Reintegros Rendimientos Sobretasa Gasolina  </t>
  </si>
  <si>
    <t>Reintegros Rendimientos Crédito Interno Findeter Vias  </t>
  </si>
  <si>
    <t>Reintegros Rendimientos Utilidades Empresa ESSA  </t>
  </si>
  <si>
    <t>Reintegros Rendimientos Escisión ESSA  </t>
  </si>
  <si>
    <t>Reintegros Rendimientos Financieros I.C.L.D  </t>
  </si>
  <si>
    <t>Reintegros Rendimientos Participación, Introducción y Comercialización de Licores  </t>
  </si>
  <si>
    <t>Reintegros Agua Potable y Saneamiento Basico  </t>
  </si>
  <si>
    <t>SGP Cancelaciones </t>
  </si>
  <si>
    <t>Rendimientos Prohospitales </t>
  </si>
  <si>
    <t>Rendimientos Financieros 20% Pasivo Pensional Hospitales Universitarios  </t>
  </si>
  <si>
    <t>Rendimientos Financieros Pasivo Pensional Hospitales Universitarios  Liquidados </t>
  </si>
  <si>
    <t>Rendimientos Sobretasa Gasolina  </t>
  </si>
  <si>
    <t>Rendimientos Crédito Interno Findeter vias  </t>
  </si>
  <si>
    <t>Rendimientos Utilidades Empresa Essa  </t>
  </si>
  <si>
    <t>Rendimientos Fondo Tabacalero  </t>
  </si>
  <si>
    <t>Rendimientos ICLD Equidad de Genero Ord 28-2010  </t>
  </si>
  <si>
    <t>Rendimientos Contrato No 368 -2004  </t>
  </si>
  <si>
    <t>Rendimientos Contribución a la valorización  </t>
  </si>
  <si>
    <t>Rendimientos Financieros (Valorización Activos ESSA)  </t>
  </si>
  <si>
    <t>Rendimientos Financieros Fondo Departamental de Gestión del Riesgo de Desastres  </t>
  </si>
  <si>
    <t>Rendimientos Financieros Patrimonio Autonomo  </t>
  </si>
  <si>
    <t>Rendimientos Financieros ahorro Fonpet Ley 549/99 (I.C.L.D)  </t>
  </si>
  <si>
    <t>Rendimientos Financieros Cesantias con Retroactividad  </t>
  </si>
  <si>
    <t>Rendimientos Financieros FONPET  </t>
  </si>
  <si>
    <t>Rendimientos Financieros Remates (Venta de Terrenos)  </t>
  </si>
  <si>
    <t>Rendimientos Financieros Dividendos  </t>
  </si>
  <si>
    <t>ICLD ( FONDO DE CONTINGENCIA) </t>
  </si>
  <si>
    <t>ICLD REGISTRO Y ANOTACION LEY 1450-11 ART 25, LEY 1753-15 ART 147 </t>
  </si>
  <si>
    <t>Fondo de Paz Rec. Bce.</t>
  </si>
  <si>
    <t>CONTRIBUCION SOBRE CONTRATO DE OBRA PUBLICA - UNIDAD ESPECIAL MIGRACION COLOMBIA </t>
  </si>
  <si>
    <t>FONDO  DE RENTAS REC.  BCE</t>
  </si>
  <si>
    <t>PARTICIPACIóN POR EL EJERCICIO DEL MONOPOLIO DE LICORES Y ALCOHOLES POTABLES -EDUCACIóN (14% LEY 1816/16)  REC BCE </t>
  </si>
  <si>
    <t>PROANCIANO</t>
  </si>
  <si>
    <t>Proanciano  Re c. Bce</t>
  </si>
  <si>
    <t>REINTEGROS PROGRAMA PAE- 2016 </t>
  </si>
  <si>
    <t>RENDIMIENTOS CONTRIBUCIóN SOBRE CONTRATO DE OBRA PUBLICA - UNIDAD ADMISTRATIVA ESPECIAL MIGRACIóN COLOMBIA SECCIONAL SANTANDER  REC BCE </t>
  </si>
  <si>
    <t>RENDIMIENTOS CONTRIBUCIóN SOBRE CONTRATO DE OBRA PUBLICA</t>
  </si>
  <si>
    <t>RENDIMIENTOS CONTRIBUCIóN SOBRE CONTRATO DE OBRA PUBLICA - UNIDAD NACIONAL DE PROTECCIóN  REC BCE </t>
  </si>
  <si>
    <t>RENDIMIENTOS CONTRIBUCIóN SOBRE CONTRATO DE OBRA PUBLICA-CTI  REC BCE </t>
  </si>
  <si>
    <t>RENDIMIENTOS PRO-CULTURA INVERSION </t>
  </si>
  <si>
    <t>RENDIMIENTOS PARA EL BIENESTAR DEL ADULTO MAYOR INVERSION </t>
  </si>
  <si>
    <t>RENDIMIENTOS PARTICIPACION MONOPOLIO  51%</t>
  </si>
  <si>
    <t>RENDIMIENTOS FINANCIEROS DERECHOS DE EXPLOTACION LICORES DESTILADOS 2% REC BCE </t>
  </si>
  <si>
    <t>CONVENIO NO 1250/17 RADICADO GOB NO 2288/17 (ENAJENACIóN DE DE ISAGEN) INVIAS REC BCE </t>
  </si>
  <si>
    <t>COLDEPORTES CONV. 1365/17 RAD. GOB.2286/17 (ORD. 11/2018)  </t>
  </si>
  <si>
    <t>TRANSFERENCIAS PARA MUNICIPIOS 20% IMPUESTO SOBRE VEHíCULOS AUTOMOTORES (SIN SITUACION DE FONDOS ) </t>
  </si>
  <si>
    <t>MONOPOLIO 14% LEY 1816/2016 - SALUD </t>
  </si>
  <si>
    <t>FONDOS COMUNES OTROS GASTOS EN SALUD REC BCE </t>
  </si>
  <si>
    <t>VENTA RECETARIOS OFICIALES </t>
  </si>
  <si>
    <t>REINTEGROS PARTICIPACION INTRODUCCION Y COMERCIALIZACION DE LICORES  REC.BCE. </t>
  </si>
  <si>
    <t>RENDIMIENTOS PARTICIPACION DE MONOPOLIO REC. BCE </t>
  </si>
  <si>
    <t>INGRESOS PROPIOS SALUD REC.BCE. </t>
  </si>
  <si>
    <t>UTILIDADES EMPRESAS ESSA REC. BCE </t>
  </si>
  <si>
    <t>AFN-RESOL 4520/17 MINSALUD.(ENAJENACION ISAGEN) REC.BCE. </t>
  </si>
  <si>
    <t>VENTA DE MEDICAMENTOS DE CONTROL ESPECIAL REC. BCE </t>
  </si>
  <si>
    <t>INGRESOS FONDO DE GESTION DEL RIESGO DE DESASTRES DEL DEPARTAMENTO DE SANTANDER VIGENCIA 2020 </t>
  </si>
  <si>
    <t>Subcuenta Otros Gastos en Salud-Funcionamiento  </t>
  </si>
  <si>
    <t>Subcuenta de Prestación de Servicios de Salud en lo no cubierto por Subsidios a la Demanda  </t>
  </si>
  <si>
    <t>SUBCUENTA OTROS GASTOS EN SALUD - INVERSION  </t>
  </si>
  <si>
    <t>Eje Programático de Aseguramiento  </t>
  </si>
  <si>
    <t>Reintegros Rendimientos Financieros 4% impuesto al Consumo Telefonia Movil Rec Bce  </t>
  </si>
  <si>
    <t xml:space="preserve">ACTA DE CANCELACION </t>
  </si>
  <si>
    <t>1 </t>
  </si>
  <si>
    <t>1.1 </t>
  </si>
  <si>
    <t>1.1.01 </t>
  </si>
  <si>
    <t>1.1.01.01 </t>
  </si>
  <si>
    <t>Impuestos Directos </t>
  </si>
  <si>
    <t>1.1.01.01.100 </t>
  </si>
  <si>
    <t>1.1.01.01.100.1 </t>
  </si>
  <si>
    <t>1.1.01.01.100.1.01 </t>
  </si>
  <si>
    <t>1.1.01.01.100.1.02 </t>
  </si>
  <si>
    <t>1.1.01.01.100.1.03 </t>
  </si>
  <si>
    <t>1.1.01.01.100.1.04 </t>
  </si>
  <si>
    <t>1.1.01.01.100.1.05 </t>
  </si>
  <si>
    <t>1.1.01.01.100.1.06 </t>
  </si>
  <si>
    <t>Impuesto sobre Vehiculos Automotores - Vigencia Actual 20% SSF Municipios </t>
  </si>
  <si>
    <t>1.1.01.01.100.2 </t>
  </si>
  <si>
    <t>1.1.01.01.100.2.01 </t>
  </si>
  <si>
    <t>1.1.01.01.100.2.02 </t>
  </si>
  <si>
    <t>1.1.01.01.100.2.03 </t>
  </si>
  <si>
    <t>1.1.01.01.100.2.04 </t>
  </si>
  <si>
    <t>1.1.01.01.100.2.05 </t>
  </si>
  <si>
    <t>1.1.01.01.100.2.06 </t>
  </si>
  <si>
    <t>Impuesto sobre Vehiculos Automotores - Vigencia Anterior 20% SSF Municipios </t>
  </si>
  <si>
    <t>1.1.01.02 </t>
  </si>
  <si>
    <t>Impuestos Indirectos </t>
  </si>
  <si>
    <t>1.1.01.02.100 </t>
  </si>
  <si>
    <t>Impuesto de Registro </t>
  </si>
  <si>
    <t>1.1.01.02.100.01 </t>
  </si>
  <si>
    <t>Impuesto de Registro -Camaras de Comercio </t>
  </si>
  <si>
    <t>1.1.01.02.100.01.01 </t>
  </si>
  <si>
    <t>1.1.01.02.100.01.02 </t>
  </si>
  <si>
    <t>1.1.01.02.100.01.03 </t>
  </si>
  <si>
    <t>1.1.01.02.100.01.04 </t>
  </si>
  <si>
    <t>1.1.01.02.100.01.05 </t>
  </si>
  <si>
    <t>1.1.01.02.100.01.06 </t>
  </si>
  <si>
    <t>1.1.01.02.100.02 </t>
  </si>
  <si>
    <t>Impuesto de Registro -Oficinas de instrumentos publicos </t>
  </si>
  <si>
    <t>1.1.01.02.100.02.01 </t>
  </si>
  <si>
    <t>1.1.01.02.100.02.02 </t>
  </si>
  <si>
    <t>1.1.01.02.100.02.03 </t>
  </si>
  <si>
    <t>1.1.01.02.100.02.04 </t>
  </si>
  <si>
    <t>1.1.01.02.100.02.05 </t>
  </si>
  <si>
    <t>1.1.01.02.100.02.06 </t>
  </si>
  <si>
    <t>1.1.01.02.102 </t>
  </si>
  <si>
    <t>Impuesto al Degüello de Ganado Mayor </t>
  </si>
  <si>
    <t>1.1.01.02.102.01 </t>
  </si>
  <si>
    <t>1.1.01.02.102.02 </t>
  </si>
  <si>
    <t>1.1.01.02.102.03 </t>
  </si>
  <si>
    <t>1.1.01.02.102.04 </t>
  </si>
  <si>
    <t>1.1.01.02.102.05 </t>
  </si>
  <si>
    <t>1.1.01.02.104 </t>
  </si>
  <si>
    <t>Impuesto al Consumo de licores, vinos, aperitivos y similares </t>
  </si>
  <si>
    <t>1.1.01.02.104.01 </t>
  </si>
  <si>
    <t>Impuesto al Consumo de Licores </t>
  </si>
  <si>
    <t>1.1.01.02.104.01.01 </t>
  </si>
  <si>
    <t>Impuesto al Consumo de Licores - Nacionales </t>
  </si>
  <si>
    <t>1.1.01.02.104.01.01.01 </t>
  </si>
  <si>
    <t>1.1.01.02.104.01.01.02 </t>
  </si>
  <si>
    <t>1.1.01.02.104.01.01.03 </t>
  </si>
  <si>
    <t>1.1.01.02.104.01.01.04 </t>
  </si>
  <si>
    <t>1.1.01.02.104.01.01.05 </t>
  </si>
  <si>
    <t>1.1.01.02.104.01.02 </t>
  </si>
  <si>
    <t>Impuesto al Consumo de Licores -Extranjeros </t>
  </si>
  <si>
    <t>1.1.01.02.104.01.02.01 </t>
  </si>
  <si>
    <t>1.1.01.02.104.01.02.02 </t>
  </si>
  <si>
    <t>1.1.01.02.104.01.02.03 </t>
  </si>
  <si>
    <t>1.1.01.02.104.01.02.04 </t>
  </si>
  <si>
    <t>1.1.01.02.104.01.02.05 </t>
  </si>
  <si>
    <t>1.1.01.02.104.02 </t>
  </si>
  <si>
    <t>Impuesto al Consumo de vinos, aperitivos y similares </t>
  </si>
  <si>
    <t>1.1.01.02.104.02.01 </t>
  </si>
  <si>
    <t>Impuesto al Consumo de vinos, aperitivos y similares -Nacionales </t>
  </si>
  <si>
    <t>1.1.01.02.104.02.01.01 </t>
  </si>
  <si>
    <t>1.1.01.02.104.02.01.02 </t>
  </si>
  <si>
    <t>1.1.01.02.104.02.01.03 </t>
  </si>
  <si>
    <t>1.1.01.02.104.02.01.04 </t>
  </si>
  <si>
    <t>1.1.01.02.104.02.01.05 </t>
  </si>
  <si>
    <t>1.1.01.02.104.02.02 </t>
  </si>
  <si>
    <t>Impuesto al Consumo de vinos, aperitivos y similares extranjeros </t>
  </si>
  <si>
    <t>1.1.01.02.104.02.02.01 </t>
  </si>
  <si>
    <t>1.1.01.02.104.02.02.02 </t>
  </si>
  <si>
    <t>1.1.01.02.104.02.02.03 </t>
  </si>
  <si>
    <t>1.1.01.02.104.02.02.04 </t>
  </si>
  <si>
    <t>1.1.01.02.104.02.02.05 </t>
  </si>
  <si>
    <t>1.1.01.02.105 </t>
  </si>
  <si>
    <t>Impuesto al consumo de cervezas, sifones, refajos y mezclas </t>
  </si>
  <si>
    <t>1.1.01.02.105.02 </t>
  </si>
  <si>
    <t>Impuesto al consumo de cervezas, sifones, refajos y mezclas - Extranjeras </t>
  </si>
  <si>
    <t>1.1.01.02.105.02.01 </t>
  </si>
  <si>
    <t>1.1.01.02.105.02.02 </t>
  </si>
  <si>
    <t>1.1.01.02.105.02.03 </t>
  </si>
  <si>
    <t>1.1.01.02.105.02.04 </t>
  </si>
  <si>
    <t>1.1.01.02.105.02.05 </t>
  </si>
  <si>
    <t>1.1.01.02.106 </t>
  </si>
  <si>
    <t>Impuesto al Consumo de Cigarrillos y Tabaco </t>
  </si>
  <si>
    <t>1.1.01.02.106.01 </t>
  </si>
  <si>
    <t>Componente específico del impuesto al consumo de cigarrillos y tabaco </t>
  </si>
  <si>
    <t>1.1.01.02.106.01.01 </t>
  </si>
  <si>
    <t>Componente específico del impuesto al consumo de cigarrillos y tabaco - Nacionales </t>
  </si>
  <si>
    <t>1.1.01.02.106.01.01.01 </t>
  </si>
  <si>
    <t>1.1.01.02.106.01.01.02 </t>
  </si>
  <si>
    <t>1.1.01.02.106.01.01.03 </t>
  </si>
  <si>
    <t>1.1.01.02.106.01.01.04 </t>
  </si>
  <si>
    <t>1.1.01.02.106.01.01.05 </t>
  </si>
  <si>
    <t>1.1.01.02.106.01.01.06 </t>
  </si>
  <si>
    <t>1.1.01.02.106.01.02 </t>
  </si>
  <si>
    <t>Componente específico del impuesto al consumo de cigarrillos y tabaco - Extranjeros </t>
  </si>
  <si>
    <t>1.1.01.02.106.01.02.01 </t>
  </si>
  <si>
    <t>1.1.01.02.106.01.02.02 </t>
  </si>
  <si>
    <t>1.1.01.02.106.01.02.03 </t>
  </si>
  <si>
    <t>1.1.01.02.106.01.02.04 </t>
  </si>
  <si>
    <t>1.1.01.02.106.01.02.05 </t>
  </si>
  <si>
    <t>1.1.01.02.106.01.02.06 </t>
  </si>
  <si>
    <t>1.1.01.02.109 </t>
  </si>
  <si>
    <t>1.1.01.02.109.01 </t>
  </si>
  <si>
    <t>1.1.01.02.109.02 </t>
  </si>
  <si>
    <t>1.1.01.02.109.03 </t>
  </si>
  <si>
    <t>1.1.01.02.109.04 </t>
  </si>
  <si>
    <t>1.1.01.02.109.05 </t>
  </si>
  <si>
    <t>1.1.01.02.300 </t>
  </si>
  <si>
    <t>Estampillas </t>
  </si>
  <si>
    <t>1.1.01.02.300.01 </t>
  </si>
  <si>
    <t>Estampilla para el bienestar del adulto mayor </t>
  </si>
  <si>
    <t>1.1.01.02.300.01.01 </t>
  </si>
  <si>
    <t>1.1.01.02.300.02 </t>
  </si>
  <si>
    <t>Estampilla pro desarrollo departamental </t>
  </si>
  <si>
    <t>1.1.01.02.300.02.01 </t>
  </si>
  <si>
    <t>1.1.01.02.300.02.02 </t>
  </si>
  <si>
    <t>1.1.01.02.300.02.03 </t>
  </si>
  <si>
    <t>1.1.01.02.300.02.04 </t>
  </si>
  <si>
    <t>1.1.01.02.300.05 </t>
  </si>
  <si>
    <t>1.1.01.02.300.05.01 </t>
  </si>
  <si>
    <t>1.1.01.02.300.05.02 </t>
  </si>
  <si>
    <t>1.1.01.02.300.25 </t>
  </si>
  <si>
    <t>Estampilla pro Universidad Industrial de Santander </t>
  </si>
  <si>
    <t>1.1.01.02.300.25.01 </t>
  </si>
  <si>
    <t>1.1.01.02.300.25.02 </t>
  </si>
  <si>
    <t>1.1.01.02.300.25.03 </t>
  </si>
  <si>
    <t>1.1.01.02.300.25.04 </t>
  </si>
  <si>
    <t>1.1.01.02.300.25.05 </t>
  </si>
  <si>
    <t>1.1.01.02.300.44 </t>
  </si>
  <si>
    <t>Estampillas pro hospitales universitarios </t>
  </si>
  <si>
    <t>1.1.01.02.300.44.01 </t>
  </si>
  <si>
    <t>1.1.01.02.300.44.02 </t>
  </si>
  <si>
    <t>1.1.01.02.300.44.03 </t>
  </si>
  <si>
    <t>Pro-Hospital - Patrimonio Autonomo </t>
  </si>
  <si>
    <t>1.1.01.02.300.44.04 </t>
  </si>
  <si>
    <t>Pro-Hospital- PENSIONES 20% </t>
  </si>
  <si>
    <t>1.1.01.02.300.55 </t>
  </si>
  <si>
    <t>Pro-cultura </t>
  </si>
  <si>
    <t>1.1.01.02.300.55.01 </t>
  </si>
  <si>
    <t>1.1.01.02.300.55.02 </t>
  </si>
  <si>
    <t>1.1.01.02.300.55.03 </t>
  </si>
  <si>
    <t>1.1.01.02.300.55.04 </t>
  </si>
  <si>
    <t>1.1.02 </t>
  </si>
  <si>
    <t>1.1.02.01 </t>
  </si>
  <si>
    <t>Contribuciones </t>
  </si>
  <si>
    <t>1.1.02.01.003 </t>
  </si>
  <si>
    <t>Contribuciones especiales </t>
  </si>
  <si>
    <t>1.1.02.01.003.01 </t>
  </si>
  <si>
    <t>Cuota de fiscalización y auditaje Sin Situacion de Fondos </t>
  </si>
  <si>
    <t>1.1.02.01.005 </t>
  </si>
  <si>
    <t>Contribuciones diversas </t>
  </si>
  <si>
    <t>1.1.02.01.005.39 </t>
  </si>
  <si>
    <t>1.1.02.01.005.39.01 </t>
  </si>
  <si>
    <t>1.1.02.01.005.39.02 </t>
  </si>
  <si>
    <t>1.1.02.01.005.59 </t>
  </si>
  <si>
    <t>Contribución especial sobre contratos de obras públicas </t>
  </si>
  <si>
    <t>1.1.02.03 </t>
  </si>
  <si>
    <t>Multas, sanciones e intereses de mora </t>
  </si>
  <si>
    <t>1.1.02.03.001 </t>
  </si>
  <si>
    <t>Multas y sanciones </t>
  </si>
  <si>
    <t>1.1.02.03.001.11 </t>
  </si>
  <si>
    <t>Sanciones tributarias </t>
  </si>
  <si>
    <t>1.1.02.03.001.11.01 </t>
  </si>
  <si>
    <t>1.1.02.03.001.11.01.01 </t>
  </si>
  <si>
    <t>1.1.02.03.001.11.01.02 </t>
  </si>
  <si>
    <t>1.1.02.03.001.11.01.03 </t>
  </si>
  <si>
    <t>1.1.02.03.001.11.01.04 </t>
  </si>
  <si>
    <t>1.1.02.03.001.11.01.05 </t>
  </si>
  <si>
    <t>1.1.02.03.001.11.01.06 </t>
  </si>
  <si>
    <t>Impuesto sobre Vehiculos Automotores - Sanciones Tributarias 20% SSF Municipios </t>
  </si>
  <si>
    <t>1.1.02.03.001.11.02 </t>
  </si>
  <si>
    <t>Sanciones Tributarias Impuesto de Registro </t>
  </si>
  <si>
    <t>1.1.02.03.001.11.02.01 </t>
  </si>
  <si>
    <t>1.1.02.03.001.11.02.02 </t>
  </si>
  <si>
    <t>1.1.02.03.001.11.02.03 </t>
  </si>
  <si>
    <t>1.1.02.03.001.11.02.04 </t>
  </si>
  <si>
    <t>1.1.02.03.001.11.02.05 </t>
  </si>
  <si>
    <t>1.1.02.03.002 </t>
  </si>
  <si>
    <t>Intereses de mora </t>
  </si>
  <si>
    <t>1.1.02.03.002.01 </t>
  </si>
  <si>
    <t>Intereses de mora Impuesto sobre Vehiculos Automotores </t>
  </si>
  <si>
    <t>1.1.02.03.002.01.01 </t>
  </si>
  <si>
    <t>1.1.02.03.002.01.02 </t>
  </si>
  <si>
    <t>1.1.02.03.002.01.03 </t>
  </si>
  <si>
    <t>1.1.02.03.002.01.04 </t>
  </si>
  <si>
    <t>1.1.02.03.002.01.05 </t>
  </si>
  <si>
    <t>1.1.02.03.002.01.06 </t>
  </si>
  <si>
    <t>Impuesto sobre Vehiculos Automotores - Intereses de Mora 20% SSF Municipios </t>
  </si>
  <si>
    <t>1.1.02.03.002.02 </t>
  </si>
  <si>
    <t>Intereses de mora Impuesto de Registro </t>
  </si>
  <si>
    <t>1.1.02.03.002.02.01 </t>
  </si>
  <si>
    <t>1.1.02.03.002.02.02 </t>
  </si>
  <si>
    <t>1.1.02.03.002.02.03 </t>
  </si>
  <si>
    <t>1.1.02.03.002.02.04 </t>
  </si>
  <si>
    <t>1.1.02.03.002.02.05 </t>
  </si>
  <si>
    <t>1.1.02.05 </t>
  </si>
  <si>
    <t>Venta de bienes y servicios </t>
  </si>
  <si>
    <t>1.1.02.05.001 </t>
  </si>
  <si>
    <t>Ventas de establecimientos de mercado </t>
  </si>
  <si>
    <t>1.1.02.05.001.07 </t>
  </si>
  <si>
    <t>Servicios financieros y servicios conexos, servicios inmobiliarios y servicios de leasing </t>
  </si>
  <si>
    <t>1.1.02.05.001.07.01 </t>
  </si>
  <si>
    <t>Servicios inmobiliarios relativos a bienes inmuebles propios o arrendados </t>
  </si>
  <si>
    <t>1.1.02.05.001.07.01.01 </t>
  </si>
  <si>
    <t>Servicios de alquiler o arrendamiento con o sin opción de compra, relativos a bienes inmuebles propios o arrendados </t>
  </si>
  <si>
    <t>1.1.02.05.001.07.01.01.01 </t>
  </si>
  <si>
    <t>Arrendamientos - Libre Destinacion Administracion Central </t>
  </si>
  <si>
    <t>1.1.02.05.001.07.01.01.02 </t>
  </si>
  <si>
    <t>Arrendamientos - Fondo de Paz </t>
  </si>
  <si>
    <t>1.1.02.05.001.07.01.01.03 </t>
  </si>
  <si>
    <t>Arrendamientos - FONPET </t>
  </si>
  <si>
    <t>1.1.02.05.001.07.01.01.04 </t>
  </si>
  <si>
    <t>Arrendamientos - Patrimonio Autonomo </t>
  </si>
  <si>
    <t>1.1.02.05.001.07.01.01.05 </t>
  </si>
  <si>
    <t>Arrendamientos - 1% I.C.L.D. (Areas de Interes Ambiental Ley 1450/2011 ART. 210) </t>
  </si>
  <si>
    <t>1.1.02.06 </t>
  </si>
  <si>
    <t>Transferencias corrientes </t>
  </si>
  <si>
    <t>1.1.02.06.001 </t>
  </si>
  <si>
    <t>Sistema General de Participaciones </t>
  </si>
  <si>
    <t>1.1.02.06.001.01 </t>
  </si>
  <si>
    <t>Participación para educación </t>
  </si>
  <si>
    <t>1.1.02.06.001.01.02 </t>
  </si>
  <si>
    <t>Cancelación de prestaciones sociales del magisterio </t>
  </si>
  <si>
    <t>1.1.02.06.001.01.03 </t>
  </si>
  <si>
    <t>Bolsa Común de los 82 Municipios del Dpto. de Sder alimentación escolar PAE </t>
  </si>
  <si>
    <t>1.1.02.06.001.01.04 </t>
  </si>
  <si>
    <t>Sistema General de Participaciones PAE </t>
  </si>
  <si>
    <t>1.1.02.06.001.05 </t>
  </si>
  <si>
    <t>Agua potable y saneamiento básico </t>
  </si>
  <si>
    <t>1.1.02.06.003 </t>
  </si>
  <si>
    <t>Participaciones distintas del SGP </t>
  </si>
  <si>
    <t>1.1.02.06.003.01 </t>
  </si>
  <si>
    <t>Participación en impuestos </t>
  </si>
  <si>
    <t>1.1.02.06.003.01.10 </t>
  </si>
  <si>
    <t>Participación de la sobretasa al ACPM </t>
  </si>
  <si>
    <t>1.1.02.06.003.01.10.01 </t>
  </si>
  <si>
    <t>Sobretasa A.C.P.M. - </t>
  </si>
  <si>
    <t>1.1.02.06.003.01.10.02 </t>
  </si>
  <si>
    <t>Sobretasa A.C.P.M. - 5% sin situacion de Fondos </t>
  </si>
  <si>
    <t>1.1.02.06.003.01.10.03 </t>
  </si>
  <si>
    <t>Sobretasa A.C.P.M. - Decreto 678 </t>
  </si>
  <si>
    <t>1.1.02.06.006 </t>
  </si>
  <si>
    <t>Transferencias de otras entidades del gobierno general </t>
  </si>
  <si>
    <t>1.1.02.06.006.06 </t>
  </si>
  <si>
    <t>Otras unidades de gobierno </t>
  </si>
  <si>
    <t>1.1.02.06.006.06.01 </t>
  </si>
  <si>
    <t>Cesantias- FED </t>
  </si>
  <si>
    <t>1.1.02.06.006.06.02 </t>
  </si>
  <si>
    <t>alimentacion escolar ley 1450 de 2011 (pae regular)  </t>
  </si>
  <si>
    <t>1.1.02.06.006.06.03 </t>
  </si>
  <si>
    <t>alimentacion escolar ley 1450 de 2011 (pae jornada unica)  </t>
  </si>
  <si>
    <t>1.1.02.06.006.06.04 </t>
  </si>
  <si>
    <t>Otras Instituciones </t>
  </si>
  <si>
    <t>1.1.02.06.006.06.04.01 </t>
  </si>
  <si>
    <t>Fondo de Reforestación </t>
  </si>
  <si>
    <t>1.1.02.06.006.06.04.02 </t>
  </si>
  <si>
    <t>Fondo de rentas </t>
  </si>
  <si>
    <t>1.1.02.06.006.06.04.03 </t>
  </si>
  <si>
    <t>Tasa Prodeporte y Recreacion </t>
  </si>
  <si>
    <t>1.1.02.06.009.02 </t>
  </si>
  <si>
    <t>Sistema General de Pensiones </t>
  </si>
  <si>
    <t>1.1.02.06.009.02.02 </t>
  </si>
  <si>
    <t>Cuotas partes pensionales </t>
  </si>
  <si>
    <t>1.1.02.06.009.02.02.01 </t>
  </si>
  <si>
    <t>cuotas partes pensionales C.S.F. </t>
  </si>
  <si>
    <t>1.1.02.06.009.02.02.02 </t>
  </si>
  <si>
    <t>cuotas partes pensionales por pagar. S.S.F. Recursos FONPET </t>
  </si>
  <si>
    <t>1.1.02.07 </t>
  </si>
  <si>
    <t>Participación y derechos por monopolio </t>
  </si>
  <si>
    <t>1.1.02.07.002 </t>
  </si>
  <si>
    <t>Participación y derechos de explotación del ejercicio del monopolio de licores destilados y alcoholes potables </t>
  </si>
  <si>
    <t>1.1.02.07.002.01 </t>
  </si>
  <si>
    <t>Participación y derechos de explotación del ejercicio del monopolio de licores destilados </t>
  </si>
  <si>
    <t>1.1.02.07.002.01.02 </t>
  </si>
  <si>
    <t>Derechos de monopolio por la introducción de licores destilados </t>
  </si>
  <si>
    <t>1.1.02.07.002.01.02.01 </t>
  </si>
  <si>
    <t>Derechos de monopolio por la introducción de licores destilados de producción nacional </t>
  </si>
  <si>
    <t>1.1.02.07.002.01.02.01.01 </t>
  </si>
  <si>
    <t>1.1.02.07.002.01.02.01.02 </t>
  </si>
  <si>
    <t>1.1.02.07.002.01.02.01.03 </t>
  </si>
  <si>
    <t>Participación por el ejercicio del monopolio de licores y alcoholes potables -Educacion (14% LEY 1816/16) </t>
  </si>
  <si>
    <t>1.1.02.07.002.01.02.01.04 </t>
  </si>
  <si>
    <t>Participación por el ejercicio del monopolio de licores y alcoholes potables -Educacion (2% LEY 1816/16) </t>
  </si>
  <si>
    <t>1.1.02.07.002.01.02.01.05 </t>
  </si>
  <si>
    <t>Dererecho Explot. Monopolio Licores - Libre Destinacion Administracion Central 46% LEY 1816 </t>
  </si>
  <si>
    <t>1.1.02.07.002.01.02.01.06 </t>
  </si>
  <si>
    <t>Derecho Explot. Monopolio Licores - Fondo de Paz </t>
  </si>
  <si>
    <t>1.1.02.07.002.01.02.01.07 </t>
  </si>
  <si>
    <t>1.1.02.07.002.01.02.01.08 </t>
  </si>
  <si>
    <t>1.1.02.07.002.01.02.01.09 </t>
  </si>
  <si>
    <t>Dererecho Explot. Monopolio Licores - 1% I.C.L.D. (Areas de Interes Ambiental Ley 1450/2011 ART. 210) </t>
  </si>
  <si>
    <t>1.1.02.07.002.01.02.01.10 </t>
  </si>
  <si>
    <t>Derecho Explot. Monopolio Licores - FONDO DE RENTAS </t>
  </si>
  <si>
    <t>1.1.02.07.002.01.02.02 </t>
  </si>
  <si>
    <t>Derechos de monopolio por la introducción de licores destilados de producción extranjera </t>
  </si>
  <si>
    <t>1.1.02.07.002.01.02.02.01 </t>
  </si>
  <si>
    <t>1.1.02.07.002.01.02.02.02 </t>
  </si>
  <si>
    <t>1.1.02.07.002.01.02.02.03 </t>
  </si>
  <si>
    <t>1.1.02.07.002.01.02.02.04 </t>
  </si>
  <si>
    <t>1.1.02.07.002.01.02.02.05 </t>
  </si>
  <si>
    <t>1.1.02.07.002.01.02.02.06 </t>
  </si>
  <si>
    <t>1.1.02.07.002.01.02.02.07 </t>
  </si>
  <si>
    <t>1.1.02.07.002.01.02.02.08 </t>
  </si>
  <si>
    <t>1.1.02.07.002.01.02.02.09 </t>
  </si>
  <si>
    <t>1.1.02.07.002.01.02.02.10 </t>
  </si>
  <si>
    <t>1.2 </t>
  </si>
  <si>
    <t>1.2.02 </t>
  </si>
  <si>
    <t>Excedentes financieros </t>
  </si>
  <si>
    <t>1.2.02.02 </t>
  </si>
  <si>
    <t>Empresas industriales y comerciales del Estado no societarias </t>
  </si>
  <si>
    <t>1.2.02.02.01 </t>
  </si>
  <si>
    <t>1.2.03 </t>
  </si>
  <si>
    <t>Dividendos y utilidades por otras inversiones de capital </t>
  </si>
  <si>
    <t>1.2.03.02 </t>
  </si>
  <si>
    <t>1.2.03.02.02 </t>
  </si>
  <si>
    <t>1.2.05. </t>
  </si>
  <si>
    <t>Rendimientos financieros </t>
  </si>
  <si>
    <t>1.2.05.02 </t>
  </si>
  <si>
    <t>Depositos </t>
  </si>
  <si>
    <t>1.2.05.02.01 </t>
  </si>
  <si>
    <t>1.2.05.02.02 </t>
  </si>
  <si>
    <t>1.2.05.02.03 </t>
  </si>
  <si>
    <t>1.2.05.02.04 </t>
  </si>
  <si>
    <t>1.2.05.02.05 </t>
  </si>
  <si>
    <t>Rendimientos Estampillas </t>
  </si>
  <si>
    <t>1.2.05.02.05.01 </t>
  </si>
  <si>
    <t>Rendimientos Procultura </t>
  </si>
  <si>
    <t>1.2.05.02.05.01.01 </t>
  </si>
  <si>
    <t>1.2.05.02.05.01.02 </t>
  </si>
  <si>
    <t>1.2.05.02.05.01.03 </t>
  </si>
  <si>
    <t>1.2.05.02.05.01.04 </t>
  </si>
  <si>
    <t>1.2.05.02.05.02 </t>
  </si>
  <si>
    <t>Rendimientos Prodesarrollo </t>
  </si>
  <si>
    <t>1.2.05.02.05.02.01 </t>
  </si>
  <si>
    <t>1.2.05.02.05.02.02 </t>
  </si>
  <si>
    <t>1.2.05.02.05.02.03 </t>
  </si>
  <si>
    <t>1.2.05.02.05.02.04 </t>
  </si>
  <si>
    <t>1.2.05.02.05.03 </t>
  </si>
  <si>
    <t>Rendimientos Proelectrificacion </t>
  </si>
  <si>
    <t>1.2.05.02.05.03.01 </t>
  </si>
  <si>
    <t>1.2.05.02.05.03.02 </t>
  </si>
  <si>
    <t>1.2.05.02.05.04 </t>
  </si>
  <si>
    <t>1.2.05.02.05.04.01 </t>
  </si>
  <si>
    <t>1.2.05.02.05.04.02 </t>
  </si>
  <si>
    <t>1.2.05.02.05.04.03 </t>
  </si>
  <si>
    <t>1.2.05.02.05.05 </t>
  </si>
  <si>
    <t>Rendimientos Pro-UIS </t>
  </si>
  <si>
    <t>1.2.05.02.05.05.01 </t>
  </si>
  <si>
    <t>1.2.05.02.05.05.02 </t>
  </si>
  <si>
    <t>1.2.05.02.05.05.03 </t>
  </si>
  <si>
    <t>1.2.05.02.05.05.04 </t>
  </si>
  <si>
    <t>1.2.05.02.05.05.05 </t>
  </si>
  <si>
    <t>1.2.05.02.05.06 </t>
  </si>
  <si>
    <t>Rendimientos Para el Bienestar del Adulto Mayor </t>
  </si>
  <si>
    <t>1.2.05.02.05.06.01 </t>
  </si>
  <si>
    <t>1.2.05.02.05.07 </t>
  </si>
  <si>
    <t>Rendimientos Proanciano </t>
  </si>
  <si>
    <t>1.2.05.02.05.07.01 </t>
  </si>
  <si>
    <t>1.2.05.02.05.07.02 </t>
  </si>
  <si>
    <t>Rendimientos Proanciano - PENSIONES 20% </t>
  </si>
  <si>
    <t>1.2.05.02.06 </t>
  </si>
  <si>
    <t>Rendimientos Tasa Prodeporte y Recreacion </t>
  </si>
  <si>
    <t>1.2.05.02.07 </t>
  </si>
  <si>
    <t>1.2.05.02.08 </t>
  </si>
  <si>
    <t>Rendimientos Venta de Acciones Fondo Ganadero de Santander  </t>
  </si>
  <si>
    <t>1.2.05.02.09 </t>
  </si>
  <si>
    <t>Rendimiento Fondo de Vivienda  </t>
  </si>
  <si>
    <t>1.2.05.02.10 </t>
  </si>
  <si>
    <t>Rendimientos Fondo de Contingencia  </t>
  </si>
  <si>
    <t>1.2.05.02.11 </t>
  </si>
  <si>
    <t>Rendimientos pensiones FED  </t>
  </si>
  <si>
    <t>1.2.05.02.12 </t>
  </si>
  <si>
    <t>Rendimientos Fondo de Rentas  </t>
  </si>
  <si>
    <t>1.2.05.02.13 </t>
  </si>
  <si>
    <t>Rendimientos Fondo Reforestacion </t>
  </si>
  <si>
    <t>1.2.05.02.14 </t>
  </si>
  <si>
    <t>Rendimientos Contribución Sobre Contrato De Obra Publica </t>
  </si>
  <si>
    <t>1.2.05.02.15 </t>
  </si>
  <si>
    <t>Rendimientos Fondo De Reinserción Y Paz  </t>
  </si>
  <si>
    <t>1.2.05.02.16 </t>
  </si>
  <si>
    <t>Rendimientos Cesantias FED  </t>
  </si>
  <si>
    <t>1.2.05.02.17 </t>
  </si>
  <si>
    <t>Rendimientos Hospitales Liquidados  </t>
  </si>
  <si>
    <t>1.2.05.02.18 </t>
  </si>
  <si>
    <t>Rendimientos Financieros Excedentes IDESAN  </t>
  </si>
  <si>
    <t>1.2.05.02.19 </t>
  </si>
  <si>
    <t>Rendimientos Crédito Interno Banca Comercial  </t>
  </si>
  <si>
    <t>1.2.05.02.20 </t>
  </si>
  <si>
    <t>Rendimientos Margen De Comercialización  </t>
  </si>
  <si>
    <t>1.2.05.02.21 </t>
  </si>
  <si>
    <t>Rendimientos Financieros Area Interés Ambiental  </t>
  </si>
  <si>
    <t>1.2.05.02.22 </t>
  </si>
  <si>
    <t>Rendimientos Cuotas Partes Pensionales  </t>
  </si>
  <si>
    <t>1.2.05.02.23 </t>
  </si>
  <si>
    <t>Rendimientos Escisión Essa  </t>
  </si>
  <si>
    <t>1.2.05.02.24 </t>
  </si>
  <si>
    <t>1.2.05.02.25 </t>
  </si>
  <si>
    <t>1.2.05.02.26 </t>
  </si>
  <si>
    <t>1.2.05.02.27 </t>
  </si>
  <si>
    <t>1.2.05.02.28 </t>
  </si>
  <si>
    <t>1.2.05.02.29 </t>
  </si>
  <si>
    <t>1.2.05.02.30 </t>
  </si>
  <si>
    <t>1.2.05.02.31 </t>
  </si>
  <si>
    <t>1.2.05.02.32 </t>
  </si>
  <si>
    <t>1.2.05.02.33 </t>
  </si>
  <si>
    <t>1.2.05.02.34 </t>
  </si>
  <si>
    <t>1.2.05.02.35 </t>
  </si>
  <si>
    <t>1.2.05.02.36 </t>
  </si>
  <si>
    <t>Rendimientos Financieros Monopolio Licores y alcoholes potables -Educacion (14% LEY 1816/16) </t>
  </si>
  <si>
    <t>1.2.05.02.37 </t>
  </si>
  <si>
    <t>Rendimientos Financieros Monopolio Licores y alcoholes potables -Salud (14% LEY 1816/16) </t>
  </si>
  <si>
    <t>1.2.05.02.38 </t>
  </si>
  <si>
    <t>Rendimientos Financieros Participación por el ejercicio del monopolio de licores y alcoholes potables -Educacion (2% LEY 1816/16) </t>
  </si>
  <si>
    <t>1.2.05.02.39 </t>
  </si>
  <si>
    <t>Rendimientos Financieros Participación por el ejercicio del monopolio de licores y alcoholes potables -Salud (2% LEY 1816/16) </t>
  </si>
  <si>
    <t>1.2.05.02.40 </t>
  </si>
  <si>
    <t>1.2.05.02.41 </t>
  </si>
  <si>
    <t>Rendimientos Regalias Antiguas  </t>
  </si>
  <si>
    <t>1.2.05.02.42 </t>
  </si>
  <si>
    <t>1.2.05.02.43 </t>
  </si>
  <si>
    <t>1.2.08 </t>
  </si>
  <si>
    <t>Transferencia de Capital </t>
  </si>
  <si>
    <t>1.2.08.06 </t>
  </si>
  <si>
    <t>De otras entidades de gobieno general </t>
  </si>
  <si>
    <t>1.2.08.06.002 </t>
  </si>
  <si>
    <t>Condicionadas a la adquisicion de un activo </t>
  </si>
  <si>
    <t>1.2.08.06.002.01 </t>
  </si>
  <si>
    <t>Recursos de Cofinanciación </t>
  </si>
  <si>
    <t>1.2.08.06.002.01.01 </t>
  </si>
  <si>
    <t>1.2.10 </t>
  </si>
  <si>
    <t>1.2.10.02 </t>
  </si>
  <si>
    <t>Superávit fiscal  </t>
  </si>
  <si>
    <t>1.2.10.02.03 </t>
  </si>
  <si>
    <t>Recursos -Fondo de Mitigación de Emergencias (FOME) </t>
  </si>
  <si>
    <t>1.2.10.02.03.01 </t>
  </si>
  <si>
    <t>Resolución No 014663 del 10 de agosto de 2020 Rec Bce </t>
  </si>
  <si>
    <t>1.2.10.02.03.02 </t>
  </si>
  <si>
    <t>Directiva 17 del 20 de Noviembre del 2020- Min Educacion y Resolución No 022751 del 09 de diciembre de 2020 Rec Bce </t>
  </si>
  <si>
    <t>1.2.10.02.03.03 </t>
  </si>
  <si>
    <t>Directiva 18 del 28 de Diciembre y Resolución No 023869 del 28 de diciembre de 2020 Rec Bce </t>
  </si>
  <si>
    <t>1.2.10.02.04 </t>
  </si>
  <si>
    <t>Rendimientos Financieros Recursos Balance </t>
  </si>
  <si>
    <t>1.2.10.02.04.01 </t>
  </si>
  <si>
    <t>Rendimientos Financieros Recursos FOME Rec Bce </t>
  </si>
  <si>
    <t>1.2.10.02.04.01.001 </t>
  </si>
  <si>
    <t>1.2.12 </t>
  </si>
  <si>
    <t>Retiros FONPET </t>
  </si>
  <si>
    <t>1.2.12.01 </t>
  </si>
  <si>
    <t>Para el pago de bonos pensionales o cuotas partes de bonos pensionales Sin Sirtuacion de Fondos </t>
  </si>
  <si>
    <t>1.2.12.01.001 </t>
  </si>
  <si>
    <t>Para el pago de bonos y cuotas partes de bonos pensionales A y B Sin situacion de Fondos </t>
  </si>
  <si>
    <t>1.2.12.01.002 </t>
  </si>
  <si>
    <t>Para el pago de bonos y cuotas partes de bonos pensionales C y E Sin Sirtuacion de Fondos </t>
  </si>
  <si>
    <t>1.2.12.09 </t>
  </si>
  <si>
    <t>Retiro para pago de mesadas pensionales cuando la entidad ha cubierto el pasivo pensional. Con situación de fondos.  </t>
  </si>
  <si>
    <t>1.2.12.09.01 </t>
  </si>
  <si>
    <t>Desahorro FONPET  </t>
  </si>
  <si>
    <t>1.2.13 </t>
  </si>
  <si>
    <t>Reintegros y otros recursos no apropiados </t>
  </si>
  <si>
    <t>1.2.13.01 </t>
  </si>
  <si>
    <t>Reintegros </t>
  </si>
  <si>
    <t>1.2.13.01.01 </t>
  </si>
  <si>
    <t>1.2.13.01.02 </t>
  </si>
  <si>
    <t>1.2.13.01.03 </t>
  </si>
  <si>
    <t>Reintegros Estampillas </t>
  </si>
  <si>
    <t>1.2.13.01.03.01 </t>
  </si>
  <si>
    <t>1.2.13.01.03.01.01 </t>
  </si>
  <si>
    <t>1.2.13.01.03.02 </t>
  </si>
  <si>
    <t>1.2.13.01.03.02.01 </t>
  </si>
  <si>
    <t>Reintegros Pro Reforestacion - Inversion </t>
  </si>
  <si>
    <t>1.2.13.01.03.03 </t>
  </si>
  <si>
    <t>1.2.13.01.03.03.01 </t>
  </si>
  <si>
    <t>Reintegros Pro Cultura -Inversion </t>
  </si>
  <si>
    <t>1.2.13.01.03.04 </t>
  </si>
  <si>
    <t>1.2.13.01.03.04.01 </t>
  </si>
  <si>
    <t>Reintegros Pro-Anciano - Inversion </t>
  </si>
  <si>
    <t>1.2.13.01.03.05 </t>
  </si>
  <si>
    <t>1.2.13.01.03.05.01 </t>
  </si>
  <si>
    <t>Reintegros Pro-Electrificación - Inversion </t>
  </si>
  <si>
    <t>1.2.13.01.03.06 </t>
  </si>
  <si>
    <t>1.2.13.01.03.06.01 </t>
  </si>
  <si>
    <t>1.2.13.01.03.07 </t>
  </si>
  <si>
    <t>Reintegros Pro-Desarrollo </t>
  </si>
  <si>
    <t>1.2.13.01.03.07.01 </t>
  </si>
  <si>
    <t>1.2.13.01.03.07.02 </t>
  </si>
  <si>
    <t>1.2.13.01.03.07.03 </t>
  </si>
  <si>
    <t>1.2.13.01.04 </t>
  </si>
  <si>
    <t>1.2.13.01.05 </t>
  </si>
  <si>
    <t>1.2.13.01.06 </t>
  </si>
  <si>
    <t>1.2.13.01.07 </t>
  </si>
  <si>
    <t>1.2.13.01.08 </t>
  </si>
  <si>
    <t>1.2.13.01.09 </t>
  </si>
  <si>
    <t>1.2.13.01.10 </t>
  </si>
  <si>
    <t>1.2.13.01.11 </t>
  </si>
  <si>
    <t>1.2.13.01.12 </t>
  </si>
  <si>
    <t>1.2.13.01.13 </t>
  </si>
  <si>
    <t>1.2.13.01.14 </t>
  </si>
  <si>
    <t>Reintegros Crédito Interno FINDETER Vias  </t>
  </si>
  <si>
    <t>1.2.13.01.15 </t>
  </si>
  <si>
    <t>1.2.13.01.16 </t>
  </si>
  <si>
    <t>1.2.13.01.17 </t>
  </si>
  <si>
    <t>Reintegros Contribución Sobre Contrato de Obra Pública </t>
  </si>
  <si>
    <t>1.2.13.01.18 </t>
  </si>
  <si>
    <t>Reintegros Lectura de Bibliotecas ley 1379/2010  </t>
  </si>
  <si>
    <t>1.2.13.01.19 </t>
  </si>
  <si>
    <t>Reintegros ICLD Fondo de paz  </t>
  </si>
  <si>
    <t>1.2.13.01.20 </t>
  </si>
  <si>
    <t>Reintegros Programa PAE- 2016  </t>
  </si>
  <si>
    <t>1.2.13.01.21 </t>
  </si>
  <si>
    <t>1.2.13.01.40 </t>
  </si>
  <si>
    <t>Reintegros Rendimientos Margen De Comercialización  </t>
  </si>
  <si>
    <t>1.2.13.01.41 </t>
  </si>
  <si>
    <t>Reintegros Rendimientos ICLD Fondo De Contingencia  </t>
  </si>
  <si>
    <t>1.2.13.01.42 </t>
  </si>
  <si>
    <t>1.2.13.01.43 </t>
  </si>
  <si>
    <t>Reintegros Rendimientos Pro anciano  </t>
  </si>
  <si>
    <t>1.2.13.01.44 </t>
  </si>
  <si>
    <t>Reintegros Rendimientos Pro Cultura  </t>
  </si>
  <si>
    <t>1.2.13.01.45 </t>
  </si>
  <si>
    <t>Reintegros Rendimientos Pro Electrificación  </t>
  </si>
  <si>
    <t>1.2.13.01.46 </t>
  </si>
  <si>
    <t>Reintegros Rendimientos Pro Hospitales  </t>
  </si>
  <si>
    <t>1.2.13.01.47 </t>
  </si>
  <si>
    <t>Reintegros Rendimientos Pro Reforestación  </t>
  </si>
  <si>
    <t>1.2.13.01.48 </t>
  </si>
  <si>
    <t>1.2.13.01.49 </t>
  </si>
  <si>
    <t>1.2.13.01.50 </t>
  </si>
  <si>
    <t>1.2.13.01.51 </t>
  </si>
  <si>
    <t>1.2.13.01.52 </t>
  </si>
  <si>
    <t>1.2.13.01.53 </t>
  </si>
  <si>
    <t>1.2.13.01.54 </t>
  </si>
  <si>
    <t>1.2.13.01.55 </t>
  </si>
  <si>
    <t>1.2.13.01.56 </t>
  </si>
  <si>
    <t>1.2.13.01.57 </t>
  </si>
  <si>
    <t>1.2.13.01.58 </t>
  </si>
  <si>
    <t>1.2.13.01.59 </t>
  </si>
  <si>
    <t>1.2.13.01.60 </t>
  </si>
  <si>
    <t>1.2.13.01.61 </t>
  </si>
  <si>
    <t>1.2.13.01.62 </t>
  </si>
  <si>
    <t>1.2.13.01.63 </t>
  </si>
  <si>
    <t>1.2.13.01.64 </t>
  </si>
  <si>
    <t>1.2.13.01.65 </t>
  </si>
  <si>
    <t>Reintegros Rendimientos Finacieros Regalias Petroliferas  </t>
  </si>
  <si>
    <t>1.2.13.01.66 </t>
  </si>
  <si>
    <t>Reintegros Rendimientos Financieros ICLD Equidad de Genero Ord 28-2010  </t>
  </si>
  <si>
    <t>1.2.13.01.67 </t>
  </si>
  <si>
    <t>Reintegros Rendimientos Financieros Agua Potable y Saneamiento Basico (PDA)  </t>
  </si>
  <si>
    <t>1.2.13.01.68 </t>
  </si>
  <si>
    <t>Reintegros Rendimientos Financieros Areas de Interes ley 1450-2011  </t>
  </si>
  <si>
    <t>1.2.13.01.69 </t>
  </si>
  <si>
    <t>Reintegros Rendimientos Financieros Contribución a la Valorización  </t>
  </si>
  <si>
    <t>1.2.13.01.70 </t>
  </si>
  <si>
    <t>Reintegros Rendimientos Financieros Contrato No 368-2004  </t>
  </si>
  <si>
    <t>1.2.13.01.71 </t>
  </si>
  <si>
    <t>Reintegros Rendimientos Financieros Lectura de Bibliotecas ley 1379/2010  </t>
  </si>
  <si>
    <t>1.2.13.01.72 </t>
  </si>
  <si>
    <t>1.2.13.01.73 </t>
  </si>
  <si>
    <t>Reintegros Rendimientos Financieros ICLD Fondo de paz  </t>
  </si>
  <si>
    <t>1.2.13.01.74 </t>
  </si>
  <si>
    <t>Reintegros Rendimientos Financieros Crédito Interno Banca Comercial  </t>
  </si>
  <si>
    <t>1.1.01.02.105.01</t>
  </si>
  <si>
    <t>Impuesto al consumo de cervezas, sifones, refajos y mezclas - Nacionales</t>
  </si>
  <si>
    <t>1.1.01.02.105.01.01</t>
  </si>
  <si>
    <t xml:space="preserve">Impuesto al Consumo de Cerveza Nacional - Libre Destinacion - Administracion Central </t>
  </si>
  <si>
    <t>1.1.01.02.105.01.02</t>
  </si>
  <si>
    <t>Impuesto al Consumo de Cerveza Nacional - Fondo de Paz</t>
  </si>
  <si>
    <t>1.1.01.02.105.01.03</t>
  </si>
  <si>
    <t>Impuesto al Consumo de Cerveza Nacional - FONPET</t>
  </si>
  <si>
    <t>1.1.01.02.105.01.04</t>
  </si>
  <si>
    <t xml:space="preserve">Impuesto al Consumo de Cerveza Nacional - Patrimonio Autonomo </t>
  </si>
  <si>
    <t>1.1.01.02.105.01.05</t>
  </si>
  <si>
    <t xml:space="preserve">Impuesto al Consumo de Cerveza Naciona - 1%   I.C.L.D. (Areas   de  Interes Ambiental Ley  1450/2011  ART. 210) </t>
  </si>
  <si>
    <t>INGRESOS TOTALES  </t>
  </si>
  <si>
    <t>INGRESOS CORRIENTES  </t>
  </si>
  <si>
    <t>INGRESOS TRIBUTARIOS  </t>
  </si>
  <si>
    <t>IMPUESTOS DIRECTOS </t>
  </si>
  <si>
    <t>1.1.01.01.101 </t>
  </si>
  <si>
    <t>Impuesto a ganadores sorteos ordinarios </t>
  </si>
  <si>
    <t>1.1.01.01.101.01 </t>
  </si>
  <si>
    <t>1.1.01.01.101.02 </t>
  </si>
  <si>
    <t>1.1.01.01.101.03 </t>
  </si>
  <si>
    <t>Subcuenta Otros Gastos en Salud-Inversion  </t>
  </si>
  <si>
    <t>1.1.01.01.101.03.01 </t>
  </si>
  <si>
    <t>IMPUESTOS INDIRECTOS </t>
  </si>
  <si>
    <t>1.1.01.02.101 </t>
  </si>
  <si>
    <t>Impuesto de Loterias Fóraneas </t>
  </si>
  <si>
    <t>1.1.01.02.101.01 </t>
  </si>
  <si>
    <t>1.1.01.02.101.02 </t>
  </si>
  <si>
    <t>1.1.01.02.101.03 </t>
  </si>
  <si>
    <t>1.1.01.02.101.03.01 </t>
  </si>
  <si>
    <t>1.1.01.02.103 </t>
  </si>
  <si>
    <t>IVA SOBRE LICORES, VINOS APERITIVOS Y SIMILARES- NUEVO IVA 5% </t>
  </si>
  <si>
    <t>1.1.01.02.103.01 </t>
  </si>
  <si>
    <t>1.1.01.02.103.02 </t>
  </si>
  <si>
    <t>Subcuenta Otros Gastos en Salud-Inversión  </t>
  </si>
  <si>
    <t>1.1.01.02.103.02.01 </t>
  </si>
  <si>
    <t>IMPUESTO AL CONSUMO DE LICORES, VINOS , APERITIVOS Y SIMILARES  </t>
  </si>
  <si>
    <t>Impuesto al consumo de licores </t>
  </si>
  <si>
    <t>Derechos de Explotación de la Introducción de Licores de Producción Extranjera. </t>
  </si>
  <si>
    <t>1.1.01.02.104.01.02.03.01 </t>
  </si>
  <si>
    <t>Impuesto al consumo de vinos, aperitivos y similares </t>
  </si>
  <si>
    <t>Impuesto al consumo de vinos, aperitivos y similares con destinación a salud de producción nacional  </t>
  </si>
  <si>
    <t>1.1.01.02.104.02.01.03.01 </t>
  </si>
  <si>
    <t>Impuesto al consumo de vinos, aperitivos y similares con destinación a salud de producción extranjera </t>
  </si>
  <si>
    <t>1.1.01.02.104.02.02.03.01 </t>
  </si>
  <si>
    <t>IMPUESTO AL CONSUMO DE CERVEZA, SIFONES, REFAJOS Y MEZCLAS </t>
  </si>
  <si>
    <t>1.1.01.02.105.01 </t>
  </si>
  <si>
    <t>IMPUESTO AL CONSUMO DE CERVEZA, SIFONES, REFAJOS Y MEZCLAS -NACIONALES </t>
  </si>
  <si>
    <t>1.1.01.02.105.01.01 </t>
  </si>
  <si>
    <t>1.1.01.02.105.01.02 </t>
  </si>
  <si>
    <t>1.1.01.02.105.01.03 </t>
  </si>
  <si>
    <t>1.1.01.02.105.01.03.01 </t>
  </si>
  <si>
    <t>IMPUESTO AL CONSUMO DE CERVEZA, SIFONES, REFAJOS Y MEZCLAS -EXTRANJERO </t>
  </si>
  <si>
    <t>1.1.01.02.105.02.03.01 </t>
  </si>
  <si>
    <t>IMPUESTO AL CONSUMO DE CIGARRILLOS Y TABACOS </t>
  </si>
  <si>
    <t>1.1.01.02.106.02 </t>
  </si>
  <si>
    <t>COMPONENTE ADVALOREM DEL IMPUESTO DEL CONSUMO DE CIGARRILLOS Y TABACOS ELABORADOS </t>
  </si>
  <si>
    <t>1.1.01.02.106.02.01 </t>
  </si>
  <si>
    <t>COMPONENTE ADVALOREM DEL IMPUESTO DL CONSUMO DE CIGARRILLOS Y TABACOS ELABORADOS - NACIONAL </t>
  </si>
  <si>
    <t>1.1.01.02.106.02.01.01 </t>
  </si>
  <si>
    <t>1.1.01.02.106.02.02 </t>
  </si>
  <si>
    <t>COMPONENTE ADVALOREM DEL IMPUESTO DL CONSUMO DE CIGARRILLOS Y TABACOS ELABORADOS - EXTRANJERO </t>
  </si>
  <si>
    <t>1.1.01.02.106.02.02.02 </t>
  </si>
  <si>
    <t>1.1.02.02 </t>
  </si>
  <si>
    <t>TASAS Y DERECHOS ADMINISTRATIVOS </t>
  </si>
  <si>
    <t>1.1.02.02.101 </t>
  </si>
  <si>
    <t>AUTORIZACION DE MANEJO DE MEDICAMENTOS DE CONTROL ESPECIAL DEL ESTADO </t>
  </si>
  <si>
    <t>1.1.02.02.101.01 </t>
  </si>
  <si>
    <t>Venta de Medicamentos de Control Especial </t>
  </si>
  <si>
    <t>1.1.02.02.101.02 </t>
  </si>
  <si>
    <t>1.1.02.02.101.03 </t>
  </si>
  <si>
    <t>1.1.02.02.101.04 </t>
  </si>
  <si>
    <t>1.1.02.05.002 </t>
  </si>
  <si>
    <t>VENTAS INCIDENTALES DE ESTABLECIMIENTOS NO DE MERCADO </t>
  </si>
  <si>
    <t>1.1.02.05.002.003 </t>
  </si>
  <si>
    <t>Otros bienes transportables </t>
  </si>
  <si>
    <t>1.1.02.05.002.003.01 </t>
  </si>
  <si>
    <t>Venta de Servicios de Laboratorio Salud Publica </t>
  </si>
  <si>
    <t>TRANSFERENCIAS CORRIENTES </t>
  </si>
  <si>
    <t>SISTEMA GENERAL DE PARTICIPACION </t>
  </si>
  <si>
    <t>1.1.02.06.001.02 </t>
  </si>
  <si>
    <t>PARTICIPACION PARA SALUD </t>
  </si>
  <si>
    <t>1.1.02.06.001.02.02 </t>
  </si>
  <si>
    <t>S. G. P. Salud - Salud Publica  </t>
  </si>
  <si>
    <t>1.1.02.06.001.02.04 </t>
  </si>
  <si>
    <t>S. G. P. Salud - Complemento y Compensación Prestación de servicios a población pobre no afiliada ( municipios certificados )  </t>
  </si>
  <si>
    <t>TRANSFERENCIAS DE OTRAS ENTIDADES DEL GOBIERNO GENERAL </t>
  </si>
  <si>
    <t>1.1.02.06.006.01 </t>
  </si>
  <si>
    <t>APORTES NACION </t>
  </si>
  <si>
    <t>1.1.02.06.006.01.01 </t>
  </si>
  <si>
    <t>AYUDAS FINANCIERAS DE LA NACION PARA PROGRAMAS Y CAMPAÑAS DE SALUD PUBLICA  </t>
  </si>
  <si>
    <t>1.1.02.06.006.01.01.02 </t>
  </si>
  <si>
    <t>Campañas Directas ETV  </t>
  </si>
  <si>
    <t>1.1.02.06.006.01.01.03 </t>
  </si>
  <si>
    <t>Campañas Control Lepra  </t>
  </si>
  <si>
    <t>1.1.02.06.006.01.01.04 </t>
  </si>
  <si>
    <t>Campaña Control Tuberculosis  </t>
  </si>
  <si>
    <t>OTRAS UNIDADES DE GOBIERNO </t>
  </si>
  <si>
    <t>OTRAS TRANSFERENCIAS DEL NIVEL DEPARTAMENTAL  </t>
  </si>
  <si>
    <t>1.1.02.06.006.06.01.01 </t>
  </si>
  <si>
    <t>1.1.02.06.006.06.01.01.01 </t>
  </si>
  <si>
    <t>1.1.02.06.006.06.01.01.02 </t>
  </si>
  <si>
    <t>Otros Gastos en Salud-Inversion  </t>
  </si>
  <si>
    <t>1.1.02.06.006.06.01.02 </t>
  </si>
  <si>
    <t>SUB CUENTA DE PRESTACION DE SERVICIOS DE SALUD EN LO NO CUBIERTO POR SUBSIDIOS A LA DEMANDA  </t>
  </si>
  <si>
    <t>Ayudas Financieras de la Nacion para Programas de Salud -Prestacion Servicios  </t>
  </si>
  <si>
    <t>COLJUEGOS 75 % - Inversión en salud. ( Ley 643 de 2001, Ley 1122 de 2007 y Ley 1151 de 2007 )  </t>
  </si>
  <si>
    <t>Subcuenta Otros Gastos en Salud Funcionamiento  </t>
  </si>
  <si>
    <t>COLJUEGOS (máximo el 25 % en los términos del Art. 60 de la Ley 715)  </t>
  </si>
  <si>
    <t>PARTICIPACION Y DERECHO DE MONOPOLIO </t>
  </si>
  <si>
    <t>1.1.02.07.001 </t>
  </si>
  <si>
    <t>Derechos por la explotación Juegos de Suerte y Azar </t>
  </si>
  <si>
    <t>1.1.02.07.001.03 </t>
  </si>
  <si>
    <t>Derechos por la explotación Juegos de Suerte y Azar de loteria tradicional </t>
  </si>
  <si>
    <t>1.1.02.07.001.03.01 </t>
  </si>
  <si>
    <t>1.1.02.07.001.03.02 </t>
  </si>
  <si>
    <t>1.1.02.07.001.03.03 </t>
  </si>
  <si>
    <t>1.1.02.07.001.03.03.01 </t>
  </si>
  <si>
    <t>1.1.02.07.001.04 </t>
  </si>
  <si>
    <t>Derechos por la explotación Juegos de Suerte y Azar por Apuestas permanente o chance </t>
  </si>
  <si>
    <t>1.1.02.07.001.04.01 </t>
  </si>
  <si>
    <t>1.1.02.07.001.04.02 </t>
  </si>
  <si>
    <t>1.1.02.07.001.04.03 </t>
  </si>
  <si>
    <t>1.1.02.07.001.04.03.01 </t>
  </si>
  <si>
    <t>1.1.02.07.001.06 </t>
  </si>
  <si>
    <t>Derechos por la explotación Juegos de Suerte y Azar de juegos promocionales. </t>
  </si>
  <si>
    <t>1.1.02.07.001.06.01 </t>
  </si>
  <si>
    <t>1.1.02.07.001.06.02 </t>
  </si>
  <si>
    <t>1.1.02.07.001.06.03 </t>
  </si>
  <si>
    <t>1.1.02.07.001.06.03.01 </t>
  </si>
  <si>
    <t>RECURSOS DE CAPITAL </t>
  </si>
  <si>
    <t>1.2.05 </t>
  </si>
  <si>
    <t>RENDIMIENTOS FINANCIEROS </t>
  </si>
  <si>
    <t>Depósitos </t>
  </si>
  <si>
    <t>SUBCUENTA OTROS GASTOS EN SALUD - FUNCIONAMIENTO  </t>
  </si>
  <si>
    <t>1.2.05.02.01.01 </t>
  </si>
  <si>
    <t>Rendimientos Financieros-Subcuent Otros Gastos en Salud - Funcionamiento  </t>
  </si>
  <si>
    <t>1.2.05.02.02.01 </t>
  </si>
  <si>
    <t>Rendimientos Financieros Subcta Otros Gastos en Salud Inversión  </t>
  </si>
  <si>
    <t>1.2.05.02.02.02 </t>
  </si>
  <si>
    <t>Rendimientos Financieros Subcta Prestacion Servicios Poblacion Pobre no Asegurada  </t>
  </si>
  <si>
    <t>1.2.05.02.02.03 </t>
  </si>
  <si>
    <t>Rendimientos Financieros Subcta Salud Publica Colectiva  </t>
  </si>
  <si>
    <t>TRANSFERENCIA DE CAPITAL </t>
  </si>
  <si>
    <t>1.2.08.04 </t>
  </si>
  <si>
    <t>PREMIOS NO RECLAMADOS </t>
  </si>
  <si>
    <t>1.2.08.04.002 </t>
  </si>
  <si>
    <t>Premios de Loterias </t>
  </si>
  <si>
    <t>1.2.08.04.002.01 </t>
  </si>
  <si>
    <t>SUBCUENTA OTROS GASTOS EN SALUD-INVERSION  </t>
  </si>
  <si>
    <t>1.2.08.04.002.01.01 </t>
  </si>
  <si>
    <t>1.2.08.04.004 </t>
  </si>
  <si>
    <t>Premios de Juegos novedosos </t>
  </si>
  <si>
    <t>1.2.08.04.004.01 </t>
  </si>
  <si>
    <t>SUBCUENTA OTROS GASTOS EN SALUD INVERSION   </t>
  </si>
  <si>
    <t>1.2.08.04.004.01.01 </t>
  </si>
  <si>
    <t>Eje Programatico de Aseguramiento  </t>
  </si>
  <si>
    <t>Ingresos </t>
  </si>
  <si>
    <t>Ingresos Corrientes </t>
  </si>
  <si>
    <t>Ingresos no tributarios </t>
  </si>
  <si>
    <t>1.1.02.06.001.01.01 </t>
  </si>
  <si>
    <t>Prestación de servicio educativo </t>
  </si>
  <si>
    <t>Calidad </t>
  </si>
  <si>
    <t>1.1.02.06.001.01.03.01 </t>
  </si>
  <si>
    <t>Calidad por matrícula oficial </t>
  </si>
  <si>
    <t>Recursos de capital </t>
  </si>
  <si>
    <t>Recursos del balance </t>
  </si>
  <si>
    <t>1.2.10.01 </t>
  </si>
  <si>
    <t>Cancelación reservas </t>
  </si>
  <si>
    <t>Superávit fiscal </t>
  </si>
  <si>
    <t>1.2.10.02.01 </t>
  </si>
  <si>
    <t>1.2.10.02.02 </t>
  </si>
  <si>
    <t>Registro de Programas </t>
  </si>
  <si>
    <t>1.2.13.02 </t>
  </si>
  <si>
    <t>Recursos no apropiados </t>
  </si>
  <si>
    <t>INGRESOS </t>
  </si>
  <si>
    <t>PARTICIPACION POR EL EJERCICIO DE MONOPOLIO DE LICORES Y ALCOHOLES POTABLES - EDUCACION (2% LEY 1816/16) REC BCE </t>
  </si>
  <si>
    <t>PRO-CULTURA-LECTURA DE BIBLIOTECAS LEY 1379/10 REC BCE </t>
  </si>
  <si>
    <t>RENDIMIENTOS CONTRIBUCIóN SOBRE CONTRATO DE OBRA PUBLICA-FONDO ESPECIAL GOBERNADOR  REC BCE </t>
  </si>
  <si>
    <t>REINTEGRO POR INCAPACIDADES LABORALES REC BCE </t>
  </si>
  <si>
    <t>RENDIMIENTOS FINANCIEROS MONOPOLIO LICORES Y ALCOHOLES POTABLES -EDUCACION (14% LEY 1816/16) </t>
  </si>
  <si>
    <t>RENDIMIENTOS FINANCIEROS EXCEDENTES IDESAN REC BCE </t>
  </si>
  <si>
    <t>RENDIMIENTOS FINANCIEROS BOLSA COMUN DE LOS 82 DEL DPTO DE SDER ALIMENTACION ESCOLAR REC BCE </t>
  </si>
  <si>
    <t>RENDIMIENTOS FINANCIEROS ALIMENTACION ESCOLAR LEY 1450/11 (ICBF/MEN) REC BCE </t>
  </si>
  <si>
    <t>APORTE M. ZAPATOCA SGP-AGUA POTABLE Y S BASICO P. 2019000050054, S. ACUERD OCAD DPTAL N° 078/19  C. INT. NO 638/19 NACION R. GOB.2098/19 C ENTRE MIN-VIVIENDA CIUD TERRIT D.SDER -M. ZAPATOC REC BCE </t>
  </si>
  <si>
    <t>CONVENIO 2057-2018 MININTERIOR-FONSECON RADICADO GOBERNACION N° 2120-2018 REC BCE </t>
  </si>
  <si>
    <t>APORTE MINIST VIVIENDA PGN PROY 2019000050054, SEGúN ACUERDO OCAD DTAL N° 078 DE 2019 CONV. I.ADM NO 638/19 NACION RAD GOB N° 2098/19 CEL. ENT MIN.VIVIENDA CIUD.TERRIT.DPTO SDER M. ZAPATOCA REC.BCE </t>
  </si>
  <si>
    <t>ESCISION ESSA REC. BCE </t>
  </si>
  <si>
    <t>ICLD (FONDO DE VIVIENDA) REC.BCE </t>
  </si>
  <si>
    <t>DIVIDENDOS ELECTRIFICADORA ESSA REC BCE </t>
  </si>
  <si>
    <t>DIVIDENDOS INMOBILIARIA CADENALCO TERPEL REC BCE </t>
  </si>
  <si>
    <t>DIVIDENDOS BANCO POPULAR REC.BCE </t>
  </si>
  <si>
    <t>DIVIDENDOS:</t>
  </si>
  <si>
    <t>ALIMENTACION ESCOLAR LEY 1450 DE 2011 (PAE JORNADA UNICA)  </t>
  </si>
  <si>
    <t>ALIMENTACION ESCOLAR LEY 1450 DE 2011 (PAE REGULAR)  </t>
  </si>
  <si>
    <t>BOLSA COMUN DE LOS 82 MUNICIPIOS DEL DPTO DE SDER ALIMENTACION ESCOLAR REC BCE </t>
  </si>
  <si>
    <t>BOLSA COMUN-MUNICIPIOS NO CERTIFICADOS EN EDUCACION </t>
  </si>
  <si>
    <t>SUPERAVIT FISCAL ADICIONADOS Y NO EJECUTADOS ALIMENTACION ESCOLAR LEY 1450/11 (ICBF/MEN) (VIG 2018) REC BCE </t>
  </si>
  <si>
    <t>SUPERAVIT FISCAL ALIMENTACION ESCOLAR LEY 1450/11 (ICBF MEN) (VIG 2019) REC BCE </t>
  </si>
  <si>
    <t>SISTEMA GENERAL DE PARTICIPACION-EDUCACION-RECURSOS DE CALIDAD DOCUMENTO 046-2020 </t>
  </si>
  <si>
    <t>VENTA DE ACTIVOS ELECTRIFICACION LINEA 115 REC BCE </t>
  </si>
  <si>
    <t>SGP CANCELACIONES FED </t>
  </si>
  <si>
    <t>PRO-HOSPITAL-PATRIMONIO AUTONOMO REC BCE </t>
  </si>
  <si>
    <t>AFN - RESOL. MINSOCIAL NO. 1516 DE 2020 - DISCAPACIDAD </t>
  </si>
  <si>
    <t>AFN - RESOL. MINSOCIAL NO. 1762 DE 2020 - MUJERES VICTIMAS DE VIOLENCIA </t>
  </si>
  <si>
    <t>AFN - RESOL. MINSOCIAL NO. 504/20 CONTROL LEPRA </t>
  </si>
  <si>
    <t>AFN - RESOL. MINSOCIAL NO.626 /20 COVID-19  </t>
  </si>
  <si>
    <t>AFN.ETV-VIATICOS-REC. BCE. </t>
  </si>
  <si>
    <t>AFN-ETV-GASTOS GENERALES  REC.BCE. </t>
  </si>
  <si>
    <t>AFN-ETV-SERV. PERS ASOCIAD A LA NOMINA </t>
  </si>
  <si>
    <t>AFN-RESOL. MINSOCIAL  NO.506/20 CONTROL TUBERCULOSIS </t>
  </si>
  <si>
    <t>MARGEN DE COMERCIALIZACION REC.BCE </t>
  </si>
  <si>
    <t>RENTAS CEDIDAS - LICORES (MONOPOLIO) - INVERSION OFERTA </t>
  </si>
  <si>
    <t>RENTAS CEDIDAS- CERVEZA NACIONAL - INVERSION OFERTA </t>
  </si>
  <si>
    <t>RENTAS CEDIDAS- CERVEZA EXTRANJERA - INVERSION OFERTA </t>
  </si>
  <si>
    <t>VENTA DE ACCIONES FONDO GANADERO DE SANTANDER REC BCE </t>
  </si>
  <si>
    <t>VENTA Y DISTRIBUCION SOMETIDOS A FISCALIZACION Y MONOPOLIO REC.BCE. </t>
  </si>
  <si>
    <t>REINTEGRO APORTE 5.5% CONTRATO 0898/2010 REC.BCE </t>
  </si>
  <si>
    <t>CONT ESPEC N° 2200863 DERIVADO DEL CONT. PLAN NACION DNP Y EL DPTO DE SADER. RAD DPTO 1155/2020 </t>
  </si>
  <si>
    <t>1.2.10.02.04.02 </t>
  </si>
  <si>
    <t>Rendimientos Financieros ICLD Rec Bce </t>
  </si>
  <si>
    <t>1.2.10.02.04.02.01 </t>
  </si>
  <si>
    <t>1.2.10.02.04.03 </t>
  </si>
  <si>
    <t>Rendimientos Financieros Contribución Sobre Contratos de Obra Publica Rec.Bce </t>
  </si>
  <si>
    <t>1.2.10.02.04.03.01 </t>
  </si>
  <si>
    <t>Rendimientos Financieros Contribución Sobre Contratos de Obra Publica Ejercito Nacional Rec.Bce </t>
  </si>
  <si>
    <t>1.2.10.02.05 </t>
  </si>
  <si>
    <t>ICLD Rec Bce </t>
  </si>
  <si>
    <t>1.2.10.02.05.01 </t>
  </si>
  <si>
    <t>1.2.10.02.06 </t>
  </si>
  <si>
    <t>Utilidades Empresa Essa Rec Bce </t>
  </si>
  <si>
    <t>1.2.10.02.06.01 </t>
  </si>
  <si>
    <t>1.2.10.02.07 </t>
  </si>
  <si>
    <t>Contribución sobre contratos de Obra Pública Rec Bce </t>
  </si>
  <si>
    <t>1.2.10.02.07.01 </t>
  </si>
  <si>
    <t>Contribución Sobre Contrato de Obra Publica-Unidad Especial Migración Colombia Rec.Bce </t>
  </si>
  <si>
    <t>1.2.10.02.07.02 </t>
  </si>
  <si>
    <t>Contribución Sobre Contrato de Obra Publica - Ejercito Nacional Rec. Bce </t>
  </si>
  <si>
    <t>1.2.10.02.07.03 </t>
  </si>
  <si>
    <t>Contribución Sobre Cto de Obra Publica- Policia Nacional Rec.Bce </t>
  </si>
  <si>
    <t>1.2.10.02.07.04 </t>
  </si>
  <si>
    <t>Contribución Sobre Contrato de Obra Publica -CTI Rec.Bce </t>
  </si>
  <si>
    <t>1.2.10.02.07.05 </t>
  </si>
  <si>
    <t>Contribución Sobre Contrato de Obra Publica - Unidad Nacional De Protección UNP Rec.Bce </t>
  </si>
  <si>
    <t>1.2.10.02.07.06 </t>
  </si>
  <si>
    <t>Contribución Sobre Contratos Obra Publica Fondo de Seguridad Ciudadana Rec Bce </t>
  </si>
  <si>
    <t>1.2.10.02.08 </t>
  </si>
  <si>
    <t>Recursos de Cofinanciación Rec.Bce </t>
  </si>
  <si>
    <t>1.2.10.02.08.001 </t>
  </si>
  <si>
    <t>Convenio Especifico N° 3036318 Ecopetrol Radicado Dpto de Sder N°2273/2020 Rec.Bce </t>
  </si>
  <si>
    <t>RECURSOS DE BALANCE </t>
  </si>
  <si>
    <t>SUPERÁVIT FISCAL </t>
  </si>
  <si>
    <t>SUPERÁVIT FISCAL SALUD </t>
  </si>
  <si>
    <t>1.2.10.02.01.01 </t>
  </si>
  <si>
    <t>Subcuenta Salud Pública Rec. Bce </t>
  </si>
  <si>
    <t>Otros Gastos en Salud-Inversion  14%  Monopolio</t>
  </si>
  <si>
    <t>1.1.02.06.006.01.02 </t>
  </si>
  <si>
    <t>1.1.02.06.006.01.02.01 </t>
  </si>
  <si>
    <t>1.1.02.06.006.01.03 </t>
  </si>
  <si>
    <t>1.1.02.06.006.01.03.01 </t>
  </si>
  <si>
    <t>1.1.02.06.006.01.03.01.01 </t>
  </si>
  <si>
    <t>1.1.02.06.006.01.03.02 </t>
  </si>
  <si>
    <t>Ayudas Financieras de la Nación para Programas de Salud - Otros Gastos en Salud </t>
  </si>
  <si>
    <t>1.1.02.06.006.01.04 </t>
  </si>
  <si>
    <t>1.1.02.06.006.01.04.01 </t>
  </si>
  <si>
    <t>1.2.07.01.001.01 </t>
  </si>
  <si>
    <t>Crédito Interno Banca Comercial 2021 Banco de Occidente </t>
  </si>
  <si>
    <t>1.2.07.01.001.02 </t>
  </si>
  <si>
    <t>Crédito Interno Banca Comercial 2021 Banco Popular S.A </t>
  </si>
  <si>
    <t>1.2.07 </t>
  </si>
  <si>
    <t>Recursos de crédito interno </t>
  </si>
  <si>
    <t>1.2.07.01 </t>
  </si>
  <si>
    <t>Recursos de contratos de empréstitos internos </t>
  </si>
  <si>
    <t>1.2.07.01.001 </t>
  </si>
  <si>
    <t>Banca comercial </t>
  </si>
  <si>
    <t>RECURSOS DE CREDITO INTERNO </t>
  </si>
  <si>
    <t>Banca Comercial </t>
  </si>
  <si>
    <t>1.2.10.02.04.04 </t>
  </si>
  <si>
    <t>Rendimientos Financieros Estampillas </t>
  </si>
  <si>
    <t>1.2.10.02.04.04.01 </t>
  </si>
  <si>
    <t>Rendimientos Financieros Pro Anciano Rec Bce </t>
  </si>
  <si>
    <t>1.2.10.02.04.04.02 </t>
  </si>
  <si>
    <t>Rendimientos Financieros del Gestor Creador Rec Bce </t>
  </si>
  <si>
    <t>1.2.10.02.04.04.03 </t>
  </si>
  <si>
    <t>Rendimientos Financieros Procultura Lectura de Bibliotecas ley 1379/10 Rec Bce </t>
  </si>
  <si>
    <t>1.2.10.02.04.04.04 </t>
  </si>
  <si>
    <t>Rendimientos Financieros Pro Electrificacion Rec Bce </t>
  </si>
  <si>
    <t>1.2.10.02.04.04.05 </t>
  </si>
  <si>
    <t>Rendimientos Pro Reforestacion Rec Bce </t>
  </si>
  <si>
    <t>1.2.10.02.04.04.06 </t>
  </si>
  <si>
    <t>Rendimientos Financieros Pro-Hospital Rec Bce </t>
  </si>
  <si>
    <t>1.2.10.02.04.04.07 </t>
  </si>
  <si>
    <t>Rendimientos Financieros Pro Hospitales Pasivo Pensional Hospitales Universitarios Liquidados Rec Bce </t>
  </si>
  <si>
    <t>1.2.10.02.04.04.08 </t>
  </si>
  <si>
    <t>Rendimientos Financieros Pro Anciano 20% Pasivo Pensional Rec Bce </t>
  </si>
  <si>
    <t>1.2.10.02.04.04.09 </t>
  </si>
  <si>
    <t>Rendimientos Financieros Pro-Hospital 20% Pasivo Pensional Rec Bce </t>
  </si>
  <si>
    <t>1.2.10.02.04.04.10 </t>
  </si>
  <si>
    <t>Rendimientos Financieros Pro-Cultura 20% Pasivo Pensional Rec Bce </t>
  </si>
  <si>
    <t>1.2.10.02.04.04.11 </t>
  </si>
  <si>
    <t>Rendimientos Financieros Pro-Electrificacion 20% Pasivo Pensional Rec Bce </t>
  </si>
  <si>
    <t>1.2.10.02.04.04.12 </t>
  </si>
  <si>
    <t>Rendimientos Financieros Pro Desarrollo 20% Pasivo Pensional Rec Bce </t>
  </si>
  <si>
    <t>1.2.10.02.04.04.13 </t>
  </si>
  <si>
    <t>Rendimientos Financieros Pro-desarrollo - Inversion 25% Infraestruct. Deportiva Rec Bce </t>
  </si>
  <si>
    <t>1.2.10.02.04.04.14 </t>
  </si>
  <si>
    <t>Rendimientos Pro-desarrollo - Inversion 25% Infraestruct. Educativa Rec Bce </t>
  </si>
  <si>
    <t>1.2.10.02.04.04.15 </t>
  </si>
  <si>
    <t>Rendimientos Financieros Pro Reforestacion 20% Pasivo Pensional Rec Bce </t>
  </si>
  <si>
    <t>1.2.10.02.04.04.16 </t>
  </si>
  <si>
    <t>Rendimientos Financieros Pro Uis (Unipaz ) 20% Pasivo Pensional </t>
  </si>
  <si>
    <t>Rendimientos Financieros Pro-Cultura Inversion Rec Bce </t>
  </si>
  <si>
    <t>1.2.10.02.04.04.17 </t>
  </si>
  <si>
    <t>Rendimientos Financieros Pro Uis (Unidades Tecnologicas de Santander) 20% Pasivo Pensional Rec Bce </t>
  </si>
  <si>
    <t>1.2.10.02.04.05 </t>
  </si>
  <si>
    <t>Rendimientos Financieros Contribucion Valorizacion Rec Bce </t>
  </si>
  <si>
    <t>1.2.10.02.04.06 </t>
  </si>
  <si>
    <t>Rendimientos Financieros Escision Essa Rec Bce </t>
  </si>
  <si>
    <t>1.2.10.02.04.07 </t>
  </si>
  <si>
    <t>Rendimientos Financeros Acreencias Hospitales Liquidados Rec Bce </t>
  </si>
  <si>
    <t>1.2.10.02.04.08 </t>
  </si>
  <si>
    <t>Rendimientos Financieros de Excedentes Aportes Patronales Hospitales Liquidados Rec Bce </t>
  </si>
  <si>
    <t>1.2.10.02.04.09 </t>
  </si>
  <si>
    <t>Rendimientos Hospitales Liquidados Rec Bce </t>
  </si>
  <si>
    <t>1.2.10.02.04.10 </t>
  </si>
  <si>
    <t>Rendimientos Financieros Excedentes IDESAN Rec Bce </t>
  </si>
  <si>
    <t>1.2.10.02.04.11 </t>
  </si>
  <si>
    <t>Rendimientos Financieros Cuotas Partes Pensionales Rec Bce </t>
  </si>
  <si>
    <t>1.2.10.02.04.12 </t>
  </si>
  <si>
    <t>Rendimientos Financieros Valorizacion De Activos Empresa Essa (Compra De Actvos Electricos) Rec Bce </t>
  </si>
  <si>
    <t>1.2.10.02.04.13 </t>
  </si>
  <si>
    <t>Rendimientos Financieros Utilidades Empresa Essa Rec Bce </t>
  </si>
  <si>
    <t>1.2.10.02.04.15 </t>
  </si>
  <si>
    <t>Rendimientos Financieros Dividendos Rec Bce </t>
  </si>
  <si>
    <t>1.2.10.02.04.17 </t>
  </si>
  <si>
    <t>Rendimientos Financieros Remates (Venta De Terrenos) Rec Bce  </t>
  </si>
  <si>
    <t>1.2.10.02.04.19 </t>
  </si>
  <si>
    <t>Rendimientos Financieros Cesantias Fed Rec Bce </t>
  </si>
  <si>
    <t>1.2.10.02.04.20 </t>
  </si>
  <si>
    <t>Rendimientos Financieros Sgp Agua Potable y Saneamiento Basico Rec Bce </t>
  </si>
  <si>
    <t>1.2.10.02.04.21 </t>
  </si>
  <si>
    <t>Rendimientos Financieros Credito Interno Banca Comercial Rec Bce </t>
  </si>
  <si>
    <t>1.2.10.02.04.22 </t>
  </si>
  <si>
    <t>Rendimientos Financieros Fondo Tabacalero Rec Bce </t>
  </si>
  <si>
    <t>1.2.10.02.04.23 </t>
  </si>
  <si>
    <t>Rendimientos Financieros Fonpet 10% Rec Bce </t>
  </si>
  <si>
    <t>1.2.10.02.04.24 </t>
  </si>
  <si>
    <t>Rendimientos Financierosn Fondo de Paz Rec Bce </t>
  </si>
  <si>
    <t>1.2.10.02.04.25 </t>
  </si>
  <si>
    <t>Rendimientos Financieros Patrimonio Autonomo Rec Bce </t>
  </si>
  <si>
    <t>1.2.10.02.04.26 </t>
  </si>
  <si>
    <t>Rendimientos Financieros Areas de Interes Ambiental Rec Bce </t>
  </si>
  <si>
    <t>1.2.10.02.04.27 </t>
  </si>
  <si>
    <t>Rendimientos Financieros Fondo de Contingencia Rec Bce </t>
  </si>
  <si>
    <t>1.2.10.02.04.28 </t>
  </si>
  <si>
    <t>Rendimientos Financieros Equidad y Genero Rec Bce </t>
  </si>
  <si>
    <t>1.2.10.02.04.29 </t>
  </si>
  <si>
    <t>Rendimientos Financieros Fondo de Vivienda Rec Bce </t>
  </si>
  <si>
    <t>1.2.10.02.04.30 </t>
  </si>
  <si>
    <t>Rendimientos Financieros Cesantias Con Retroactividad Rec Bce </t>
  </si>
  <si>
    <t>1.2.10.02.04.31 </t>
  </si>
  <si>
    <t>Rendimientos Financieros Derechos de Explotacion Licores Destilados 2% Rec Bce </t>
  </si>
  <si>
    <t>1.2.10.02.04.32 </t>
  </si>
  <si>
    <t>Rendimientos Financieros Monopolio 14% ( Ley 1816/2016) Educacion Rec Bce </t>
  </si>
  <si>
    <t>1.2.10.02.04.33 </t>
  </si>
  <si>
    <t>Rendimientos Financieros Regalias Petroliferas Antiguas Rec Bce </t>
  </si>
  <si>
    <t>1.2.10.02.07.07 </t>
  </si>
  <si>
    <t>Contribución Sobre Contratos Obra Publica Rec Bce </t>
  </si>
  <si>
    <t>1.2.10.02.08.002 </t>
  </si>
  <si>
    <t>Convenio No 3044/2015 Prosperidad Social-Fondo Deinversion Para La Paz DPS FIP Cont Esp Deriv Cont Plan Nacion Dpto Sder 2013 -2018 Dpto Sder No 962/16 Rec Bce </t>
  </si>
  <si>
    <t>1.2.10.02.08.003 </t>
  </si>
  <si>
    <t>Contrato No 34 Especifico Derivado del Cto Plan-Radicado Gob 1294 del 29 De Junio/2017 Rec Bce </t>
  </si>
  <si>
    <t>1.2.10.02.08.004 </t>
  </si>
  <si>
    <t>Convenio Interadministrativo No 1384 Del 13 De Julio/2017 Municipio de Landazuri Rec Bce </t>
  </si>
  <si>
    <t>1.2.10.02.08.005 </t>
  </si>
  <si>
    <t>Adicional 2 Convenio Invias Contrato Plan No 2963/2013 Rad. Gobernación No 4859/2013 (Enajenación De ISAGEN) Via Socorro-Paramo Dpto Sder Rec Bce </t>
  </si>
  <si>
    <t>1.2.10.02.08.006 </t>
  </si>
  <si>
    <t>Adicional 2 Convenio Invias Contrato Plan No 2963/2013 Rad. Gobernación No 4859/2013 (Enajenación De ISAGEN) Via Contratación-Guadalupe Dpto Sder Rec Bce </t>
  </si>
  <si>
    <t>1.2.10.02.08.007 </t>
  </si>
  <si>
    <t>Adicional 2 Convenio Invias Contrato Plan No 2963/2013 Rad. Gobernación No 4859/2013 (Enajenación de ISAGEN) Via El Carmen-Yarima Dpto Sder Rec Bce </t>
  </si>
  <si>
    <t>1.2.10.02.08.008 </t>
  </si>
  <si>
    <t>Adicional 2 Convenio Invias Contrato Plan No 2963/2013 Rad. Gobernación No 4859/2013 (Enajenación De ISAGEN) Via Guacamayo-Contratación Dpto Sder Rec Bce </t>
  </si>
  <si>
    <t>1.2.10.02.08.009 </t>
  </si>
  <si>
    <t>Aporte Municipio De Contratación Proyecto 20181301010250, Según Ocad No. 086 De 2019 Rec.Bce </t>
  </si>
  <si>
    <t>1.2.10.02.08.010 </t>
  </si>
  <si>
    <t>Convenio 1-0006-2018 Cormagdalena Radicado Gobernacion N°2122-2018 Rec Bce </t>
  </si>
  <si>
    <t>1.2.10.02.08.011 </t>
  </si>
  <si>
    <t>Aporte Municipio De Sucre Proyecto 2018004680110 , Según Acuerdo N° 090 del 10 de Julio de 2019 Rec Bce </t>
  </si>
  <si>
    <t>1.2.10.02.08.012 </t>
  </si>
  <si>
    <t>Convenio Invias No 1245/17 Radicado Gobernación 2287/17 (Enajenación de ISAGEN ) Municipio de Aguada Rec Bce </t>
  </si>
  <si>
    <t>1.2.10.02.08.013 </t>
  </si>
  <si>
    <t>Convenio Invias No 1245/17 Radicado Gobernación 2287/17 (Enajenación de De ISAGEN) Municipio de Betulia Rec Bce </t>
  </si>
  <si>
    <t>1.2.10.02.08.014 </t>
  </si>
  <si>
    <t>Convenio Invias No 1245/17 Radicado Gobernación 2287/17 (Enajenación de ISAGEN) Municipio de Cimitarra Rec Bce </t>
  </si>
  <si>
    <t>1.2.10.02.08.015 </t>
  </si>
  <si>
    <t>Convenio Invias No 1245/17 Radicado Gobernacion 2287/17 (Enajenación de De ISAGEN) Municipio de Curiti Rec Bce </t>
  </si>
  <si>
    <t>1.2.10.02.08.016 </t>
  </si>
  <si>
    <t>Convenio Invias No 1245/17 Radicado Gobernación 2287/17 (Enajenación de ISAGEN) Municipio de Guaca Rec Bce </t>
  </si>
  <si>
    <t>1.2.10.02.08.017 </t>
  </si>
  <si>
    <t>Convenio Invias No 1245/17 Radicado Gobernación 2287/17 (Enajenacion de ISAGEN) Municipio de Paramo Rec Bce </t>
  </si>
  <si>
    <t>1.2.10.02.08.018 </t>
  </si>
  <si>
    <t>Convenio Invias No 1245/17 Radicado Gobernación 2287/17 (Enajenación de ISAGEN) Municipio de Puente Nacional Rec Bce </t>
  </si>
  <si>
    <t>1.2.10.02.08.019 </t>
  </si>
  <si>
    <t>Convenio Invias No 1245/17 Radicado Gobernación 2287/17 (Enajenación de ISAGEN) Municipio de Zapatoca Rec Bce </t>
  </si>
  <si>
    <t>1.2.10.02.08.020 </t>
  </si>
  <si>
    <t>Convenio Invias No 1245/17 Radicado Gobernacion 2287/17 (Enajenación de ISAGEN Municipio de Pinchote Rec Bce </t>
  </si>
  <si>
    <t>1.2.10.02.08.021 </t>
  </si>
  <si>
    <t>Convenio Invias No 1245/17 Radicado Gobernacion 2287/17 (Enajenacion de ISAGEN) Municipio de Bolivar Rec Bce </t>
  </si>
  <si>
    <t>1.2.10.02.08.022 </t>
  </si>
  <si>
    <t>Convenio Invias No 1245/17 Radicado Gobernacion 2287/17 (Enajenación de ISAGEN) Municipio de Cabrera Rec Bce </t>
  </si>
  <si>
    <t>1.2.10.02.08.023 </t>
  </si>
  <si>
    <t>Convenio Invias No 1245/17 Radicado Gobernación 2287/17 (Enajenación de ISAGEN) Municipio de Guapota Rec Bce </t>
  </si>
  <si>
    <t>1.2.10.02.08.024 </t>
  </si>
  <si>
    <t>Convenio Invias No 1245/17 Radicado Gobernación 2287/17 (Enajenación de ISAGEN) Municipio de Ocamonte Rec Bce </t>
  </si>
  <si>
    <t>1.2.10.02.08.025 </t>
  </si>
  <si>
    <t>Convenio Invias No 1245/17 Radicado Gobernación 2287/17 (Enajenación de ISAGEN) Municipio del Valle de San Jose Rec Bce </t>
  </si>
  <si>
    <t>1.2.10.02.08.026 </t>
  </si>
  <si>
    <t>Convenio Invias No 1245/17 Radicado Gobernación 2287/17 (Enajenación de ISAGEN) Municipio de Palmas del Socorro Rec Bce </t>
  </si>
  <si>
    <t>1.2.10.02.08.027 </t>
  </si>
  <si>
    <t>Convenio No 1112/2017 Municipio de Bucaramanga Rec Bce </t>
  </si>
  <si>
    <t>1.2.10.02.08.028 </t>
  </si>
  <si>
    <t>Convenio No 1112/2017 Municipio de Floridablanca Rec Bce </t>
  </si>
  <si>
    <t>1.2.10.02.08.029 </t>
  </si>
  <si>
    <t>Convenio Nro 3006765 Radicado Gob 1306 del 04 Julio-2017 Aporte Instituto Nacional de Vías "Invias" Rec Bce </t>
  </si>
  <si>
    <t>1.2.10.02.08.030 </t>
  </si>
  <si>
    <t>Convenio 1383/17 Unidad Atención y Rep Int Victimas Radicado Gob No 2292/17 Rec Bce </t>
  </si>
  <si>
    <t>1.2.10.02.08.031 </t>
  </si>
  <si>
    <t>Convenio No 1374/2017 Coldeportes Radicado Gob 2289/17 (Enajenación de (ISAGEN) Rec Bce </t>
  </si>
  <si>
    <t>1.2.10.02.08.032 </t>
  </si>
  <si>
    <t>Contrato Construvias No 368/2014 Rec Bce </t>
  </si>
  <si>
    <t>1.2.10.02.08.033 </t>
  </si>
  <si>
    <t>Convenio 020/11 Philips Morris Colombia y Coltabaco Rec.Bce </t>
  </si>
  <si>
    <t>1.2.10.02.08.034 </t>
  </si>
  <si>
    <t>Convenio 1510/16 Radicado Gob 2060 del 11 De Octubre 2016 Rec Bce </t>
  </si>
  <si>
    <t>1.2.10.02.08.035 </t>
  </si>
  <si>
    <t>Convenio 2095/2012 Ecopetrol S.A 5211731 (Parque Interactivo Centro Oriente Sder Barrancabermeja) Rec Bce  </t>
  </si>
  <si>
    <t>1.2.10.02.08.036 </t>
  </si>
  <si>
    <t>Convenio Interadministrativo No 770 De Julio 25 Del 2018 Celebrado entre el Departamento de Santander y el Instituto Municipal de Cultura y Turismo de Bucaramanga Sder Rec Bce  </t>
  </si>
  <si>
    <t>1.2.10.02.08.037 </t>
  </si>
  <si>
    <t>Convenio No 1363/17 Min-Educación Gob No 2290/17 (Enajenación ISAGEN) Rec Bce  </t>
  </si>
  <si>
    <t>1.2.10.02.08.038 </t>
  </si>
  <si>
    <t>Bolsa Comun-Municipios No Certificados en Educación  Rec Bce </t>
  </si>
  <si>
    <t>1.2.10.02.08.039 </t>
  </si>
  <si>
    <t>Convenio No 1692-2018 Area Metrolpolitana de Bucaramanga AMB Rec Bce  </t>
  </si>
  <si>
    <t>1.2.10.02.08.040 </t>
  </si>
  <si>
    <t>Convenio Interadministrativo No 16 /2017. Fnd Rad Gobernacion 1359 de Julio 11/2017 Rec Bce </t>
  </si>
  <si>
    <t>1.2.10.02.09 </t>
  </si>
  <si>
    <t>DIVIDENDOS </t>
  </si>
  <si>
    <t>1.2.10.02.09.001 </t>
  </si>
  <si>
    <t>Dividendos Terpel Rec.Bce  </t>
  </si>
  <si>
    <t>1.2.10.02.09.002 </t>
  </si>
  <si>
    <t>Dividendos Ingenio Risaralda Rec Bce  </t>
  </si>
  <si>
    <t>1.2.10.02.09.003 </t>
  </si>
  <si>
    <t>Dividendos Banco Bbva Rec Bce  </t>
  </si>
  <si>
    <t>1.2.10.02.09.004 </t>
  </si>
  <si>
    <t>Dividendos Inmobiliaria Cadenalco Rec.Bce  </t>
  </si>
  <si>
    <t>1.2.10.02.09.005 </t>
  </si>
  <si>
    <t>Dividendos Banco Davivienda Rec Bce  </t>
  </si>
  <si>
    <t>1.2.10.02.10 </t>
  </si>
  <si>
    <t>Estampillas Rec Bce </t>
  </si>
  <si>
    <t>1.2.10.02.10.01 </t>
  </si>
  <si>
    <t>Estampilla para el bienestar del adulto mayor Rec Bce </t>
  </si>
  <si>
    <t>1.2.10.02.10.01.01 </t>
  </si>
  <si>
    <t>Para el Bienestar del Adulto Mayor  Rec Bce </t>
  </si>
  <si>
    <t>1.2.10.02.10.02 </t>
  </si>
  <si>
    <t>Estampilla pro desarrollo departamental Rec Bce </t>
  </si>
  <si>
    <t>1.2.10.02.10.02.01 </t>
  </si>
  <si>
    <t>Pro-desarrollo - Inversion 25% Infraestruct. Deportiva Rec Bce </t>
  </si>
  <si>
    <t>1.2.10.02.10.02.03 </t>
  </si>
  <si>
    <t>Pro-desarrollo - Inversion 25% Infraestruct. Educativa Rec Bce </t>
  </si>
  <si>
    <t>1.2.10.02.10.02.04 </t>
  </si>
  <si>
    <t>Pro-desarrollo - PENSIONES 20% Rec Bce </t>
  </si>
  <si>
    <t>1.2.10.02.10.03 </t>
  </si>
  <si>
    <t>Pro-Electrificacion Rural Rec Bce </t>
  </si>
  <si>
    <t>1.2.10.02.10.03.01 </t>
  </si>
  <si>
    <t>Pro-Electrificacion - Inversion Rec Bce </t>
  </si>
  <si>
    <t>1.2.10.02.10.03.02 </t>
  </si>
  <si>
    <t>Pro Electrificacion - PENSIONES 20% Rec Bce </t>
  </si>
  <si>
    <t>1.2.10.02.10.04 </t>
  </si>
  <si>
    <t>Estampilla pro Universidad Industrial de Santander Rec Bce </t>
  </si>
  <si>
    <t>1.2.10.02.10.04.01 </t>
  </si>
  <si>
    <t>PRO-UIS - Educacion 75% uis Rec Bce </t>
  </si>
  <si>
    <t>1.2.10.02.10.04.02 </t>
  </si>
  <si>
    <t>PRO-UIS - Educacion 15% uts Rec Bce </t>
  </si>
  <si>
    <t>1.2.10.02.10.04.03 </t>
  </si>
  <si>
    <t>PRO-UIS - Educacion 10% unipaz Rec Bce </t>
  </si>
  <si>
    <t>1.2.10.02.10.04.04 </t>
  </si>
  <si>
    <t>PRO-UIS - PENSIONES 20% (15% uts) Rec Bce </t>
  </si>
  <si>
    <t>1.2.10.02.10.04.05 </t>
  </si>
  <si>
    <t>PRO-UIS - PENSIONES 20% (10% unipaz) Rec Bce </t>
  </si>
  <si>
    <t>1.2.10.02.10.05 </t>
  </si>
  <si>
    <t>Estampillas pro hospitales universitarios Rec Bce </t>
  </si>
  <si>
    <t>1.2.10.02.10.05.01 </t>
  </si>
  <si>
    <t>Pro-Hospital - Universitario de Santander Rec Bce </t>
  </si>
  <si>
    <t>1.2.10.02.10.05.02 </t>
  </si>
  <si>
    <t>Pro-Hospital - Pasivo Pensional Hospitales Universitarios Liquidados Rec Bce </t>
  </si>
  <si>
    <t>1.2.10.02.10.05.03 </t>
  </si>
  <si>
    <t>Pro-Hospital - Patrimonio Autonomo Rec Bce </t>
  </si>
  <si>
    <t>1.2.10.02.10.05.04 </t>
  </si>
  <si>
    <t>Pro-Hospital- PENSIONES 20% Rec Bce </t>
  </si>
  <si>
    <t>1.2.10.02.10.06 </t>
  </si>
  <si>
    <t>Pro-cultura Rec Bce </t>
  </si>
  <si>
    <t>1.2.10.02.10.06.01 </t>
  </si>
  <si>
    <t>Pro-Cultura - Inversion Rec Bce </t>
  </si>
  <si>
    <t>1.2.10.02.10.06.02 </t>
  </si>
  <si>
    <t>Pro-cultura - PENSIONES 20% Rec Bce </t>
  </si>
  <si>
    <t>1.2.10.02.10.06.03 </t>
  </si>
  <si>
    <t>Pro-Cultura - Seguridad Social del creador y gestor Rec Bce </t>
  </si>
  <si>
    <t>1.2.10.02.10.06.04 </t>
  </si>
  <si>
    <t>Pro-Cultura - Lectura de Bibliotecas ley 1379/10 Rec Bce </t>
  </si>
  <si>
    <t>1.2.10.02.10.07 </t>
  </si>
  <si>
    <t>Pro-Anciano  Rec Bce </t>
  </si>
  <si>
    <t>1.2.10.02.10.07.01 </t>
  </si>
  <si>
    <t>1.2.10.02.10.07.02 </t>
  </si>
  <si>
    <t>Pro-Anciano PENSIONES 20% Rec Bce </t>
  </si>
  <si>
    <t>1.2.10.02.10.08 </t>
  </si>
  <si>
    <t>Pro-Reforestación  Rec Bce </t>
  </si>
  <si>
    <t>1.2.10.02.10.08.01 </t>
  </si>
  <si>
    <t>1.2.10.02.10.08.02 </t>
  </si>
  <si>
    <t>Pro-Reforestación  PENSIONES 20% Rec Bce </t>
  </si>
  <si>
    <t>1.2.10.02.11 </t>
  </si>
  <si>
    <t>Escision Essa Rec Bce </t>
  </si>
  <si>
    <t>1.2.10.02.11.01 </t>
  </si>
  <si>
    <t>1.2.10.02.12 </t>
  </si>
  <si>
    <t>Fondo Tabacalero Rec Bce </t>
  </si>
  <si>
    <t>1.2.10.02.12.01 </t>
  </si>
  <si>
    <t>1.2.10.02.13 </t>
  </si>
  <si>
    <t>Fondo de Paz Rec Bce </t>
  </si>
  <si>
    <t>1.2.10.02.13.01 </t>
  </si>
  <si>
    <t>1.2.10.02.14 </t>
  </si>
  <si>
    <t>Fondo de Contingencia Rec Bce </t>
  </si>
  <si>
    <t>1.2.10.02.14.01 </t>
  </si>
  <si>
    <t>1.2.10.02.15 </t>
  </si>
  <si>
    <t>Fondo de Vivienda Rec Bce </t>
  </si>
  <si>
    <t>1.2.10.02.15.01 </t>
  </si>
  <si>
    <t>1.2.10.02.16 </t>
  </si>
  <si>
    <t>Fondo de Rentas Rec Bce </t>
  </si>
  <si>
    <t>1.2.10.02.16.01 </t>
  </si>
  <si>
    <t>1.2.10.02.17 </t>
  </si>
  <si>
    <t>FONPET 10% Rec Bce </t>
  </si>
  <si>
    <t>1.2.10.02.17.01 </t>
  </si>
  <si>
    <t>1.2.10.02.18 </t>
  </si>
  <si>
    <t>FONPET 20% Rec Bce </t>
  </si>
  <si>
    <t>1.2.10.02.18.01 </t>
  </si>
  <si>
    <t>1.2.10.02.19 </t>
  </si>
  <si>
    <t>10% Registro y Anotación Ley 1450-11 Art 25, Ley 1753-15 Art 147 (Cuotas Partes Pensionales) </t>
  </si>
  <si>
    <t>1.2.10.02.19.01 </t>
  </si>
  <si>
    <t>10% Registro y Anotación Ley 1450-11 Art 25, Ley 1753-15 Art 147 (Cuotas Partes Pensionales) Rec Bce </t>
  </si>
  <si>
    <t>1.2.10.02.20 </t>
  </si>
  <si>
    <t>Equidad de Genero 2% I.C.L.D. ORDENANZA No 28/2010 Rec Bce </t>
  </si>
  <si>
    <t>1.2.10.02.20.01 </t>
  </si>
  <si>
    <t>1.2.10.02.21 </t>
  </si>
  <si>
    <t>ICLD UNIPAZ Rec Bce </t>
  </si>
  <si>
    <t>1.2.10.02.21.01 </t>
  </si>
  <si>
    <t>1.2.10.02.22 </t>
  </si>
  <si>
    <t>ICLD UTS Rec Bce </t>
  </si>
  <si>
    <t>1.2.10.02.22.01 </t>
  </si>
  <si>
    <t>1.2.10.02.23 </t>
  </si>
  <si>
    <t>ICLD Apoyo a Educación Rec Bce </t>
  </si>
  <si>
    <t>1.2.10.02.23.01 </t>
  </si>
  <si>
    <t>1.2.10.02.25 </t>
  </si>
  <si>
    <t>ICLD. UIS Rec Bce </t>
  </si>
  <si>
    <t>1.2.10.02.25.01 </t>
  </si>
  <si>
    <t>1.2.10.02.26 </t>
  </si>
  <si>
    <t>ICLD Cesantias con Retroactividad Rec Bce </t>
  </si>
  <si>
    <t>1.2.10.02.26.01 </t>
  </si>
  <si>
    <t>1.2.10.02.27 </t>
  </si>
  <si>
    <t>Incapacidades Laborales Rec Bce </t>
  </si>
  <si>
    <t>1.2.10.02.27.01 </t>
  </si>
  <si>
    <t>1.2.10.02.28 </t>
  </si>
  <si>
    <t>Participación por el Ejercicio de Monopolio de Licores Y Alcoholes Potables-Educación (2% Ley 1816/16) Rec Bce </t>
  </si>
  <si>
    <t>1.2.10.02.28.01 </t>
  </si>
  <si>
    <t>1.2.10.02.29 </t>
  </si>
  <si>
    <t>Tasa de Pro-Deporte y Recreacion Rec Bce </t>
  </si>
  <si>
    <t>1.2.10.02.29.01 </t>
  </si>
  <si>
    <t>1.2.10.02.30 </t>
  </si>
  <si>
    <t>Contribucion Valorizacion Rec Bce </t>
  </si>
  <si>
    <t>1.2.10.02.30.01 </t>
  </si>
  <si>
    <t>1.2.10.02.31 </t>
  </si>
  <si>
    <t>Acreencias de Hospitales Liquidados Rec Bce </t>
  </si>
  <si>
    <t>1.2.10.02.31.01 </t>
  </si>
  <si>
    <t>1.2.10.02.32 </t>
  </si>
  <si>
    <t>Cuotas Partes Pensionales Rec Bce </t>
  </si>
  <si>
    <t>1.2.10.02.32.01 </t>
  </si>
  <si>
    <t>1.2.10.02.33 </t>
  </si>
  <si>
    <t>Excedentes Idesan Rec Bce </t>
  </si>
  <si>
    <t>1.2.10.02.33.01 </t>
  </si>
  <si>
    <t>1.2.10.02.34 </t>
  </si>
  <si>
    <t>Valorización de Activos Empresa Essa Rec. Bce </t>
  </si>
  <si>
    <t>1.2.10.02.34.01 </t>
  </si>
  <si>
    <t>1.2.10.02.35 </t>
  </si>
  <si>
    <t>Margen de Comercialización Rec Bce </t>
  </si>
  <si>
    <t>1.2.10.02.35.01 </t>
  </si>
  <si>
    <t>1.2.10.02.36 </t>
  </si>
  <si>
    <t>IVA Telefonía Movil- Resolución N° 633 Del 21 De Abril De 2020 Rec Bce </t>
  </si>
  <si>
    <t>1.2.10.02.36.01 </t>
  </si>
  <si>
    <t>1.2.10.02.37 </t>
  </si>
  <si>
    <t>Venta de acciones Fondo Ganadero de Santander Rec Bce </t>
  </si>
  <si>
    <t>1.2.10.02.37.01 </t>
  </si>
  <si>
    <t>1.2.10.02.38 </t>
  </si>
  <si>
    <t>Remates (Venta de Terrenos) Rec Bce </t>
  </si>
  <si>
    <t>1.2.10.02.38.01 </t>
  </si>
  <si>
    <t>1.2.10.02.39 </t>
  </si>
  <si>
    <t>FED-Cesantias Rec Bce </t>
  </si>
  <si>
    <t>1.2.10.02.39.01 </t>
  </si>
  <si>
    <t>1.2.10.02.40 </t>
  </si>
  <si>
    <t>SGP Agua Potables y Saneamiento Basico Rec Bce </t>
  </si>
  <si>
    <t>1.2.10.02.40.01 </t>
  </si>
  <si>
    <t>1.2.10.02.41 </t>
  </si>
  <si>
    <t>Credito Interno Findeter Vias Rec.Bce  </t>
  </si>
  <si>
    <t>1.2.10.02.41.01 </t>
  </si>
  <si>
    <t>1.2.10.02.42 </t>
  </si>
  <si>
    <t>1.2.10.02.42.01 </t>
  </si>
  <si>
    <t>Credito Interno Banca Comercial Rec Bce </t>
  </si>
  <si>
    <t>1.2.10.02.43 </t>
  </si>
  <si>
    <t>Reintegros Rec Bce </t>
  </si>
  <si>
    <t>1.2.10.02.43.01 </t>
  </si>
  <si>
    <t>Reintegros Estampillas Rec Bce </t>
  </si>
  <si>
    <t>1.2.10.02.43.01.01 </t>
  </si>
  <si>
    <t>Reintegros Pro-Cultura - Inversion Rec Bce </t>
  </si>
  <si>
    <t>1.2.10.02.43.02 </t>
  </si>
  <si>
    <t>Reintegros Regalias Petroliferas Rec Bce </t>
  </si>
  <si>
    <t>1.2.10.02.43.02.01 </t>
  </si>
  <si>
    <t>1.2.10.02.44 </t>
  </si>
  <si>
    <t>Reintegros Rendimientos Rec Bce </t>
  </si>
  <si>
    <t>1.2.10.02.44.01 </t>
  </si>
  <si>
    <t>Reintegros Rendimientos Regalias Petroliferas Rec Bce </t>
  </si>
  <si>
    <t>1.2.10.02.44.01.01 </t>
  </si>
  <si>
    <t>1.2.10.02.45 </t>
  </si>
  <si>
    <t>Recursos sin Situacion de Fondos Rec Bce </t>
  </si>
  <si>
    <t>1.2.10.02.45.01 </t>
  </si>
  <si>
    <t>Transferencias para Municipios 20% Impuesto Sobre Vehículos Automotores (Sin Situación De Fondos ) Rec. Bce. </t>
  </si>
  <si>
    <t>1.2.10.02.45.02 </t>
  </si>
  <si>
    <t>Sobretasa a la Gasolina 5% Sin Situación De Fondos Rec. Bce. </t>
  </si>
  <si>
    <t>1.2.15 </t>
  </si>
  <si>
    <t>Capitalizaciones </t>
  </si>
  <si>
    <t>1.2.15.01 </t>
  </si>
  <si>
    <t>Aportes de Capital </t>
  </si>
  <si>
    <t>1.2.15.01.004 </t>
  </si>
  <si>
    <t>De municipios </t>
  </si>
  <si>
    <t>1.2.15.01.004.01 </t>
  </si>
  <si>
    <t>Convenio Interadministrativo Nro 2446 del-2020 celebrado entre el Dpto de Santander y los Municipios de Bucaramanga, Floridablanca, Barrancabermeja y San Gil </t>
  </si>
  <si>
    <t>1.2.15.01.004.01.001 </t>
  </si>
  <si>
    <t>Convenio Interadministrativo Nro 2446 del-2020-Municipio de Bucaramanga </t>
  </si>
  <si>
    <t>1.2.15.01.004.01.002 </t>
  </si>
  <si>
    <t>Convenio Interadministrativo Nro 2446 del - 2020-Municipio de Floridablanca </t>
  </si>
  <si>
    <t>1.2.15.01.004.01.003 </t>
  </si>
  <si>
    <t>Convenio Interadministrativo Nro 2446 del -2020-Municipio de Barrancabermeja </t>
  </si>
  <si>
    <t>1.2.15.01.004.01.004 </t>
  </si>
  <si>
    <t>1.2.15.01.004.02 </t>
  </si>
  <si>
    <t>Convenio Interadministrativo Nro 2451 del- 2020 Departamento de Santander- y los Municipios de Bucaramanga, Floridablanca,Piedecuesta,Girón y Barrancabermeja </t>
  </si>
  <si>
    <t>1.2.15.01.004.02.001 </t>
  </si>
  <si>
    <t>Convenio Interadministrativo Nro 2451 del-2020-Municipio de Bucaramanga </t>
  </si>
  <si>
    <t>1.2.15.01.004.02.002 </t>
  </si>
  <si>
    <t>Convenio Interadministrativo Nro 2451 del-2020-Municipio de Floridablanca </t>
  </si>
  <si>
    <t>1.2.15.01.004.02.003 </t>
  </si>
  <si>
    <t>Convenio Interadministrativo Nro 2451 del-2020-Municipio de Piedecuesta </t>
  </si>
  <si>
    <t>1.2.15.01.004.02.004 </t>
  </si>
  <si>
    <t>Convenio Interadministrativo Nro 2451 del-2020-Municipio de Girón </t>
  </si>
  <si>
    <t>1.2.15.01.004.02.005 </t>
  </si>
  <si>
    <t>Convenio Interadministrativo Nro 2451 del-2020-Municipio de Barrancabermeja </t>
  </si>
  <si>
    <t>T </t>
  </si>
  <si>
    <t>TOTAL INGRESOS </t>
  </si>
  <si>
    <t>TI </t>
  </si>
  <si>
    <t>TI.B.6 </t>
  </si>
  <si>
    <t>RECURSOS DEL BALANCE  </t>
  </si>
  <si>
    <t>TI.B.6.2 </t>
  </si>
  <si>
    <t>SUPERAVIT FISCAL  </t>
  </si>
  <si>
    <t>TI.B.6.2.1 </t>
  </si>
  <si>
    <t>SUPERAVIT FISCAL DE LA VIGENCIA ANTERIOR  </t>
  </si>
  <si>
    <t>TI.B.6.2.1.1 </t>
  </si>
  <si>
    <t>Recursos de libre destinación  </t>
  </si>
  <si>
    <t>TI.B.6.2.1.1.2 </t>
  </si>
  <si>
    <t>Ingresos corrientes de libre destinación diferentes a la participación de libre destinación Propósito General  </t>
  </si>
  <si>
    <t>TI.B.6.2.1.1.2.01 </t>
  </si>
  <si>
    <t>I.C.L.D. REC.BCE  </t>
  </si>
  <si>
    <t>TI.B.6.2.1.1.2.02 </t>
  </si>
  <si>
    <t>Rendimientos I.C.L.D. Rec.Bce   </t>
  </si>
  <si>
    <t>TI.B.6.2.1.1.2.03 </t>
  </si>
  <si>
    <t>Reintegros I.C.L.D. Rec.Bce   </t>
  </si>
  <si>
    <t>TI.B.6.2.1.10 </t>
  </si>
  <si>
    <t>CREDITO INTERNO BANCA COMERCIAL REC BCE    </t>
  </si>
  <si>
    <t>TI.B.6.2.1.10.01 </t>
  </si>
  <si>
    <t>Crédito Interno - Banca Comercial Privada Rec Bce   </t>
  </si>
  <si>
    <t>TI.B.6.2.1.11 </t>
  </si>
  <si>
    <t>FONDO DE PAZ REC BCE </t>
  </si>
  <si>
    <t>TI.B.6.2.1.11.01 </t>
  </si>
  <si>
    <t>Fonde de Paz Rec Bce </t>
  </si>
  <si>
    <t>TI.B.6.2.1.12 </t>
  </si>
  <si>
    <t>MONOPOLIO LICORES DEST ESPEC 51% ERC BCE   </t>
  </si>
  <si>
    <t>TI.B.6.2.1.12.01 </t>
  </si>
  <si>
    <t>Monopolio de Licores 51% Rec.Bce. </t>
  </si>
  <si>
    <t>TI.B.6.2.1.13 </t>
  </si>
  <si>
    <t>Participación por el ejercicio del monopolio de licores y alcoholes potables -Educación (14% LEY 1816/16) Rec Bce  </t>
  </si>
  <si>
    <t>TI.B.6.2.1.13.01 </t>
  </si>
  <si>
    <t>TI.B.6.2.1.14 </t>
  </si>
  <si>
    <t>FONDO TABACALERO Rec Bce </t>
  </si>
  <si>
    <t>TI.B.6.2.1.14.01 </t>
  </si>
  <si>
    <t>TI.B.6.2.1.2 </t>
  </si>
  <si>
    <t>10% REGISTRO Y ANOTACION LEY 1450-11 ART 25 LEY 1753-15 ART 147 REC BCE  </t>
  </si>
  <si>
    <t>TI.B.6.2.1.2.01 </t>
  </si>
  <si>
    <t>10% Registro y Anotación Ley 1450-11 Art 25 Ley 1753-15 Art 147 Rec Bce  </t>
  </si>
  <si>
    <t>TI.B.6.2.1.3 </t>
  </si>
  <si>
    <t>MONOPOLIO 14% LEY 1816/2016 -EDUCACION REC BCE. </t>
  </si>
  <si>
    <t>TI.B.6.2.1.3.01 </t>
  </si>
  <si>
    <t>Monopolio 14% Ley 1816/2016 -Educacion Rec Bce. </t>
  </si>
  <si>
    <t>TI.B.6.2.1.4 </t>
  </si>
  <si>
    <t>S.G.P AGUA POTABLE Y SANEAMIENTO BASICO REC BCE  </t>
  </si>
  <si>
    <t>TI.B.6.2.1.4.01 </t>
  </si>
  <si>
    <t>S.G.P Agua Potable Y Saneamiento Basico Rec. Bce  </t>
  </si>
  <si>
    <t>TI.B.6.2.1.5 </t>
  </si>
  <si>
    <t>ESTAMPILLAS    </t>
  </si>
  <si>
    <t>TI.B.6.2.1.5.01 </t>
  </si>
  <si>
    <t>PRO -DESARROLLO REC. BCE   </t>
  </si>
  <si>
    <t>TI.B.6.2.1.5.01.01 </t>
  </si>
  <si>
    <t>Pro-Desarrollo Inversion 25% Inf. Deportiva Rec. Bce  </t>
  </si>
  <si>
    <t>TI.B.6.2.1.5.01.02 </t>
  </si>
  <si>
    <t>Pro-Desarrollo Inversión 50% Saneamiento Básico Rec. Bce   </t>
  </si>
  <si>
    <t>TI.B.6.2.1.5.02 </t>
  </si>
  <si>
    <t>PRO-ELECTRIFICACIÓN RURAL REC BCE   </t>
  </si>
  <si>
    <t>TI.B.6.2.1.5.02.01 </t>
  </si>
  <si>
    <t>Pro-Electrificación Rural Rec Bce    </t>
  </si>
  <si>
    <t>TI.B.6.2.1.5.03 </t>
  </si>
  <si>
    <t>Pro-Reforestación Rec Bce    </t>
  </si>
  <si>
    <t>TI.B.6.2.1.5.03.01 </t>
  </si>
  <si>
    <t>Pro-reforestación - Rec Bce    </t>
  </si>
  <si>
    <t>TI.B.6.2.1.6 </t>
  </si>
  <si>
    <t>CONTRIBUCION SOBRE CONTRATO DE OBRA PUBLICA    </t>
  </si>
  <si>
    <t>TI.B.6.2.1.6.01 </t>
  </si>
  <si>
    <t>Contribución Sobre Contrato de Obra Pública - Ejercito Nacional Rec.Bce  </t>
  </si>
  <si>
    <t>TI.B.6.2.1.6.02 </t>
  </si>
  <si>
    <t>Contribución Sobre Contrato de Obra Pública - Unidad Especial Migración Colombia Rec Bce  </t>
  </si>
  <si>
    <t>TI.B.6.2.1.6.03 </t>
  </si>
  <si>
    <t>Contribución Sobre Cto de Obra Pública Policía Nacional Rec.Bce  </t>
  </si>
  <si>
    <t>TI.B.6.2.1.6.04 </t>
  </si>
  <si>
    <t>Contribución Sobre Contratos Obra Publica Fondo de Seguridad Ciudadana  Rec Bce </t>
  </si>
  <si>
    <t>TI.B.6.2.1.7 </t>
  </si>
  <si>
    <t>RENDIMIENTOS  </t>
  </si>
  <si>
    <t>TI.B.6.2.1.7.01 </t>
  </si>
  <si>
    <t>TI.B.6.2.1.7.01.01 </t>
  </si>
  <si>
    <t>Rendimientos Prodesarrollo 50% Saneamiento Basico Rec.Bce </t>
  </si>
  <si>
    <t>TI.B.6.2.1.7.02 </t>
  </si>
  <si>
    <t>Rendimientos Financieros Pro Reforestación Rec Bce   </t>
  </si>
  <si>
    <t>TI.B.6.2.1.7.02.01 </t>
  </si>
  <si>
    <t>TI.B.6.2.1.7.03 </t>
  </si>
  <si>
    <t>RENDIMIENTOS UTILIDADES EMPRESA ESSA REC BCE  </t>
  </si>
  <si>
    <t>TI.B.6.2.1.7.03.01 </t>
  </si>
  <si>
    <t>Rendimientos Utilidades Empresa ESSA Rec Bce  </t>
  </si>
  <si>
    <t>TI.B.6.2.1.7.04 </t>
  </si>
  <si>
    <t>RENDIMIENTOS FINANCIEROS CREDITO INTERNO BANCA COMERCIAL REC BCE     </t>
  </si>
  <si>
    <t>TI.B.6.2.1.7.04.01 </t>
  </si>
  <si>
    <t>Rendimientos Financieros Crédito Interno - Banca Comercial Rec Bce    </t>
  </si>
  <si>
    <t>TI.B.6.2.1.7.05 </t>
  </si>
  <si>
    <t>RENDIMIENTOS ACPM REC BCE     </t>
  </si>
  <si>
    <t>TI.B.6.2.1.7.05.01 </t>
  </si>
  <si>
    <t>Rendimientos ACPM Rec Bce </t>
  </si>
  <si>
    <t>TI.B.6.2.1.8 </t>
  </si>
  <si>
    <t>UTILIDADES EMPRESA ESSA REC BCE    </t>
  </si>
  <si>
    <t>TI.B.6.2.1.8.01 </t>
  </si>
  <si>
    <t>utilidades Empresa ESSA Rec Bce    </t>
  </si>
  <si>
    <t>TI.B.6.2.1.9 </t>
  </si>
  <si>
    <t>RECURSOS DE COFINANCIACION    </t>
  </si>
  <si>
    <t>TI.B.6.2.1.9.001 </t>
  </si>
  <si>
    <t>Adicional 2 Convenio Invias Contrato Plan No 2963/2013 Rad. Gobernación No 4859/2013 (Enajenación De Isagen ) Via Zapatoca Giron Dpto Sder Rec Bce </t>
  </si>
  <si>
    <t>TI.B.6.2.1.9.002 </t>
  </si>
  <si>
    <t>Adicional 2 Convenio Invias Contrato Plan No 2963/2013 Rad. Gobernación No 4859/2013 (Enajenación De Isagen) Via Contratación-Guadalupe Dpto Sder Rec Bce    </t>
  </si>
  <si>
    <t>TI.B.6.2.1.9.003 </t>
  </si>
  <si>
    <t>Adicional 2 Convenio Invias Contrato Plan No 2963/2013 Rad. Gobernación No 4859/2013 (Enajenación De Isagen) Via Guacamayo-Contratación Dpto Sder Rec Bce </t>
  </si>
  <si>
    <t>TI.B.6.2.1.9.004 </t>
  </si>
  <si>
    <t>Adicional 2 Convenio Invias Contrato Plan No 2963/2013 Rad. Gobernación No 4859/2013 (Enajenación De Isagen) Via Socorro-Paramo Dpto Sder Rec Bce </t>
  </si>
  <si>
    <t>TI.B.6.2.1.9.005 </t>
  </si>
  <si>
    <t>Adicional Convenio 1233 Del 9 de Marzo de 2015 Rec Bce </t>
  </si>
  <si>
    <t>TI.B.6.2.1.9.006 </t>
  </si>
  <si>
    <t>Adicional N° 2 Al Convenio Interadministrativo Derivado N° 2133772 Fonade Sin Situacion de Fondos </t>
  </si>
  <si>
    <t>TI.B.6.2.1.9.007 </t>
  </si>
  <si>
    <t>Aporte Municipio de Jesus Maria Proyecto 2018004680060 Segun Ocad N° 072 De 2018 Rec Bce </t>
  </si>
  <si>
    <t>TI.B.6.2.1.9.008 </t>
  </si>
  <si>
    <t>Aporte Municipio de Matanza Proyecto 2019004680029, Según Acuerdo Ocad Departamental N° 077 de 2019 </t>
  </si>
  <si>
    <t>TI.B.6.2.1.9.009 </t>
  </si>
  <si>
    <t>Coldeportes Conv. 1365/17 Rad. Gob.2286/17 (Ord. 11/2018) </t>
  </si>
  <si>
    <t>TI.B.6.2.1.9.010 </t>
  </si>
  <si>
    <t>Cont Espec No 002 Derivado del Cont Plan Nación Dpto de Sder 2013-2018 Rad Dpto 1506 Agost 18-2016 Rec Bce </t>
  </si>
  <si>
    <t>TI.B.6.2.1.9.011 </t>
  </si>
  <si>
    <t>Contrato Especifico N° 2182482 FONADE Rad.Gobernacion 2073-2018 Rec Bce </t>
  </si>
  <si>
    <t>TI.B.6.2.1.9.012 </t>
  </si>
  <si>
    <t>Contrato Especifico N°2191867/19 Derivado del Contrato Plan Celebrado Entre el DNP Y El Dpto De Sder. Radicado Gobernación No 2097/2019 Rec Bce </t>
  </si>
  <si>
    <t>TI.B.6.2.1.9.013 </t>
  </si>
  <si>
    <t>Contrato Especifico N°2191868/19 Derivado del Contrato Plan Celebrado Entre el DNP y el Dpto de Sder Radicado Gobernación No 2096/2019 Rec Bce </t>
  </si>
  <si>
    <t>TI.B.6.2.1.9.014 </t>
  </si>
  <si>
    <t>Contrato Plan (Conv Invias Nº 4859 De 01 De Nov-2013) Rec Bce </t>
  </si>
  <si>
    <t>TI.B.6.2.1.9.015 </t>
  </si>
  <si>
    <t>Convenio 2095/2012 Ecopetrol S.A 5211731 (Parque Interactivo Centro Oriente Sder Barrancabermeja) Rec Bce </t>
  </si>
  <si>
    <t>TI.B.6.2.1.9.016 </t>
  </si>
  <si>
    <t>Convenio Interadministrativo Derivado No 2133772 Rec Bce Sin Situacion De Fondos  </t>
  </si>
  <si>
    <t>TI.B.6.2.1.9.017 </t>
  </si>
  <si>
    <t>Convenio Interadministrativo No 1550/2019 Celebrado Entre el Departamento de Santander y el Municipio de Barrancabermeja  </t>
  </si>
  <si>
    <t>TI.B.6.2.1.9.018 </t>
  </si>
  <si>
    <t>Convenio Invias No 1245/17 Radicado Gobernación 2287/17 (Enajenación de Isagen) Municipio de Betulia (Ord. 11/2018 </t>
  </si>
  <si>
    <t>TI.B.6.2.1.9.019 </t>
  </si>
  <si>
    <t>Convenio Invias No 1245/17 Radicado Gobernación 2287/17 (Enajenación de Isagen Municipio De Pinchote Rec B </t>
  </si>
  <si>
    <t>TI.B.6.2.1.9.020 </t>
  </si>
  <si>
    <t>Convenio Invias No 1245/17 Radicado Gobernación 2287/17 (Enajenación de Isagen) Municipio de Betulia Rec Bce  </t>
  </si>
  <si>
    <t>TI.B.6.2.1.9.021 </t>
  </si>
  <si>
    <t>Convenio Invias No 1245/17 Radicado Gobernacion 2287/17 (Enajenacion De De Isagen) Municipio de Bolivar Rec Bce  </t>
  </si>
  <si>
    <t>TI.B.6.2.1.9.022 </t>
  </si>
  <si>
    <t>Convenio Invias No 1245/17 Radicado Gobernacion 2287/17 (Enajenación de Isagen) Municipio de Curiti Rec Bce  </t>
  </si>
  <si>
    <t>TI.B.6.2.1.9.023 </t>
  </si>
  <si>
    <t>Convenio Invias No 1245/17 Radicado Gobernación 2287/17 (Enajenación de Isagen) Municipio de Guapota Rec Bce  </t>
  </si>
  <si>
    <t>TI.B.6.2.1.9.024 </t>
  </si>
  <si>
    <t>Convenio Invias No 1245/17 Radicado Gobernación 2287/17 (Enajenación de Isagen) Municipio de Ocamonte Rec Bce  </t>
  </si>
  <si>
    <t>TI.B.6.2.1.9.025 </t>
  </si>
  <si>
    <t>Convenio Invias No 1245/17 Radicado Gobernación 2287/17 (Enajenación de Isagen) Municipio de Palmas del Socorro Rec Bce  </t>
  </si>
  <si>
    <t>TI.B.6.2.1.9.026 </t>
  </si>
  <si>
    <t>Convenio Invias No 1245/17 Radicado Gobernación 2287/17 (Enajenación De De Isagen) Municipio de Valle de San Jose Rec Bce  </t>
  </si>
  <si>
    <t>TI.B.6.2.1.9.027 </t>
  </si>
  <si>
    <t>Convenio Invias No 1245/17 Radicado Gobernación 2287/17 (Enajenación de Isagen) Municipio de Zapatoca Rec Bce  </t>
  </si>
  <si>
    <t>TI.B.6.2.1.9.028 </t>
  </si>
  <si>
    <t>Convenio Invias No 1245/17 Radicado Gobernación 2287/17 (Enajenación de Isagen ) Municipio de Aguada Rec Bce  </t>
  </si>
  <si>
    <t>TI.B.6.2.1.9.029 </t>
  </si>
  <si>
    <t>Convenio Invias No 1245/17 Radicado Gobernación 2287/17 (Enajenación de Isagen) Municipio de Bolívar (Ord. 11/2018)   </t>
  </si>
  <si>
    <t>TI.B.6.2.1.9.030 </t>
  </si>
  <si>
    <t>Convenio Invias No 1245/17 Radicado Gobernacion 2287/17 (Enajenación de Isagen) Municipio de Cabrera Rec Bce  </t>
  </si>
  <si>
    <t>TI.B.6.2.1.9.031 </t>
  </si>
  <si>
    <t>Convenio Invias No 1245/17 Radicado Gobernación 2287/17 (Enajenación de Isagen) Municipio de Cimitarra Rec Bce  </t>
  </si>
  <si>
    <t>TI.B.6.2.1.9.032 </t>
  </si>
  <si>
    <t>Convenio Invias No 1245/17 Radicado Gobernación 2287/17 (Enajenación de Isagen) Municipio De Guaca (Ord. 11/2018) </t>
  </si>
  <si>
    <t>TI.B.6.2.1.9.033 </t>
  </si>
  <si>
    <t>Convenio Invias No 1245/17 Radicado Gobernación 2287/17 (Enajenación de Isagen) Municipio de Ocamonte (Ord. 11/2018) </t>
  </si>
  <si>
    <t>TI.B.6.2.1.9.034 </t>
  </si>
  <si>
    <t>Convenio Invias No 1245/17 Radicado Gobernación 2287/17 (Enajenación de Isagen) Municipio de Palmas Del Socorro (Ord. 11/2018)   </t>
  </si>
  <si>
    <t>TI.B.6.2.1.9.035 </t>
  </si>
  <si>
    <t>Convenio Invias No 1245/17 Radicado Gobernación 2287/17 (Enajenación de Isagen) Municipio de Paramo (Ord. 11/2018)   </t>
  </si>
  <si>
    <t>TI.B.6.2.1.9.036 </t>
  </si>
  <si>
    <t>Convenio Invias No 1245/17 Radicado Gobernación 2287/17 (Enajenación de Isagen) Municipio de Puente Nacional Rec Bce </t>
  </si>
  <si>
    <t>TI.B.6.2.1.9.037 </t>
  </si>
  <si>
    <t>Convenio No 1250/17 Radicado Gob No 2288/17 (Enajenación de De Isagen) Invias Rec Bce  </t>
  </si>
  <si>
    <t>TI.B.6.2.1.9.038 </t>
  </si>
  <si>
    <t>Convenio No 1250/2017 Radicado Gob No 2288/17 (Enajenación de Isagen) Municipio De Piedecuesta Rec Bce  </t>
  </si>
  <si>
    <t>TI.B.6.2.1.9.039 </t>
  </si>
  <si>
    <t>Convenio No 1365/17 Coldeportes Radicado Gob 2286/17 Municipio de Piedecuesta Rec Bce </t>
  </si>
  <si>
    <t>TI.B.6.2.1.9.040 </t>
  </si>
  <si>
    <t>Convenio No 3044/2015 Prosperidad Social-Fondo de inversión Para La Paz Dps Fip Cont Esp Deriv Cont Plan Nación Dpto Sder 2013 -2018 Dpto Sder No 962/16 Rec Bce </t>
  </si>
  <si>
    <t>TI.B.6.2.1.9.041 </t>
  </si>
  <si>
    <t>Convenio Invias No 1245/17 Radicado Gobernación 2287/17 (Enajenación de Isagen) Municipio de Curiti (Ord. 11/2018)   </t>
  </si>
  <si>
    <t>TI.B.6.2.1.9.042 </t>
  </si>
  <si>
    <t>Convenio Invias No 1245/17 Radicado Gobernación 2287/17 (Enajenación de Isagen) Municipio de Paramo (Ord. 11/2018) </t>
  </si>
  <si>
    <t>TI.B.6.2.1.9.043 </t>
  </si>
  <si>
    <t>Programa Infraestructura Contrato Plan Rec Bce </t>
  </si>
  <si>
    <t>TI.B.6.2.1.9.044 </t>
  </si>
  <si>
    <t>Recursos Cofinanciacion (Convenio 1233 del 9 De Marzo De 2015 Rec Bce </t>
  </si>
  <si>
    <t>TI.B.6.2.1.9.045 </t>
  </si>
  <si>
    <t>Recursos de Cofinanciacion Convenio Nº 3044/2015 Rec Bce </t>
  </si>
  <si>
    <t>Subcuenta Salud Pública </t>
  </si>
  <si>
    <t>1.2.10.02.01.02 </t>
  </si>
  <si>
    <t>Subcuenta de Prestación de Servicios de Salud en lo no cubierto por Subsidio a la Demanda. </t>
  </si>
  <si>
    <t>1.2.10.02.01.03 </t>
  </si>
  <si>
    <t>Subcuenta otros gastos en salud - Inversión </t>
  </si>
  <si>
    <t>1.2.10.02.01.04 </t>
  </si>
  <si>
    <t>Subcuenta otros gastos en salud - Funcionamiento </t>
  </si>
  <si>
    <t>REINTEGROS Y OTROS RECURSOS NO APROPIADOS </t>
  </si>
  <si>
    <t>TI.B </t>
  </si>
  <si>
    <t>INGRESOS DE CAPITAL  </t>
  </si>
  <si>
    <t>TI.B.6.2.1.01 </t>
  </si>
  <si>
    <t>Subcuenta salud pública </t>
  </si>
  <si>
    <t>TI.B.6.2.1.02 </t>
  </si>
  <si>
    <t>Subcuenta de prestación de servicios de salud en lo no cubierto por subsidios a la demanda </t>
  </si>
  <si>
    <t>TI.B.6.2.1.03 </t>
  </si>
  <si>
    <t>Subcuenta otros gastos en salud inversión </t>
  </si>
  <si>
    <t>1.2.10.02.04.04.18</t>
  </si>
  <si>
    <t>1.2.07.01.001.03 </t>
  </si>
  <si>
    <t>Crédito Interno Banca Comercial 2021 Banco Agrario de Colombia S.A </t>
  </si>
  <si>
    <t>Otros Gastos en Salud-Inversion  ICLD REC. BCE</t>
  </si>
  <si>
    <t xml:space="preserve">Otros Gastos en Salud-Inversion  ICLD </t>
  </si>
  <si>
    <t xml:space="preserve">Subcuenta Otros Gastos en Salud-Funcionamiento   ICLD </t>
  </si>
  <si>
    <t>1.2.05.02.44 </t>
  </si>
  <si>
    <t>Rendimientos Financieros Convenio Interadministrativo Nro 2446 del-2020 </t>
  </si>
  <si>
    <t>1.2.05.02.45 </t>
  </si>
  <si>
    <t>Rendimientos Financieros Convenio Interadministrativo Nro 2451 del-2020 </t>
  </si>
  <si>
    <t>1.2.10.02.04.04.18 </t>
  </si>
  <si>
    <t>1.1.02.06.006.01.02.02 </t>
  </si>
  <si>
    <t>Programas de Salud - Prestación de Servicios </t>
  </si>
  <si>
    <t>1.1.02.06.009 </t>
  </si>
  <si>
    <t>RECURSOS DEL SISTEMA DE SEGURIDAD SOCIAL INTEGRAL </t>
  </si>
  <si>
    <t>1.1.02.06.009.01 </t>
  </si>
  <si>
    <t>SISTEMA GENERAL DE SEGURIDAD SOCIAL EN SALUD </t>
  </si>
  <si>
    <t>1.1.02.06.009.01.06 </t>
  </si>
  <si>
    <t>Recursos ADRES - cofinanciación UPC régimen subsidiado </t>
  </si>
  <si>
    <t>1.1.02.06.009.01.06.01 </t>
  </si>
  <si>
    <t>Eje Programático de Aseguramiento 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</si>
  <si>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Es importarnte aclarar que el recaudo de la estampilla para el bienestar del adulto mayor en los meses de marzo y mayo se realizaron devoluciones mayores a los recaudado,   las cuales arrojaron saldos negarivos  asi:   En el mes de marzo  arroja un  valor de -$364.560.236 y en el mes de mayo  arroja un valor de -$161.852.959 debido a los ajustes realizados.</t>
    </r>
  </si>
  <si>
    <t>1.2.15.01.001 </t>
  </si>
  <si>
    <t>De la Nación </t>
  </si>
  <si>
    <t>1.2.15.01.001.01 </t>
  </si>
  <si>
    <t>Convenio Interadministrativo Nro 1289 derivado del proceso UARIV-CD-2021-890201235, Suscrito entre la Unidad para la Atención y Reparación Integral a las Víctimas y el Departamento de Santander Radicado Departamento de Santander No 202100001446 del 21 de mayo del 2021 </t>
  </si>
  <si>
    <t>1.2.15.01.001.02 </t>
  </si>
  <si>
    <t>Convenio Interadministrativo No 028/2021 FND Radicado Gobernacion N° 1679 De Junio 24/2021   </t>
  </si>
  <si>
    <t>1.1.02.06.001.06 </t>
  </si>
  <si>
    <t>Sistema General de Participación Agua Potable Saneamiento Basico-ultima Doceava 2020  </t>
  </si>
  <si>
    <t>1.1.02.06.006.005 </t>
  </si>
  <si>
    <t>Transferencias a Entidades Territoriales distintas de Participaciones y Compensación </t>
  </si>
  <si>
    <t>1.2.10.02.04.34 </t>
  </si>
  <si>
    <t>Rendimientos Financieros SGP Cancelaciones-Pensiones FED Rec Bce    </t>
  </si>
  <si>
    <t>1.2.10.02.04.35 </t>
  </si>
  <si>
    <t>Rendimientos Financieros Alimentación Escolar Ley 1450-11 (ICBF /MEN) Rec Bce </t>
  </si>
  <si>
    <t>1.2.10.02.04.36 </t>
  </si>
  <si>
    <t>Rendimientos Financieros Bolsa Común de los 82 del Dpto de Santander Alimentación Escolar Rec Bce </t>
  </si>
  <si>
    <t>1.2.10.02.46 </t>
  </si>
  <si>
    <t>SGP CANCELACIONES-PENSIONES FED REC BCE    </t>
  </si>
  <si>
    <t>1.2.10.02.46.01 </t>
  </si>
  <si>
    <t>SGP Cancelaciones-Pensiones FED Rec Bce    </t>
  </si>
  <si>
    <t>1.2.10.02.47.01 </t>
  </si>
  <si>
    <t>Alimentación Escolar Ley 1450 de 2011 (PAE Jornada Unica) Rec Bce </t>
  </si>
  <si>
    <t>1.2.10.02.47.02 </t>
  </si>
  <si>
    <t>Alimentación Escolar Ley 1450 de 2011 (PAE Regular) Rec Bce </t>
  </si>
  <si>
    <t>1.2.10.02.48.01 </t>
  </si>
  <si>
    <t>Bolsa Común de los 82 Municipios del Dpto de Sder Alimentación Escolar Rec Bce </t>
  </si>
  <si>
    <t>1.2.10.02.49.01 </t>
  </si>
  <si>
    <t>Sistema General de Participación-Educación-Recursos de Calidad Documento 046-2020 </t>
  </si>
  <si>
    <t>1.2.10.02.50.01 </t>
  </si>
  <si>
    <t>Superávit Fiscal  adicionados y no ejecutados Alimentación Escolar Rec Bce </t>
  </si>
  <si>
    <t>1.2.10.02.51.01 </t>
  </si>
  <si>
    <t>Participación por el Ejercicio de Monopolio de Licores Y Alcoholes Potables-Educación (14% Ley 1816/16) Rec Bce  </t>
  </si>
  <si>
    <t>1.2.15.01.001.03 </t>
  </si>
  <si>
    <t>Convenio No 1223 CO1.PCCNTR 2616641 del 26 de junio del 2021 Radicado del Departamento de Santander No 1701/2021   </t>
  </si>
  <si>
    <t>1.2.15.01.001.04 </t>
  </si>
  <si>
    <t>Conv Interadministrativo N° 20210549 celebrado entre la Nación-Ministerio de Agricultura y Desarrollo Rural y el Dpto de Sder, Radicado Interno 202100002007, SSECOP II CO1.P.CCNTR. 2717997   </t>
  </si>
  <si>
    <t>Calidad por matricula oficial (Rendimientos financieros) </t>
  </si>
  <si>
    <t>1.2.10.02.43.03 </t>
  </si>
  <si>
    <t>Reintegros Programa PAE -2016 Rec Bce </t>
  </si>
  <si>
    <t>1.2.10.02.43.03.01 </t>
  </si>
  <si>
    <t>1.2.10.02.47 </t>
  </si>
  <si>
    <t>ALIMENTACION ESCOLAR LEY 1450 DE 2011 (PAE JORNADA UNICA) Rec Bce </t>
  </si>
  <si>
    <t>1.2.10.02.48 </t>
  </si>
  <si>
    <t>1.2.10.02.49 </t>
  </si>
  <si>
    <t>1.2.10.02.50 </t>
  </si>
  <si>
    <t>1.2.10.02.51 </t>
  </si>
  <si>
    <t>1.2.05.02.46 </t>
  </si>
  <si>
    <t>Rendimientos financieros  Bolsa Común 82 Municipios </t>
  </si>
  <si>
    <t>1.2.05.02.47 </t>
  </si>
  <si>
    <t>Rendimientos financieros  Recursos PAE Ministerio de Educación Según Res. 004 de enero de 2021 del MEN </t>
  </si>
  <si>
    <t>1.2.10.02.43.04 </t>
  </si>
  <si>
    <t>Reintegros Recursos de Monopolio Rec Bce  </t>
  </si>
  <si>
    <t>1.2.10.02.43.04.01 </t>
  </si>
  <si>
    <t>Reintegros Recursos de Monopolio 14% Ley 1816/2016 Educación Rec Bce  </t>
  </si>
  <si>
    <t>1.2.13.01.22 </t>
  </si>
  <si>
    <t>Reintegros por Acreencias Hospitales Liquidados </t>
  </si>
  <si>
    <t>1.2.13.01.23 </t>
  </si>
  <si>
    <t>Reintegros Recursos FOME </t>
  </si>
  <si>
    <t>Subcuenta Otros Gastos en Salud-Funcionamiento  ICLD</t>
  </si>
  <si>
    <t>EJECUCION PRESUPUESTAL  DE INGRESOS   DICIEMBRE  31 DE  2021</t>
  </si>
  <si>
    <t xml:space="preserve">DESAPLAZAMIENTO </t>
  </si>
  <si>
    <t xml:space="preserve">EJECUCION PRESUPUESTAL  DE INGRESOS  RESERVA PRESUPUESTAL   DICIEMBRE  31  DE  2021 </t>
  </si>
  <si>
    <t>1.2.15.01.001.05 </t>
  </si>
  <si>
    <t>Adicional No 01 al Convenio Interadministrativo radicado INVIAS No 1250 /2017-Radicado Gobernación 2288/2017 </t>
  </si>
  <si>
    <t>1.2.15.01.003 </t>
  </si>
  <si>
    <t>De otras empresas </t>
  </si>
  <si>
    <t>1.2.15.01.003.01 </t>
  </si>
  <si>
    <t>Convenio Especifico No 3044744 del 12 de noviembre de 2021, radicado de la Gobernación No 00003401 del 07 de diciembre de 2021 (ECOPETROL) </t>
  </si>
  <si>
    <t>1.2.15.01.003.02 </t>
  </si>
  <si>
    <t>Convenio Especifico No 3044744 de fecha 12 de noviembre de 2021 y radicado de la Gobernación 00003401 de fecha 07 de diciembre de 2021 (UNIDADES TECNOLOGICAS) </t>
  </si>
  <si>
    <t>OTRAS TRANSFERENCIAS DEL NIVEL MUNICIPAL </t>
  </si>
  <si>
    <t>1.1.02.06.006.06.02.01 </t>
  </si>
  <si>
    <t>SUB CUENTA DE PRESTACION DE SERVICIOS DE SALUD EN LO NO CUBIERTO POR SUBSIDIOS A LA DEMANDA </t>
  </si>
  <si>
    <t>1.1.02.06.006.06.02.01.01 </t>
  </si>
  <si>
    <t>Cofinanciación para Programas de Salud -Prestación Servicios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</si>
</sst>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-* #,##0_-;\-* #,##0_-;_-* &quot;-&quot;_-;_-@_-"/>
    <numFmt numFmtId="164" formatCode="_(* #,##0.00_);_(* \(#,##0.00\);_(* &quot;-&quot;??_);_(@_)"/>
    <numFmt numFmtId="165" formatCode="_ * #,##0.00_ ;_ * \-#,##0.00_ ;_ * &quot;-&quot;??_ ;_ @_ "/>
    <numFmt numFmtId="166" formatCode="_-* #,##0.00_-;\-* #,##0.00_-;_-* &quot;-&quot;_-;_-@_-"/>
    <numFmt numFmtId="167" formatCode="#,##0.0"/>
    <numFmt numFmtId="168" formatCode="_(* #,##0_);_(* \(#,##0\);_(* &quot;-&quot;??_);_(@_)"/>
    <numFmt numFmtId="169" formatCode="0.00000000%"/>
    <numFmt numFmtId="170" formatCode="0.0000000000%"/>
    <numFmt numFmtId="171" formatCode="0.00000000000000%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3"/>
      <name val="Arial Black"/>
      <family val="2"/>
    </font>
    <font>
      <b/>
      <sz val="10"/>
      <name val="Arial"/>
      <family val="2"/>
    </font>
    <font>
      <b/>
      <i/>
      <sz val="13"/>
      <name val="Arial Black"/>
      <family val="2"/>
    </font>
    <font>
      <sz val="12"/>
      <name val="Arial Black"/>
      <family val="2"/>
    </font>
    <font>
      <sz val="10"/>
      <color theme="1"/>
      <name val="Tahoma"/>
      <family val="2"/>
    </font>
    <font>
      <b/>
      <sz val="13"/>
      <name val="Arial Black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indexed="8"/>
      <name val="Arial"/>
      <family val="2"/>
    </font>
    <font>
      <b/>
      <sz val="12"/>
      <name val="Arial Black"/>
      <family val="2"/>
    </font>
    <font>
      <sz val="10"/>
      <name val="Arial"/>
      <family val="2"/>
    </font>
    <font>
      <b/>
      <sz val="10"/>
      <name val="Arial Black"/>
      <family val="2"/>
    </font>
    <font>
      <b/>
      <sz val="8"/>
      <color theme="1"/>
      <name val="Tahoma"/>
      <family val="2"/>
    </font>
    <font>
      <sz val="9"/>
      <color theme="1"/>
      <name val="Tahoma"/>
      <family val="2"/>
    </font>
    <font>
      <sz val="11"/>
      <name val="Arial Black"/>
      <family val="2"/>
    </font>
    <font>
      <sz val="10"/>
      <name val="Arial"/>
      <family val="2"/>
      <charset val="1"/>
    </font>
    <font>
      <b/>
      <sz val="12"/>
      <color theme="1"/>
      <name val="Arial Black"/>
      <family val="2"/>
    </font>
    <font>
      <b/>
      <sz val="11"/>
      <name val="Arial Black"/>
      <family val="2"/>
    </font>
    <font>
      <b/>
      <sz val="9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4"/>
      <name val="Arial Black"/>
      <family val="2"/>
    </font>
    <font>
      <sz val="8"/>
      <color theme="1"/>
      <name val="Tahoma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0"/>
      <name val="Arial Black"/>
      <family val="2"/>
    </font>
    <font>
      <b/>
      <sz val="10"/>
      <color theme="1"/>
      <name val="Arial Black"/>
      <family val="2"/>
    </font>
    <font>
      <b/>
      <sz val="10"/>
      <color theme="1"/>
      <name val="Arial"/>
      <family val="2"/>
    </font>
    <font>
      <b/>
      <sz val="11"/>
      <color theme="1"/>
      <name val="Arial Black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19">
    <xf numFmtId="165" fontId="0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64" fontId="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9" fontId="3" fillId="0" borderId="0" applyFont="0" applyFill="0" applyBorder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37" fontId="3" fillId="0" borderId="0"/>
    <xf numFmtId="41" fontId="45" fillId="0" borderId="0" applyFont="0" applyFill="0" applyBorder="0" applyAlignment="0" applyProtection="0"/>
    <xf numFmtId="0" fontId="50" fillId="0" borderId="0"/>
    <xf numFmtId="41" fontId="3" fillId="0" borderId="0" applyFont="0" applyFill="0" applyBorder="0" applyAlignment="0" applyProtection="0"/>
    <xf numFmtId="0" fontId="3" fillId="0" borderId="0"/>
  </cellStyleXfs>
  <cellXfs count="483">
    <xf numFmtId="0" fontId="0" fillId="0" borderId="0" xfId="0" applyNumberFormat="1"/>
    <xf numFmtId="3" fontId="4" fillId="0" borderId="0" xfId="0" applyNumberFormat="1" applyFont="1" applyFill="1" applyAlignment="1">
      <alignment vertical="center" wrapText="1"/>
    </xf>
    <xf numFmtId="3" fontId="7" fillId="0" borderId="13" xfId="0" applyNumberFormat="1" applyFont="1" applyFill="1" applyBorder="1" applyAlignment="1">
      <alignment vertical="center" wrapText="1"/>
    </xf>
    <xf numFmtId="3" fontId="7" fillId="0" borderId="14" xfId="0" applyNumberFormat="1" applyFont="1" applyFill="1" applyBorder="1" applyAlignment="1">
      <alignment vertical="center" wrapText="1"/>
    </xf>
    <xf numFmtId="3" fontId="4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vertical="center" wrapText="1"/>
    </xf>
    <xf numFmtId="3" fontId="7" fillId="0" borderId="13" xfId="810" applyNumberFormat="1" applyFont="1" applyFill="1" applyBorder="1" applyAlignment="1">
      <alignment vertical="center" wrapText="1"/>
    </xf>
    <xf numFmtId="3" fontId="12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3" fontId="14" fillId="0" borderId="13" xfId="0" applyNumberFormat="1" applyFont="1" applyFill="1" applyBorder="1" applyAlignment="1">
      <alignment vertical="center" wrapText="1"/>
    </xf>
    <xf numFmtId="3" fontId="7" fillId="0" borderId="15" xfId="0" applyNumberFormat="1" applyFont="1" applyFill="1" applyBorder="1" applyAlignment="1">
      <alignment vertical="center" wrapText="1"/>
    </xf>
    <xf numFmtId="3" fontId="4" fillId="0" borderId="15" xfId="0" applyNumberFormat="1" applyFont="1" applyFill="1" applyBorder="1" applyAlignment="1">
      <alignment vertical="center" wrapText="1"/>
    </xf>
    <xf numFmtId="3" fontId="12" fillId="0" borderId="14" xfId="0" applyNumberFormat="1" applyFont="1" applyFill="1" applyBorder="1" applyAlignment="1">
      <alignment vertical="center" wrapText="1"/>
    </xf>
    <xf numFmtId="3" fontId="4" fillId="0" borderId="14" xfId="0" applyNumberFormat="1" applyFont="1" applyFill="1" applyBorder="1" applyAlignment="1">
      <alignment vertical="center" wrapText="1"/>
    </xf>
    <xf numFmtId="3" fontId="4" fillId="0" borderId="13" xfId="810" applyNumberFormat="1" applyFont="1" applyFill="1" applyBorder="1" applyAlignment="1">
      <alignment vertical="center" wrapText="1"/>
    </xf>
    <xf numFmtId="3" fontId="7" fillId="0" borderId="19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14" xfId="685" applyNumberFormat="1" applyFont="1" applyFill="1" applyBorder="1" applyAlignment="1">
      <alignment vertical="center" wrapText="1"/>
    </xf>
    <xf numFmtId="3" fontId="4" fillId="0" borderId="13" xfId="685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vertical="center" wrapText="1"/>
    </xf>
    <xf numFmtId="3" fontId="4" fillId="0" borderId="0" xfId="0" applyNumberFormat="1" applyFont="1" applyFill="1" applyAlignment="1">
      <alignment horizontal="right" vertical="center" wrapText="1"/>
    </xf>
    <xf numFmtId="3" fontId="7" fillId="0" borderId="13" xfId="685" applyNumberFormat="1" applyFont="1" applyFill="1" applyBorder="1" applyAlignment="1">
      <alignment horizontal="right" vertical="center" wrapText="1"/>
    </xf>
    <xf numFmtId="3" fontId="4" fillId="0" borderId="13" xfId="0" applyNumberFormat="1" applyFont="1" applyFill="1" applyBorder="1" applyAlignment="1">
      <alignment horizontal="right" vertical="center" wrapText="1"/>
    </xf>
    <xf numFmtId="3" fontId="4" fillId="0" borderId="13" xfId="685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 applyAlignment="1">
      <alignment vertical="center" wrapText="1"/>
    </xf>
    <xf numFmtId="3" fontId="12" fillId="0" borderId="14" xfId="685" applyNumberFormat="1" applyFont="1" applyFill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vertical="center" wrapText="1"/>
    </xf>
    <xf numFmtId="3" fontId="12" fillId="0" borderId="13" xfId="685" applyNumberFormat="1" applyFont="1" applyFill="1" applyBorder="1" applyAlignment="1">
      <alignment horizontal="right" vertical="center" wrapText="1"/>
    </xf>
    <xf numFmtId="3" fontId="4" fillId="0" borderId="0" xfId="685" applyNumberFormat="1" applyFont="1" applyFill="1" applyAlignment="1">
      <alignment horizontal="right" vertical="center" wrapText="1"/>
    </xf>
    <xf numFmtId="9" fontId="7" fillId="0" borderId="11" xfId="835" applyNumberFormat="1" applyFont="1" applyFill="1" applyBorder="1" applyAlignment="1">
      <alignment horizontal="center" vertical="center" wrapText="1"/>
    </xf>
    <xf numFmtId="9" fontId="7" fillId="0" borderId="10" xfId="835" applyNumberFormat="1" applyFont="1" applyFill="1" applyBorder="1" applyAlignment="1">
      <alignment horizontal="center" vertical="center" wrapText="1"/>
    </xf>
    <xf numFmtId="9" fontId="7" fillId="0" borderId="18" xfId="835" applyNumberFormat="1" applyFont="1" applyFill="1" applyBorder="1" applyAlignment="1">
      <alignment horizontal="right" vertical="center" wrapText="1"/>
    </xf>
    <xf numFmtId="9" fontId="4" fillId="0" borderId="18" xfId="835" applyNumberFormat="1" applyFont="1" applyFill="1" applyBorder="1" applyAlignment="1">
      <alignment horizontal="right" vertical="center" wrapText="1"/>
    </xf>
    <xf numFmtId="9" fontId="4" fillId="0" borderId="17" xfId="835" applyNumberFormat="1" applyFont="1" applyFill="1" applyBorder="1" applyAlignment="1">
      <alignment horizontal="right" vertical="center" wrapText="1"/>
    </xf>
    <xf numFmtId="9" fontId="4" fillId="0" borderId="0" xfId="835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left" vertical="center" wrapText="1"/>
    </xf>
    <xf numFmtId="3" fontId="4" fillId="0" borderId="15" xfId="68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left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Alignment="1">
      <alignment vertical="center" wrapText="1"/>
    </xf>
    <xf numFmtId="3" fontId="35" fillId="0" borderId="28" xfId="0" applyNumberFormat="1" applyFont="1" applyFill="1" applyBorder="1" applyAlignment="1">
      <alignment vertical="center" wrapText="1"/>
    </xf>
    <xf numFmtId="3" fontId="7" fillId="0" borderId="35" xfId="0" applyNumberFormat="1" applyFont="1" applyFill="1" applyBorder="1" applyAlignment="1">
      <alignment vertical="center" wrapText="1"/>
    </xf>
    <xf numFmtId="3" fontId="12" fillId="0" borderId="35" xfId="0" applyNumberFormat="1" applyFont="1" applyFill="1" applyBorder="1" applyAlignment="1">
      <alignment vertical="center" wrapText="1"/>
    </xf>
    <xf numFmtId="3" fontId="12" fillId="0" borderId="0" xfId="0" applyNumberFormat="1" applyFont="1" applyFill="1" applyBorder="1" applyAlignment="1">
      <alignment vertical="center" wrapText="1"/>
    </xf>
    <xf numFmtId="3" fontId="40" fillId="0" borderId="34" xfId="0" applyNumberFormat="1" applyFont="1" applyFill="1" applyBorder="1" applyAlignment="1">
      <alignment vertical="center" wrapText="1"/>
    </xf>
    <xf numFmtId="3" fontId="12" fillId="0" borderId="31" xfId="0" applyNumberFormat="1" applyFont="1" applyFill="1" applyBorder="1" applyAlignment="1">
      <alignment vertical="center" wrapText="1"/>
    </xf>
    <xf numFmtId="3" fontId="7" fillId="0" borderId="31" xfId="685" applyNumberFormat="1" applyFont="1" applyFill="1" applyBorder="1" applyAlignment="1">
      <alignment horizontal="right" vertical="center" wrapText="1"/>
    </xf>
    <xf numFmtId="9" fontId="4" fillId="0" borderId="36" xfId="835" applyNumberFormat="1" applyFont="1" applyFill="1" applyBorder="1" applyAlignment="1">
      <alignment horizontal="right" vertical="center" wrapText="1"/>
    </xf>
    <xf numFmtId="9" fontId="7" fillId="0" borderId="33" xfId="835" applyNumberFormat="1" applyFont="1" applyFill="1" applyBorder="1" applyAlignment="1">
      <alignment horizontal="right" vertical="center" wrapText="1"/>
    </xf>
    <xf numFmtId="9" fontId="4" fillId="0" borderId="19" xfId="835" applyNumberFormat="1" applyFont="1" applyFill="1" applyBorder="1" applyAlignment="1">
      <alignment horizontal="right" vertical="center" wrapText="1"/>
    </xf>
    <xf numFmtId="9" fontId="5" fillId="0" borderId="12" xfId="835" applyNumberFormat="1" applyFont="1" applyFill="1" applyBorder="1" applyAlignment="1">
      <alignment vertical="center" wrapText="1"/>
    </xf>
    <xf numFmtId="3" fontId="7" fillId="0" borderId="20" xfId="0" applyNumberFormat="1" applyFont="1" applyFill="1" applyBorder="1" applyAlignment="1">
      <alignment vertical="center" wrapText="1"/>
    </xf>
    <xf numFmtId="3" fontId="3" fillId="0" borderId="16" xfId="0" quotePrefix="1" applyNumberFormat="1" applyFont="1" applyFill="1" applyBorder="1" applyAlignment="1">
      <alignment vertical="center" wrapText="1"/>
    </xf>
    <xf numFmtId="3" fontId="36" fillId="0" borderId="16" xfId="0" applyNumberFormat="1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vertical="center" wrapText="1"/>
    </xf>
    <xf numFmtId="3" fontId="36" fillId="0" borderId="16" xfId="0" quotePrefix="1" applyNumberFormat="1" applyFont="1" applyFill="1" applyBorder="1" applyAlignment="1">
      <alignment vertical="center" wrapText="1"/>
    </xf>
    <xf numFmtId="3" fontId="11" fillId="0" borderId="16" xfId="0" applyNumberFormat="1" applyFont="1" applyFill="1" applyBorder="1" applyAlignment="1">
      <alignment vertical="center" wrapText="1"/>
    </xf>
    <xf numFmtId="3" fontId="11" fillId="0" borderId="21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12" xfId="0" applyNumberFormat="1" applyFont="1" applyFill="1" applyBorder="1" applyAlignment="1">
      <alignment vertical="center" wrapText="1"/>
    </xf>
    <xf numFmtId="3" fontId="5" fillId="0" borderId="0" xfId="0" applyNumberFormat="1" applyFont="1" applyFill="1" applyAlignment="1">
      <alignment vertical="center" wrapText="1"/>
    </xf>
    <xf numFmtId="3" fontId="4" fillId="0" borderId="27" xfId="685" applyNumberFormat="1" applyFont="1" applyFill="1" applyBorder="1" applyAlignment="1">
      <alignment horizontal="right" vertical="center" wrapText="1"/>
    </xf>
    <xf numFmtId="3" fontId="7" fillId="0" borderId="12" xfId="685" applyNumberFormat="1" applyFont="1" applyFill="1" applyBorder="1" applyAlignment="1">
      <alignment horizontal="right" vertical="center" wrapText="1"/>
    </xf>
    <xf numFmtId="3" fontId="14" fillId="0" borderId="31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3" fontId="43" fillId="0" borderId="13" xfId="0" applyNumberFormat="1" applyFont="1" applyFill="1" applyBorder="1" applyAlignment="1">
      <alignment vertical="center" wrapText="1"/>
    </xf>
    <xf numFmtId="3" fontId="43" fillId="0" borderId="24" xfId="0" applyNumberFormat="1" applyFont="1" applyFill="1" applyBorder="1" applyAlignment="1">
      <alignment vertical="center" wrapText="1"/>
    </xf>
    <xf numFmtId="3" fontId="36" fillId="0" borderId="13" xfId="0" applyNumberFormat="1" applyFont="1" applyFill="1" applyBorder="1" applyAlignment="1">
      <alignment vertical="center" wrapText="1"/>
    </xf>
    <xf numFmtId="165" fontId="4" fillId="0" borderId="16" xfId="0" applyFont="1" applyFill="1" applyBorder="1" applyAlignment="1">
      <alignment horizontal="right" vertical="center" wrapText="1"/>
    </xf>
    <xf numFmtId="165" fontId="4" fillId="0" borderId="13" xfId="0" applyFont="1" applyFill="1" applyBorder="1" applyAlignment="1">
      <alignment vertical="center" wrapText="1"/>
    </xf>
    <xf numFmtId="41" fontId="5" fillId="0" borderId="13" xfId="1015" applyFont="1" applyFill="1" applyBorder="1" applyAlignment="1">
      <alignment horizontal="right" vertical="center" wrapText="1"/>
    </xf>
    <xf numFmtId="165" fontId="5" fillId="0" borderId="13" xfId="0" applyFont="1" applyFill="1" applyBorder="1" applyAlignment="1">
      <alignment vertical="center" wrapText="1"/>
    </xf>
    <xf numFmtId="4" fontId="5" fillId="0" borderId="13" xfId="812" applyNumberFormat="1" applyFont="1" applyFill="1" applyBorder="1" applyAlignment="1">
      <alignment horizontal="left" vertical="center" wrapText="1"/>
    </xf>
    <xf numFmtId="165" fontId="5" fillId="0" borderId="16" xfId="0" applyFont="1" applyFill="1" applyBorder="1" applyAlignment="1">
      <alignment horizontal="right" vertical="center" wrapText="1"/>
    </xf>
    <xf numFmtId="165" fontId="6" fillId="0" borderId="16" xfId="0" applyFont="1" applyFill="1" applyBorder="1" applyAlignment="1">
      <alignment horizontal="right" vertical="center" wrapText="1"/>
    </xf>
    <xf numFmtId="165" fontId="6" fillId="0" borderId="13" xfId="0" applyFont="1" applyFill="1" applyBorder="1" applyAlignment="1">
      <alignment vertical="center" wrapText="1"/>
    </xf>
    <xf numFmtId="3" fontId="44" fillId="0" borderId="16" xfId="0" applyNumberFormat="1" applyFont="1" applyFill="1" applyBorder="1" applyAlignment="1">
      <alignment vertical="center" wrapText="1"/>
    </xf>
    <xf numFmtId="3" fontId="46" fillId="0" borderId="20" xfId="0" applyNumberFormat="1" applyFont="1" applyFill="1" applyBorder="1" applyAlignment="1">
      <alignment vertical="center" wrapText="1"/>
    </xf>
    <xf numFmtId="3" fontId="36" fillId="0" borderId="0" xfId="0" applyNumberFormat="1" applyFont="1" applyFill="1" applyBorder="1" applyAlignment="1">
      <alignment vertical="center" wrapText="1"/>
    </xf>
    <xf numFmtId="0" fontId="36" fillId="0" borderId="0" xfId="0" applyNumberFormat="1" applyFont="1" applyFill="1" applyBorder="1" applyAlignment="1">
      <alignment vertical="center" wrapText="1"/>
    </xf>
    <xf numFmtId="4" fontId="36" fillId="0" borderId="18" xfId="0" applyNumberFormat="1" applyFont="1" applyFill="1" applyBorder="1" applyAlignment="1">
      <alignment vertical="center" wrapText="1"/>
    </xf>
    <xf numFmtId="165" fontId="41" fillId="0" borderId="16" xfId="0" applyFont="1" applyFill="1" applyBorder="1" applyAlignment="1">
      <alignment horizontal="right" vertical="center" wrapText="1"/>
    </xf>
    <xf numFmtId="165" fontId="34" fillId="0" borderId="16" xfId="0" applyFont="1" applyFill="1" applyBorder="1" applyAlignment="1">
      <alignment horizontal="right" vertical="center" wrapText="1"/>
    </xf>
    <xf numFmtId="165" fontId="34" fillId="0" borderId="13" xfId="0" applyFont="1" applyFill="1" applyBorder="1" applyAlignment="1">
      <alignment vertical="center" wrapText="1"/>
    </xf>
    <xf numFmtId="165" fontId="41" fillId="0" borderId="13" xfId="0" applyFont="1" applyFill="1" applyBorder="1" applyAlignment="1">
      <alignment vertical="center" wrapText="1"/>
    </xf>
    <xf numFmtId="4" fontId="7" fillId="0" borderId="18" xfId="0" applyNumberFormat="1" applyFont="1" applyFill="1" applyBorder="1" applyAlignment="1">
      <alignment vertical="center" wrapText="1"/>
    </xf>
    <xf numFmtId="166" fontId="4" fillId="0" borderId="13" xfId="1015" applyNumberFormat="1" applyFont="1" applyFill="1" applyBorder="1" applyAlignment="1">
      <alignment vertical="center" wrapText="1"/>
    </xf>
    <xf numFmtId="3" fontId="35" fillId="0" borderId="34" xfId="0" applyNumberFormat="1" applyFont="1" applyFill="1" applyBorder="1" applyAlignment="1">
      <alignment vertical="center" wrapText="1"/>
    </xf>
    <xf numFmtId="3" fontId="3" fillId="0" borderId="32" xfId="0" applyNumberFormat="1" applyFont="1" applyFill="1" applyBorder="1" applyAlignment="1">
      <alignment vertical="center" wrapText="1"/>
    </xf>
    <xf numFmtId="3" fontId="4" fillId="0" borderId="27" xfId="810" applyNumberFormat="1" applyFont="1" applyFill="1" applyBorder="1" applyAlignment="1">
      <alignment vertical="center" wrapText="1"/>
    </xf>
    <xf numFmtId="3" fontId="38" fillId="0" borderId="28" xfId="0" applyNumberFormat="1" applyFont="1" applyFill="1" applyBorder="1" applyAlignment="1">
      <alignment vertical="center" wrapText="1"/>
    </xf>
    <xf numFmtId="9" fontId="7" fillId="0" borderId="12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horizontal="center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4" fontId="36" fillId="0" borderId="17" xfId="0" applyNumberFormat="1" applyFont="1" applyFill="1" applyBorder="1" applyAlignment="1">
      <alignment vertical="center" wrapText="1"/>
    </xf>
    <xf numFmtId="0" fontId="36" fillId="0" borderId="13" xfId="805" applyFont="1" applyFill="1" applyBorder="1" applyAlignment="1" applyProtection="1">
      <alignment vertical="center" wrapText="1"/>
    </xf>
    <xf numFmtId="0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3" fillId="0" borderId="0" xfId="0" applyNumberFormat="1" applyFont="1" applyFill="1" applyAlignment="1">
      <alignment horizontal="left" vertical="center" wrapText="1"/>
    </xf>
    <xf numFmtId="0" fontId="36" fillId="0" borderId="0" xfId="0" applyNumberFormat="1" applyFont="1" applyFill="1" applyAlignment="1">
      <alignment vertical="center" wrapText="1"/>
    </xf>
    <xf numFmtId="3" fontId="36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3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4" fontId="5" fillId="24" borderId="35" xfId="0" applyNumberFormat="1" applyFont="1" applyFill="1" applyBorder="1" applyAlignment="1" applyProtection="1">
      <alignment horizontal="right" vertical="center" wrapText="1"/>
    </xf>
    <xf numFmtId="3" fontId="5" fillId="24" borderId="0" xfId="0" applyNumberFormat="1" applyFont="1" applyFill="1" applyBorder="1" applyAlignment="1">
      <alignment vertical="center" wrapText="1"/>
    </xf>
    <xf numFmtId="0" fontId="5" fillId="24" borderId="0" xfId="0" applyNumberFormat="1" applyFont="1" applyFill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Alignment="1">
      <alignment vertical="center" wrapText="1"/>
    </xf>
    <xf numFmtId="4" fontId="5" fillId="24" borderId="11" xfId="0" applyNumberFormat="1" applyFont="1" applyFill="1" applyBorder="1" applyAlignment="1">
      <alignment vertical="center" wrapText="1"/>
    </xf>
    <xf numFmtId="3" fontId="5" fillId="0" borderId="13" xfId="0" applyNumberFormat="1" applyFont="1" applyFill="1" applyBorder="1" applyAlignment="1">
      <alignment vertical="center" wrapText="1"/>
    </xf>
    <xf numFmtId="3" fontId="3" fillId="0" borderId="20" xfId="0" applyNumberFormat="1" applyFont="1" applyFill="1" applyBorder="1" applyAlignment="1">
      <alignment horizontal="left" vertical="center" wrapText="1"/>
    </xf>
    <xf numFmtId="3" fontId="36" fillId="0" borderId="14" xfId="0" applyNumberFormat="1" applyFont="1" applyFill="1" applyBorder="1" applyAlignment="1">
      <alignment vertical="center" wrapText="1"/>
    </xf>
    <xf numFmtId="3" fontId="43" fillId="0" borderId="14" xfId="0" applyNumberFormat="1" applyFont="1" applyFill="1" applyBorder="1" applyAlignment="1">
      <alignment vertical="center" wrapText="1"/>
    </xf>
    <xf numFmtId="41" fontId="43" fillId="0" borderId="14" xfId="1015" applyFont="1" applyFill="1" applyBorder="1" applyAlignment="1">
      <alignment vertical="center" wrapText="1"/>
    </xf>
    <xf numFmtId="41" fontId="4" fillId="0" borderId="0" xfId="1015" applyFont="1" applyFill="1" applyAlignment="1">
      <alignment vertical="center" wrapText="1"/>
    </xf>
    <xf numFmtId="41" fontId="4" fillId="0" borderId="0" xfId="1015" applyFont="1" applyFill="1" applyAlignment="1">
      <alignment horizontal="right" vertical="center" wrapText="1"/>
    </xf>
    <xf numFmtId="41" fontId="6" fillId="0" borderId="13" xfId="1015" applyFont="1" applyFill="1" applyBorder="1" applyAlignment="1">
      <alignment horizontal="right" vertical="center" wrapText="1"/>
    </xf>
    <xf numFmtId="41" fontId="7" fillId="0" borderId="13" xfId="1015" applyFont="1" applyFill="1" applyBorder="1" applyAlignment="1">
      <alignment horizontal="right" vertical="center" wrapText="1"/>
    </xf>
    <xf numFmtId="41" fontId="4" fillId="0" borderId="13" xfId="1015" applyFont="1" applyFill="1" applyBorder="1" applyAlignment="1">
      <alignment horizontal="right" vertical="center" wrapText="1"/>
    </xf>
    <xf numFmtId="41" fontId="4" fillId="0" borderId="15" xfId="1015" applyFont="1" applyFill="1" applyBorder="1" applyAlignment="1">
      <alignment horizontal="right" vertical="center" wrapText="1"/>
    </xf>
    <xf numFmtId="41" fontId="5" fillId="0" borderId="13" xfId="1015" applyFont="1" applyFill="1" applyBorder="1" applyAlignment="1" applyProtection="1">
      <alignment horizontal="right" vertical="center" wrapText="1"/>
    </xf>
    <xf numFmtId="41" fontId="4" fillId="0" borderId="13" xfId="1015" applyFont="1" applyFill="1" applyBorder="1" applyAlignment="1" applyProtection="1">
      <alignment horizontal="right" vertical="center" wrapText="1"/>
    </xf>
    <xf numFmtId="41" fontId="6" fillId="0" borderId="13" xfId="1015" applyFont="1" applyFill="1" applyBorder="1" applyAlignment="1" applyProtection="1">
      <alignment horizontal="right" vertical="center" wrapText="1"/>
    </xf>
    <xf numFmtId="41" fontId="41" fillId="0" borderId="13" xfId="1015" applyFont="1" applyFill="1" applyBorder="1" applyAlignment="1">
      <alignment horizontal="right" vertical="center" wrapText="1"/>
    </xf>
    <xf numFmtId="41" fontId="42" fillId="0" borderId="13" xfId="1015" applyFont="1" applyFill="1" applyBorder="1" applyAlignment="1">
      <alignment horizontal="right" vertical="center" wrapText="1"/>
    </xf>
    <xf numFmtId="41" fontId="34" fillId="0" borderId="13" xfId="1015" applyFont="1" applyFill="1" applyBorder="1" applyAlignment="1">
      <alignment horizontal="right" vertical="center" wrapText="1"/>
    </xf>
    <xf numFmtId="41" fontId="7" fillId="0" borderId="0" xfId="1015" applyFont="1" applyFill="1" applyAlignment="1">
      <alignment horizontal="right" vertical="center" wrapText="1"/>
    </xf>
    <xf numFmtId="3" fontId="4" fillId="0" borderId="21" xfId="0" applyNumberFormat="1" applyFont="1" applyFill="1" applyBorder="1" applyAlignment="1">
      <alignment horizontal="right" vertical="center" wrapText="1"/>
    </xf>
    <xf numFmtId="41" fontId="43" fillId="0" borderId="24" xfId="1015" applyFont="1" applyFill="1" applyBorder="1" applyAlignment="1">
      <alignment vertical="center" wrapText="1"/>
    </xf>
    <xf numFmtId="3" fontId="9" fillId="0" borderId="15" xfId="0" applyNumberFormat="1" applyFont="1" applyFill="1" applyBorder="1" applyAlignment="1">
      <alignment vertical="center" wrapText="1"/>
    </xf>
    <xf numFmtId="4" fontId="8" fillId="0" borderId="18" xfId="0" applyNumberFormat="1" applyFont="1" applyFill="1" applyBorder="1" applyAlignment="1">
      <alignment vertical="center" wrapText="1"/>
    </xf>
    <xf numFmtId="3" fontId="44" fillId="0" borderId="0" xfId="0" applyNumberFormat="1" applyFont="1" applyFill="1" applyAlignment="1">
      <alignment horizontal="center" vertical="center" wrapText="1"/>
    </xf>
    <xf numFmtId="3" fontId="44" fillId="0" borderId="0" xfId="0" applyNumberFormat="1" applyFont="1" applyFill="1" applyAlignment="1">
      <alignment vertical="center" wrapText="1"/>
    </xf>
    <xf numFmtId="167" fontId="4" fillId="0" borderId="0" xfId="0" applyNumberFormat="1" applyFont="1" applyFill="1" applyAlignment="1">
      <alignment horizontal="right" vertical="center" wrapText="1"/>
    </xf>
    <xf numFmtId="3" fontId="4" fillId="0" borderId="0" xfId="0" applyNumberFormat="1" applyFont="1" applyFill="1" applyBorder="1" applyAlignment="1">
      <alignment horizontal="right" vertical="center" wrapText="1"/>
    </xf>
    <xf numFmtId="4" fontId="5" fillId="0" borderId="13" xfId="0" applyNumberFormat="1" applyFont="1" applyFill="1" applyBorder="1" applyAlignment="1">
      <alignment horizontal="right" vertical="center" wrapText="1"/>
    </xf>
    <xf numFmtId="41" fontId="6" fillId="0" borderId="0" xfId="1015" applyFont="1" applyFill="1" applyAlignment="1">
      <alignment horizontal="right" vertical="center" wrapText="1"/>
    </xf>
    <xf numFmtId="3" fontId="3" fillId="24" borderId="0" xfId="0" applyNumberFormat="1" applyFont="1" applyFill="1" applyBorder="1" applyAlignment="1">
      <alignment vertical="center" wrapText="1"/>
    </xf>
    <xf numFmtId="4" fontId="4" fillId="0" borderId="13" xfId="0" applyNumberFormat="1" applyFont="1" applyFill="1" applyBorder="1" applyAlignment="1">
      <alignment horizontal="left" vertical="center" wrapText="1"/>
    </xf>
    <xf numFmtId="4" fontId="4" fillId="0" borderId="13" xfId="811" applyNumberFormat="1" applyFont="1" applyFill="1" applyBorder="1" applyAlignment="1">
      <alignment horizontal="left" vertical="center" wrapText="1"/>
    </xf>
    <xf numFmtId="0" fontId="5" fillId="0" borderId="16" xfId="805" applyFont="1" applyFill="1" applyBorder="1" applyAlignment="1" applyProtection="1">
      <alignment horizontal="right" vertical="center" wrapText="1"/>
    </xf>
    <xf numFmtId="0" fontId="4" fillId="0" borderId="16" xfId="805" applyFont="1" applyFill="1" applyBorder="1" applyAlignment="1" applyProtection="1">
      <alignment horizontal="right" vertical="center" wrapText="1"/>
    </xf>
    <xf numFmtId="165" fontId="4" fillId="0" borderId="21" xfId="0" applyFont="1" applyFill="1" applyBorder="1" applyAlignment="1">
      <alignment horizontal="right" vertical="center" wrapText="1"/>
    </xf>
    <xf numFmtId="4" fontId="8" fillId="0" borderId="17" xfId="0" applyNumberFormat="1" applyFont="1" applyFill="1" applyBorder="1" applyAlignment="1">
      <alignment vertical="center" wrapText="1"/>
    </xf>
    <xf numFmtId="165" fontId="44" fillId="0" borderId="13" xfId="0" applyFont="1" applyFill="1" applyBorder="1" applyAlignment="1">
      <alignment vertical="center" wrapText="1"/>
    </xf>
    <xf numFmtId="165" fontId="44" fillId="0" borderId="16" xfId="0" applyFont="1" applyFill="1" applyBorder="1" applyAlignment="1">
      <alignment horizontal="right" vertical="center" wrapText="1"/>
    </xf>
    <xf numFmtId="41" fontId="44" fillId="0" borderId="13" xfId="1015" applyFont="1" applyFill="1" applyBorder="1" applyAlignment="1">
      <alignment horizontal="right" vertical="center" wrapText="1"/>
    </xf>
    <xf numFmtId="165" fontId="44" fillId="0" borderId="20" xfId="0" applyFont="1" applyFill="1" applyBorder="1" applyAlignment="1">
      <alignment horizontal="right" vertical="center" wrapText="1"/>
    </xf>
    <xf numFmtId="165" fontId="44" fillId="0" borderId="14" xfId="0" applyFont="1" applyFill="1" applyBorder="1" applyAlignment="1">
      <alignment vertical="center" wrapText="1"/>
    </xf>
    <xf numFmtId="41" fontId="44" fillId="0" borderId="13" xfId="1015" applyFont="1" applyFill="1" applyBorder="1" applyAlignment="1" applyProtection="1">
      <alignment horizontal="right" vertical="center" wrapText="1"/>
    </xf>
    <xf numFmtId="165" fontId="51" fillId="0" borderId="16" xfId="0" applyFont="1" applyFill="1" applyBorder="1" applyAlignment="1">
      <alignment horizontal="right" vertical="center" wrapText="1"/>
    </xf>
    <xf numFmtId="165" fontId="51" fillId="0" borderId="13" xfId="0" applyFont="1" applyFill="1" applyBorder="1" applyAlignment="1">
      <alignment vertical="center" wrapText="1"/>
    </xf>
    <xf numFmtId="41" fontId="51" fillId="0" borderId="13" xfId="1015" applyFont="1" applyFill="1" applyBorder="1" applyAlignment="1">
      <alignment horizontal="right" vertical="center" wrapText="1"/>
    </xf>
    <xf numFmtId="41" fontId="4" fillId="0" borderId="13" xfId="1015" applyFont="1" applyFill="1" applyBorder="1" applyAlignment="1">
      <alignment vertical="center" wrapText="1"/>
    </xf>
    <xf numFmtId="3" fontId="49" fillId="0" borderId="0" xfId="0" applyNumberFormat="1" applyFont="1" applyFill="1" applyAlignment="1">
      <alignment vertical="center" wrapText="1"/>
    </xf>
    <xf numFmtId="3" fontId="52" fillId="0" borderId="0" xfId="0" applyNumberFormat="1" applyFont="1" applyFill="1" applyAlignment="1">
      <alignment horizontal="center" vertical="center" wrapText="1"/>
    </xf>
    <xf numFmtId="9" fontId="4" fillId="0" borderId="0" xfId="835" applyFont="1" applyFill="1" applyAlignment="1">
      <alignment horizontal="right" vertical="center" wrapText="1"/>
    </xf>
    <xf numFmtId="9" fontId="7" fillId="0" borderId="18" xfId="835" applyFont="1" applyFill="1" applyBorder="1" applyAlignment="1">
      <alignment horizontal="right" vertical="center" wrapText="1"/>
    </xf>
    <xf numFmtId="9" fontId="4" fillId="0" borderId="0" xfId="835" applyFont="1" applyFill="1" applyBorder="1" applyAlignment="1">
      <alignment horizontal="right" vertical="center" wrapText="1"/>
    </xf>
    <xf numFmtId="4" fontId="6" fillId="0" borderId="13" xfId="0" applyNumberFormat="1" applyFont="1" applyFill="1" applyBorder="1" applyAlignment="1">
      <alignment horizontal="right" vertical="center" wrapText="1"/>
    </xf>
    <xf numFmtId="41" fontId="3" fillId="0" borderId="16" xfId="1015" applyFont="1" applyFill="1" applyBorder="1" applyAlignment="1">
      <alignment vertical="center" wrapText="1"/>
    </xf>
    <xf numFmtId="3" fontId="6" fillId="0" borderId="16" xfId="0" applyNumberFormat="1" applyFont="1" applyFill="1" applyBorder="1" applyAlignment="1">
      <alignment vertical="center" wrapText="1"/>
    </xf>
    <xf numFmtId="3" fontId="46" fillId="0" borderId="16" xfId="0" applyNumberFormat="1" applyFont="1" applyFill="1" applyBorder="1" applyAlignment="1">
      <alignment vertical="center" wrapText="1"/>
    </xf>
    <xf numFmtId="168" fontId="4" fillId="0" borderId="0" xfId="685" applyNumberFormat="1" applyFont="1" applyFill="1" applyAlignment="1">
      <alignment horizontal="right" vertical="center" wrapText="1"/>
    </xf>
    <xf numFmtId="168" fontId="6" fillId="0" borderId="0" xfId="685" applyNumberFormat="1" applyFont="1" applyFill="1" applyAlignment="1">
      <alignment horizontal="right" vertical="center" wrapText="1"/>
    </xf>
    <xf numFmtId="4" fontId="4" fillId="0" borderId="18" xfId="0" applyNumberFormat="1" applyFont="1" applyFill="1" applyBorder="1" applyAlignment="1">
      <alignment vertical="center" wrapText="1"/>
    </xf>
    <xf numFmtId="165" fontId="7" fillId="0" borderId="16" xfId="0" applyFont="1" applyFill="1" applyBorder="1" applyAlignment="1">
      <alignment horizontal="right" vertical="center" wrapText="1"/>
    </xf>
    <xf numFmtId="165" fontId="7" fillId="0" borderId="13" xfId="0" applyFont="1" applyFill="1" applyBorder="1" applyAlignment="1">
      <alignment vertical="center" wrapText="1"/>
    </xf>
    <xf numFmtId="4" fontId="10" fillId="0" borderId="18" xfId="0" applyNumberFormat="1" applyFont="1" applyFill="1" applyBorder="1" applyAlignment="1">
      <alignment vertical="center" wrapText="1"/>
    </xf>
    <xf numFmtId="3" fontId="11" fillId="0" borderId="24" xfId="0" applyNumberFormat="1" applyFont="1" applyFill="1" applyBorder="1" applyAlignment="1">
      <alignment vertical="center" wrapText="1"/>
    </xf>
    <xf numFmtId="4" fontId="53" fillId="0" borderId="18" xfId="0" applyNumberFormat="1" applyFont="1" applyFill="1" applyBorder="1" applyAlignment="1">
      <alignment vertical="center" wrapText="1"/>
    </xf>
    <xf numFmtId="3" fontId="46" fillId="0" borderId="0" xfId="0" applyNumberFormat="1" applyFont="1" applyFill="1" applyBorder="1" applyAlignment="1">
      <alignment vertical="center" wrapText="1"/>
    </xf>
    <xf numFmtId="0" fontId="46" fillId="0" borderId="0" xfId="0" applyNumberFormat="1" applyFont="1" applyFill="1" applyBorder="1" applyAlignment="1">
      <alignment vertical="center" wrapText="1"/>
    </xf>
    <xf numFmtId="165" fontId="52" fillId="0" borderId="16" xfId="0" applyFont="1" applyFill="1" applyBorder="1" applyAlignment="1">
      <alignment horizontal="right" vertical="center" wrapText="1"/>
    </xf>
    <xf numFmtId="165" fontId="52" fillId="0" borderId="13" xfId="0" applyFont="1" applyFill="1" applyBorder="1" applyAlignment="1">
      <alignment vertical="center" wrapText="1"/>
    </xf>
    <xf numFmtId="4" fontId="7" fillId="0" borderId="13" xfId="0" applyNumberFormat="1" applyFont="1" applyFill="1" applyBorder="1" applyAlignment="1">
      <alignment horizontal="right" vertical="center" wrapText="1"/>
    </xf>
    <xf numFmtId="3" fontId="38" fillId="0" borderId="0" xfId="0" applyNumberFormat="1" applyFont="1" applyFill="1" applyAlignment="1">
      <alignment horizontal="center" vertical="center" wrapText="1"/>
    </xf>
    <xf numFmtId="165" fontId="38" fillId="0" borderId="16" xfId="0" applyFont="1" applyFill="1" applyBorder="1" applyAlignment="1">
      <alignment horizontal="right" vertical="center" wrapText="1"/>
    </xf>
    <xf numFmtId="165" fontId="38" fillId="0" borderId="13" xfId="0" applyFont="1" applyFill="1" applyBorder="1" applyAlignment="1">
      <alignment vertical="center" wrapText="1"/>
    </xf>
    <xf numFmtId="3" fontId="38" fillId="0" borderId="0" xfId="0" applyNumberFormat="1" applyFont="1" applyFill="1" applyAlignment="1">
      <alignment vertical="center" wrapText="1"/>
    </xf>
    <xf numFmtId="4" fontId="5" fillId="0" borderId="13" xfId="734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Alignment="1">
      <alignment horizontal="center" vertical="center" wrapText="1"/>
    </xf>
    <xf numFmtId="4" fontId="44" fillId="0" borderId="13" xfId="0" applyNumberFormat="1" applyFont="1" applyFill="1" applyBorder="1" applyAlignment="1" applyProtection="1">
      <alignment vertical="center" wrapText="1"/>
    </xf>
    <xf numFmtId="4" fontId="4" fillId="0" borderId="13" xfId="0" applyNumberFormat="1" applyFont="1" applyFill="1" applyBorder="1" applyAlignment="1" applyProtection="1">
      <alignment vertical="center" wrapText="1"/>
    </xf>
    <xf numFmtId="4" fontId="49" fillId="0" borderId="13" xfId="0" applyNumberFormat="1" applyFont="1" applyFill="1" applyBorder="1" applyAlignment="1" applyProtection="1">
      <alignment vertical="center" wrapText="1"/>
    </xf>
    <xf numFmtId="4" fontId="38" fillId="0" borderId="13" xfId="0" applyNumberFormat="1" applyFont="1" applyFill="1" applyBorder="1" applyAlignment="1" applyProtection="1">
      <alignment vertical="center" wrapText="1"/>
    </xf>
    <xf numFmtId="165" fontId="4" fillId="0" borderId="15" xfId="0" applyFont="1" applyFill="1" applyBorder="1" applyAlignment="1">
      <alignment vertical="center" wrapText="1"/>
    </xf>
    <xf numFmtId="3" fontId="49" fillId="0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165" fontId="6" fillId="0" borderId="13" xfId="0" applyFont="1" applyFill="1" applyBorder="1" applyAlignment="1" applyProtection="1">
      <alignment horizontal="left" vertical="center" wrapText="1"/>
    </xf>
    <xf numFmtId="41" fontId="38" fillId="0" borderId="13" xfId="1015" applyFont="1" applyFill="1" applyBorder="1" applyAlignment="1" applyProtection="1">
      <alignment horizontal="right" vertical="center" wrapText="1"/>
    </xf>
    <xf numFmtId="165" fontId="42" fillId="0" borderId="16" xfId="0" applyFont="1" applyFill="1" applyBorder="1" applyAlignment="1">
      <alignment horizontal="right" vertical="center" wrapText="1"/>
    </xf>
    <xf numFmtId="165" fontId="42" fillId="0" borderId="13" xfId="0" applyFont="1" applyFill="1" applyBorder="1" applyAlignment="1">
      <alignment vertical="center" wrapText="1"/>
    </xf>
    <xf numFmtId="3" fontId="12" fillId="0" borderId="24" xfId="0" applyNumberFormat="1" applyFont="1" applyFill="1" applyBorder="1" applyAlignment="1">
      <alignment vertical="center" wrapText="1"/>
    </xf>
    <xf numFmtId="3" fontId="9" fillId="0" borderId="0" xfId="0" applyNumberFormat="1" applyFont="1" applyFill="1" applyBorder="1" applyAlignment="1">
      <alignment vertical="center" wrapText="1"/>
    </xf>
    <xf numFmtId="3" fontId="9" fillId="0" borderId="25" xfId="0" applyNumberFormat="1" applyFont="1" applyFill="1" applyBorder="1" applyAlignment="1">
      <alignment vertical="center" wrapText="1"/>
    </xf>
    <xf numFmtId="41" fontId="7" fillId="0" borderId="13" xfId="1015" applyFont="1" applyFill="1" applyBorder="1" applyAlignment="1" applyProtection="1">
      <alignment horizontal="right" vertical="center" wrapText="1"/>
    </xf>
    <xf numFmtId="4" fontId="6" fillId="0" borderId="13" xfId="0" applyNumberFormat="1" applyFont="1" applyFill="1" applyBorder="1" applyAlignment="1" applyProtection="1">
      <alignment vertical="center" wrapText="1"/>
    </xf>
    <xf numFmtId="3" fontId="3" fillId="0" borderId="27" xfId="0" applyNumberFormat="1" applyFont="1" applyFill="1" applyBorder="1" applyAlignment="1">
      <alignment vertical="center" wrapText="1"/>
    </xf>
    <xf numFmtId="165" fontId="3" fillId="0" borderId="13" xfId="0" applyFont="1" applyFill="1" applyBorder="1" applyAlignment="1">
      <alignment vertical="center" wrapText="1"/>
    </xf>
    <xf numFmtId="4" fontId="52" fillId="0" borderId="13" xfId="0" applyNumberFormat="1" applyFont="1" applyFill="1" applyBorder="1" applyAlignment="1" applyProtection="1">
      <alignment vertical="center" wrapText="1"/>
    </xf>
    <xf numFmtId="3" fontId="39" fillId="0" borderId="16" xfId="0" applyNumberFormat="1" applyFont="1" applyFill="1" applyBorder="1" applyAlignment="1">
      <alignment vertical="center" wrapText="1"/>
    </xf>
    <xf numFmtId="3" fontId="48" fillId="0" borderId="16" xfId="0" applyNumberFormat="1" applyFont="1" applyFill="1" applyBorder="1" applyAlignment="1">
      <alignment vertical="center" wrapText="1"/>
    </xf>
    <xf numFmtId="3" fontId="8" fillId="0" borderId="16" xfId="0" applyNumberFormat="1" applyFont="1" applyFill="1" applyBorder="1" applyAlignment="1">
      <alignment vertical="center" wrapText="1"/>
    </xf>
    <xf numFmtId="3" fontId="10" fillId="0" borderId="16" xfId="0" applyNumberFormat="1" applyFont="1" applyFill="1" applyBorder="1" applyAlignment="1">
      <alignment vertical="center" wrapText="1"/>
    </xf>
    <xf numFmtId="3" fontId="10" fillId="0" borderId="16" xfId="0" quotePrefix="1" applyNumberFormat="1" applyFont="1" applyFill="1" applyBorder="1" applyAlignment="1">
      <alignment vertical="center" wrapText="1"/>
    </xf>
    <xf numFmtId="3" fontId="4" fillId="24" borderId="13" xfId="0" applyNumberFormat="1" applyFont="1" applyFill="1" applyBorder="1" applyAlignment="1">
      <alignment horizontal="right" vertical="center" wrapText="1"/>
    </xf>
    <xf numFmtId="3" fontId="4" fillId="24" borderId="13" xfId="685" applyNumberFormat="1" applyFont="1" applyFill="1" applyBorder="1" applyAlignment="1">
      <alignment horizontal="right" vertical="center" wrapText="1"/>
    </xf>
    <xf numFmtId="3" fontId="4" fillId="24" borderId="13" xfId="810" applyNumberFormat="1" applyFont="1" applyFill="1" applyBorder="1" applyAlignment="1">
      <alignment vertical="center" wrapText="1"/>
    </xf>
    <xf numFmtId="41" fontId="4" fillId="24" borderId="13" xfId="1015" applyFont="1" applyFill="1" applyBorder="1" applyAlignment="1">
      <alignment vertical="center" wrapText="1"/>
    </xf>
    <xf numFmtId="3" fontId="4" fillId="24" borderId="13" xfId="0" applyNumberFormat="1" applyFont="1" applyFill="1" applyBorder="1" applyAlignment="1">
      <alignment vertical="center" wrapText="1"/>
    </xf>
    <xf numFmtId="3" fontId="7" fillId="24" borderId="13" xfId="810" applyNumberFormat="1" applyFont="1" applyFill="1" applyBorder="1" applyAlignment="1">
      <alignment vertical="center" wrapText="1"/>
    </xf>
    <xf numFmtId="3" fontId="7" fillId="24" borderId="13" xfId="0" applyNumberFormat="1" applyFont="1" applyFill="1" applyBorder="1" applyAlignment="1">
      <alignment vertical="center" wrapText="1"/>
    </xf>
    <xf numFmtId="4" fontId="47" fillId="0" borderId="37" xfId="0" applyNumberFormat="1" applyFont="1" applyFill="1" applyBorder="1" applyAlignment="1">
      <alignment horizontal="right" vertical="center" wrapText="1"/>
    </xf>
    <xf numFmtId="4" fontId="47" fillId="0" borderId="31" xfId="0" applyNumberFormat="1" applyFont="1" applyFill="1" applyBorder="1" applyAlignment="1">
      <alignment horizontal="right" vertical="center" wrapText="1"/>
    </xf>
    <xf numFmtId="4" fontId="47" fillId="0" borderId="0" xfId="0" applyNumberFormat="1" applyFont="1" applyFill="1" applyBorder="1" applyAlignment="1">
      <alignment horizontal="right" vertical="center" wrapText="1"/>
    </xf>
    <xf numFmtId="41" fontId="3" fillId="24" borderId="16" xfId="1015" applyFont="1" applyFill="1" applyBorder="1" applyAlignment="1">
      <alignment vertical="center" wrapText="1"/>
    </xf>
    <xf numFmtId="41" fontId="4" fillId="24" borderId="13" xfId="1015" applyFont="1" applyFill="1" applyBorder="1" applyAlignment="1">
      <alignment horizontal="right" vertical="center" wrapText="1"/>
    </xf>
    <xf numFmtId="9" fontId="4" fillId="24" borderId="18" xfId="835" applyNumberFormat="1" applyFont="1" applyFill="1" applyBorder="1" applyAlignment="1">
      <alignment horizontal="right" vertical="center" wrapText="1"/>
    </xf>
    <xf numFmtId="3" fontId="36" fillId="24" borderId="16" xfId="0" applyNumberFormat="1" applyFont="1" applyFill="1" applyBorder="1" applyAlignment="1">
      <alignment vertical="center" wrapText="1"/>
    </xf>
    <xf numFmtId="3" fontId="3" fillId="24" borderId="16" xfId="0" applyNumberFormat="1" applyFont="1" applyFill="1" applyBorder="1" applyAlignment="1">
      <alignment vertical="center" wrapText="1"/>
    </xf>
    <xf numFmtId="3" fontId="39" fillId="24" borderId="16" xfId="0" applyNumberFormat="1" applyFont="1" applyFill="1" applyBorder="1" applyAlignment="1">
      <alignment vertical="center" wrapText="1"/>
    </xf>
    <xf numFmtId="3" fontId="14" fillId="24" borderId="13" xfId="0" applyNumberFormat="1" applyFont="1" applyFill="1" applyBorder="1" applyAlignment="1">
      <alignment vertical="center" wrapText="1"/>
    </xf>
    <xf numFmtId="3" fontId="4" fillId="24" borderId="13" xfId="685" applyNumberFormat="1" applyFont="1" applyFill="1" applyBorder="1" applyAlignment="1">
      <alignment vertical="center" wrapText="1"/>
    </xf>
    <xf numFmtId="3" fontId="6" fillId="24" borderId="16" xfId="0" applyNumberFormat="1" applyFont="1" applyFill="1" applyBorder="1" applyAlignment="1">
      <alignment vertical="center" wrapText="1"/>
    </xf>
    <xf numFmtId="41" fontId="4" fillId="0" borderId="15" xfId="1015" applyFont="1" applyFill="1" applyBorder="1" applyAlignment="1" applyProtection="1">
      <alignment horizontal="right" vertical="center" wrapText="1"/>
    </xf>
    <xf numFmtId="4" fontId="5" fillId="0" borderId="18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165" fontId="5" fillId="24" borderId="16" xfId="0" applyFont="1" applyFill="1" applyBorder="1" applyAlignment="1">
      <alignment horizontal="right" vertical="center" wrapText="1"/>
    </xf>
    <xf numFmtId="165" fontId="4" fillId="24" borderId="16" xfId="0" applyFont="1" applyFill="1" applyBorder="1" applyAlignment="1">
      <alignment horizontal="right" vertical="center" wrapText="1"/>
    </xf>
    <xf numFmtId="165" fontId="4" fillId="24" borderId="13" xfId="0" applyFont="1" applyFill="1" applyBorder="1" applyAlignment="1">
      <alignment vertical="center" wrapText="1"/>
    </xf>
    <xf numFmtId="3" fontId="36" fillId="24" borderId="0" xfId="0" applyNumberFormat="1" applyFont="1" applyFill="1" applyBorder="1" applyAlignment="1">
      <alignment vertical="center" wrapText="1"/>
    </xf>
    <xf numFmtId="0" fontId="36" fillId="24" borderId="0" xfId="0" applyNumberFormat="1" applyFont="1" applyFill="1" applyBorder="1" applyAlignment="1">
      <alignment vertical="center" wrapText="1"/>
    </xf>
    <xf numFmtId="3" fontId="36" fillId="24" borderId="0" xfId="0" applyNumberFormat="1" applyFont="1" applyFill="1" applyAlignment="1">
      <alignment vertical="center" wrapText="1"/>
    </xf>
    <xf numFmtId="41" fontId="6" fillId="0" borderId="0" xfId="1015" applyNumberFormat="1" applyFont="1" applyFill="1" applyAlignment="1">
      <alignment horizontal="right" vertical="center" wrapText="1"/>
    </xf>
    <xf numFmtId="41" fontId="4" fillId="0" borderId="0" xfId="0" applyNumberFormat="1" applyFont="1" applyFill="1" applyBorder="1" applyAlignment="1">
      <alignment vertical="center" wrapText="1"/>
    </xf>
    <xf numFmtId="41" fontId="4" fillId="0" borderId="0" xfId="685" applyNumberFormat="1" applyFont="1" applyFill="1" applyBorder="1" applyAlignment="1">
      <alignment horizontal="right" vertical="center" wrapText="1"/>
    </xf>
    <xf numFmtId="41" fontId="4" fillId="0" borderId="0" xfId="1015" applyNumberFormat="1" applyFont="1" applyFill="1" applyBorder="1" applyAlignment="1">
      <alignment horizontal="right" vertical="center" wrapText="1"/>
    </xf>
    <xf numFmtId="164" fontId="4" fillId="0" borderId="13" xfId="685" applyFont="1" applyFill="1" applyBorder="1" applyAlignment="1">
      <alignment horizontal="right" vertical="center" wrapText="1"/>
    </xf>
    <xf numFmtId="4" fontId="4" fillId="24" borderId="13" xfId="0" applyNumberFormat="1" applyFont="1" applyFill="1" applyBorder="1" applyAlignment="1">
      <alignment horizontal="right" vertical="center" wrapText="1"/>
    </xf>
    <xf numFmtId="165" fontId="5" fillId="24" borderId="13" xfId="0" applyFont="1" applyFill="1" applyBorder="1" applyAlignment="1">
      <alignment vertical="center" wrapText="1"/>
    </xf>
    <xf numFmtId="41" fontId="5" fillId="24" borderId="13" xfId="1015" applyFont="1" applyFill="1" applyBorder="1" applyAlignment="1">
      <alignment horizontal="right" vertical="center" wrapText="1"/>
    </xf>
    <xf numFmtId="0" fontId="7" fillId="0" borderId="41" xfId="0" applyNumberFormat="1" applyFont="1" applyFill="1" applyBorder="1" applyAlignment="1">
      <alignment horizontal="center" vertical="center" wrapText="1"/>
    </xf>
    <xf numFmtId="4" fontId="7" fillId="0" borderId="35" xfId="0" applyNumberFormat="1" applyFont="1" applyFill="1" applyBorder="1" applyAlignment="1">
      <alignment horizontal="center" vertical="center" wrapText="1"/>
    </xf>
    <xf numFmtId="4" fontId="7" fillId="0" borderId="36" xfId="0" applyNumberFormat="1" applyFont="1" applyFill="1" applyBorder="1" applyAlignment="1">
      <alignment horizontal="center" vertical="center" wrapText="1"/>
    </xf>
    <xf numFmtId="4" fontId="44" fillId="0" borderId="14" xfId="0" applyNumberFormat="1" applyFont="1" applyFill="1" applyBorder="1" applyAlignment="1" applyProtection="1">
      <alignment vertical="center" wrapText="1"/>
    </xf>
    <xf numFmtId="41" fontId="44" fillId="0" borderId="18" xfId="1015" applyFont="1" applyFill="1" applyBorder="1" applyAlignment="1">
      <alignment horizontal="right" vertical="center" wrapText="1"/>
    </xf>
    <xf numFmtId="4" fontId="8" fillId="0" borderId="23" xfId="0" applyNumberFormat="1" applyFont="1" applyFill="1" applyBorder="1" applyAlignment="1">
      <alignment vertical="center" wrapText="1"/>
    </xf>
    <xf numFmtId="4" fontId="5" fillId="0" borderId="44" xfId="0" applyNumberFormat="1" applyFont="1" applyFill="1" applyBorder="1" applyAlignment="1">
      <alignment vertical="center" wrapText="1"/>
    </xf>
    <xf numFmtId="4" fontId="5" fillId="0" borderId="45" xfId="0" applyNumberFormat="1" applyFont="1" applyFill="1" applyBorder="1" applyAlignment="1">
      <alignment vertical="center" wrapText="1"/>
    </xf>
    <xf numFmtId="164" fontId="43" fillId="0" borderId="13" xfId="685" applyFont="1" applyFill="1" applyBorder="1" applyAlignment="1">
      <alignment vertical="center" wrapText="1"/>
    </xf>
    <xf numFmtId="164" fontId="43" fillId="0" borderId="14" xfId="685" applyNumberFormat="1" applyFont="1" applyFill="1" applyBorder="1" applyAlignment="1">
      <alignment vertical="center" wrapText="1"/>
    </xf>
    <xf numFmtId="166" fontId="43" fillId="0" borderId="14" xfId="1015" applyNumberFormat="1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horizontal="left" vertical="center" wrapText="1"/>
    </xf>
    <xf numFmtId="4" fontId="4" fillId="0" borderId="23" xfId="0" applyNumberFormat="1" applyFont="1" applyFill="1" applyBorder="1" applyAlignment="1">
      <alignment vertical="center" wrapText="1"/>
    </xf>
    <xf numFmtId="4" fontId="5" fillId="24" borderId="44" xfId="0" applyNumberFormat="1" applyFont="1" applyFill="1" applyBorder="1" applyAlignment="1" applyProtection="1">
      <alignment horizontal="right" vertical="center" wrapText="1"/>
    </xf>
    <xf numFmtId="4" fontId="5" fillId="0" borderId="22" xfId="0" applyNumberFormat="1" applyFont="1" applyFill="1" applyBorder="1" applyAlignment="1">
      <alignment vertical="center" wrapText="1"/>
    </xf>
    <xf numFmtId="165" fontId="42" fillId="0" borderId="21" xfId="0" applyFont="1" applyFill="1" applyBorder="1" applyAlignment="1">
      <alignment horizontal="right" vertical="center" wrapText="1"/>
    </xf>
    <xf numFmtId="165" fontId="42" fillId="0" borderId="15" xfId="0" applyFont="1" applyFill="1" applyBorder="1" applyAlignment="1">
      <alignment vertical="center" wrapText="1"/>
    </xf>
    <xf numFmtId="41" fontId="41" fillId="0" borderId="15" xfId="1015" applyFont="1" applyFill="1" applyBorder="1" applyAlignment="1">
      <alignment horizontal="right" vertical="center" wrapText="1"/>
    </xf>
    <xf numFmtId="49" fontId="5" fillId="0" borderId="13" xfId="0" applyNumberFormat="1" applyFont="1" applyFill="1" applyBorder="1" applyAlignment="1">
      <alignment vertical="center" wrapText="1"/>
    </xf>
    <xf numFmtId="49" fontId="3" fillId="0" borderId="13" xfId="0" applyNumberFormat="1" applyFont="1" applyFill="1" applyBorder="1" applyAlignment="1">
      <alignment vertical="center" wrapText="1"/>
    </xf>
    <xf numFmtId="3" fontId="6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vertical="center" wrapText="1"/>
    </xf>
    <xf numFmtId="49" fontId="6" fillId="0" borderId="13" xfId="0" applyNumberFormat="1" applyFont="1" applyFill="1" applyBorder="1" applyAlignment="1">
      <alignment vertical="center" wrapText="1"/>
    </xf>
    <xf numFmtId="41" fontId="3" fillId="0" borderId="0" xfId="1015" applyFont="1" applyFill="1" applyAlignment="1">
      <alignment horizontal="right" vertical="center" wrapText="1"/>
    </xf>
    <xf numFmtId="41" fontId="60" fillId="0" borderId="14" xfId="0" applyNumberFormat="1" applyFont="1" applyFill="1" applyBorder="1" applyAlignment="1" applyProtection="1">
      <alignment vertical="center" wrapText="1"/>
    </xf>
    <xf numFmtId="4" fontId="60" fillId="0" borderId="13" xfId="0" applyNumberFormat="1" applyFont="1" applyFill="1" applyBorder="1" applyAlignment="1" applyProtection="1">
      <alignment vertical="center" wrapText="1"/>
    </xf>
    <xf numFmtId="4" fontId="36" fillId="0" borderId="13" xfId="0" applyNumberFormat="1" applyFont="1" applyFill="1" applyBorder="1" applyAlignment="1" applyProtection="1">
      <alignment vertical="center" wrapText="1"/>
    </xf>
    <xf numFmtId="41" fontId="36" fillId="0" borderId="13" xfId="1015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 applyProtection="1">
      <alignment vertical="center" wrapText="1"/>
    </xf>
    <xf numFmtId="4" fontId="36" fillId="0" borderId="13" xfId="0" applyNumberFormat="1" applyFont="1" applyFill="1" applyBorder="1" applyAlignment="1">
      <alignment horizontal="right" vertical="center" wrapText="1"/>
    </xf>
    <xf numFmtId="4" fontId="46" fillId="0" borderId="13" xfId="0" applyNumberFormat="1" applyFont="1" applyFill="1" applyBorder="1" applyAlignment="1" applyProtection="1">
      <alignment vertical="center" wrapText="1"/>
    </xf>
    <xf numFmtId="41" fontId="3" fillId="0" borderId="13" xfId="1015" applyFont="1" applyFill="1" applyBorder="1" applyAlignment="1">
      <alignment horizontal="right" vertical="center" wrapText="1"/>
    </xf>
    <xf numFmtId="168" fontId="46" fillId="0" borderId="13" xfId="0" applyNumberFormat="1" applyFont="1" applyFill="1" applyBorder="1" applyAlignment="1" applyProtection="1">
      <alignment vertical="center" wrapText="1"/>
    </xf>
    <xf numFmtId="41" fontId="36" fillId="0" borderId="13" xfId="0" applyNumberFormat="1" applyFont="1" applyFill="1" applyBorder="1" applyAlignment="1" applyProtection="1">
      <alignment vertical="center" wrapText="1"/>
    </xf>
    <xf numFmtId="4" fontId="36" fillId="0" borderId="13" xfId="0" applyNumberFormat="1" applyFont="1" applyFill="1" applyBorder="1" applyAlignment="1">
      <alignment vertical="center" wrapText="1"/>
    </xf>
    <xf numFmtId="41" fontId="46" fillId="0" borderId="13" xfId="1015" applyFont="1" applyFill="1" applyBorder="1" applyAlignment="1">
      <alignment horizontal="right" vertical="center" wrapText="1"/>
    </xf>
    <xf numFmtId="41" fontId="3" fillId="0" borderId="15" xfId="1015" applyFont="1" applyFill="1" applyBorder="1" applyAlignment="1">
      <alignment horizontal="right" vertical="center" wrapText="1"/>
    </xf>
    <xf numFmtId="41" fontId="3" fillId="0" borderId="14" xfId="1015" applyFont="1" applyFill="1" applyBorder="1" applyAlignment="1">
      <alignment horizontal="right" vertical="center" wrapText="1"/>
    </xf>
    <xf numFmtId="41" fontId="46" fillId="0" borderId="13" xfId="1015" applyFont="1" applyFill="1" applyBorder="1" applyAlignment="1" applyProtection="1">
      <alignment horizontal="right" vertical="center" wrapText="1"/>
    </xf>
    <xf numFmtId="41" fontId="36" fillId="0" borderId="13" xfId="1015" applyFont="1" applyFill="1" applyBorder="1" applyAlignment="1" applyProtection="1">
      <alignment horizontal="right" vertical="center" wrapText="1"/>
    </xf>
    <xf numFmtId="41" fontId="3" fillId="0" borderId="13" xfId="1015" applyFont="1" applyFill="1" applyBorder="1" applyAlignment="1" applyProtection="1">
      <alignment horizontal="right" vertical="center" wrapText="1"/>
    </xf>
    <xf numFmtId="41" fontId="60" fillId="0" borderId="13" xfId="1015" applyFont="1" applyFill="1" applyBorder="1" applyAlignment="1" applyProtection="1">
      <alignment horizontal="right" vertical="center" wrapText="1"/>
    </xf>
    <xf numFmtId="41" fontId="36" fillId="0" borderId="13" xfId="1015" applyNumberFormat="1" applyFont="1" applyFill="1" applyBorder="1" applyAlignment="1" applyProtection="1">
      <alignment horizontal="right" vertical="center" wrapText="1"/>
    </xf>
    <xf numFmtId="41" fontId="46" fillId="0" borderId="13" xfId="1015" applyNumberFormat="1" applyFont="1" applyFill="1" applyBorder="1" applyAlignment="1" applyProtection="1">
      <alignment horizontal="right" vertical="center" wrapText="1"/>
    </xf>
    <xf numFmtId="41" fontId="3" fillId="0" borderId="15" xfId="1015" applyFont="1" applyFill="1" applyBorder="1" applyAlignment="1" applyProtection="1">
      <alignment horizontal="right" vertical="center" wrapText="1"/>
    </xf>
    <xf numFmtId="41" fontId="3" fillId="0" borderId="27" xfId="1015" applyFont="1" applyFill="1" applyBorder="1" applyAlignment="1">
      <alignment horizontal="right" vertical="center" wrapText="1"/>
    </xf>
    <xf numFmtId="41" fontId="61" fillId="0" borderId="13" xfId="1015" applyFont="1" applyFill="1" applyBorder="1" applyAlignment="1">
      <alignment horizontal="right" vertical="center" wrapText="1"/>
    </xf>
    <xf numFmtId="41" fontId="62" fillId="0" borderId="13" xfId="1015" applyFont="1" applyFill="1" applyBorder="1" applyAlignment="1">
      <alignment horizontal="right" vertical="center" wrapText="1"/>
    </xf>
    <xf numFmtId="41" fontId="59" fillId="0" borderId="13" xfId="1015" applyFont="1" applyFill="1" applyBorder="1" applyAlignment="1">
      <alignment horizontal="right" vertical="center" wrapText="1"/>
    </xf>
    <xf numFmtId="41" fontId="59" fillId="0" borderId="15" xfId="1015" applyFont="1" applyFill="1" applyBorder="1" applyAlignment="1">
      <alignment horizontal="right" vertical="center" wrapText="1"/>
    </xf>
    <xf numFmtId="3" fontId="3" fillId="0" borderId="0" xfId="0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horizontal="right" vertical="center" wrapText="1"/>
    </xf>
    <xf numFmtId="4" fontId="4" fillId="0" borderId="13" xfId="685" applyNumberFormat="1" applyFont="1" applyFill="1" applyBorder="1" applyAlignment="1">
      <alignment horizontal="right" vertical="center" wrapText="1"/>
    </xf>
    <xf numFmtId="41" fontId="3" fillId="0" borderId="13" xfId="1015" applyNumberFormat="1" applyFont="1" applyFill="1" applyBorder="1" applyAlignment="1" applyProtection="1">
      <alignment horizontal="right" vertical="center" wrapText="1"/>
    </xf>
    <xf numFmtId="4" fontId="7" fillId="0" borderId="13" xfId="0" applyNumberFormat="1" applyFont="1" applyFill="1" applyBorder="1" applyAlignment="1" applyProtection="1">
      <alignment vertical="center" wrapText="1"/>
    </xf>
    <xf numFmtId="4" fontId="3" fillId="0" borderId="13" xfId="0" applyNumberFormat="1" applyFont="1" applyFill="1" applyBorder="1" applyAlignment="1">
      <alignment vertical="center" wrapText="1"/>
    </xf>
    <xf numFmtId="165" fontId="60" fillId="0" borderId="20" xfId="0" applyFont="1" applyFill="1" applyBorder="1" applyAlignment="1">
      <alignment horizontal="right" vertical="center" wrapText="1"/>
    </xf>
    <xf numFmtId="165" fontId="60" fillId="0" borderId="14" xfId="0" applyFont="1" applyFill="1" applyBorder="1" applyAlignment="1">
      <alignment vertical="center" wrapText="1"/>
    </xf>
    <xf numFmtId="168" fontId="60" fillId="0" borderId="14" xfId="685" applyNumberFormat="1" applyFont="1" applyFill="1" applyBorder="1" applyAlignment="1">
      <alignment horizontal="right" vertical="center" wrapText="1"/>
    </xf>
    <xf numFmtId="41" fontId="60" fillId="0" borderId="14" xfId="1015" applyFont="1" applyFill="1" applyBorder="1" applyAlignment="1">
      <alignment horizontal="right" vertical="center" wrapText="1"/>
    </xf>
    <xf numFmtId="166" fontId="60" fillId="0" borderId="14" xfId="1015" applyNumberFormat="1" applyFont="1" applyFill="1" applyBorder="1" applyAlignment="1" applyProtection="1">
      <alignment horizontal="right" vertical="center" wrapText="1"/>
    </xf>
    <xf numFmtId="9" fontId="60" fillId="0" borderId="17" xfId="835" applyFont="1" applyFill="1" applyBorder="1" applyAlignment="1">
      <alignment horizontal="right" vertical="center" wrapText="1"/>
    </xf>
    <xf numFmtId="165" fontId="60" fillId="0" borderId="16" xfId="0" applyFont="1" applyFill="1" applyBorder="1" applyAlignment="1">
      <alignment horizontal="right" vertical="center" wrapText="1"/>
    </xf>
    <xf numFmtId="165" fontId="60" fillId="0" borderId="13" xfId="0" applyFont="1" applyFill="1" applyBorder="1" applyAlignment="1">
      <alignment vertical="center" wrapText="1"/>
    </xf>
    <xf numFmtId="41" fontId="60" fillId="0" borderId="13" xfId="0" applyNumberFormat="1" applyFont="1" applyFill="1" applyBorder="1" applyAlignment="1" applyProtection="1">
      <alignment vertical="center" wrapText="1"/>
    </xf>
    <xf numFmtId="168" fontId="60" fillId="0" borderId="13" xfId="685" applyNumberFormat="1" applyFont="1" applyFill="1" applyBorder="1" applyAlignment="1">
      <alignment horizontal="right" vertical="center" wrapText="1"/>
    </xf>
    <xf numFmtId="41" fontId="60" fillId="0" borderId="13" xfId="1015" applyFont="1" applyFill="1" applyBorder="1" applyAlignment="1">
      <alignment horizontal="right" vertical="center" wrapText="1"/>
    </xf>
    <xf numFmtId="9" fontId="60" fillId="0" borderId="18" xfId="835" applyFont="1" applyFill="1" applyBorder="1" applyAlignment="1">
      <alignment horizontal="right" vertical="center" wrapText="1"/>
    </xf>
    <xf numFmtId="165" fontId="36" fillId="0" borderId="16" xfId="0" applyFont="1" applyFill="1" applyBorder="1" applyAlignment="1">
      <alignment horizontal="right" vertical="center" wrapText="1"/>
    </xf>
    <xf numFmtId="165" fontId="36" fillId="0" borderId="13" xfId="0" applyFont="1" applyFill="1" applyBorder="1" applyAlignment="1">
      <alignment vertical="center" wrapText="1"/>
    </xf>
    <xf numFmtId="168" fontId="46" fillId="0" borderId="13" xfId="685" applyNumberFormat="1" applyFont="1" applyFill="1" applyBorder="1" applyAlignment="1">
      <alignment horizontal="right" vertical="center" wrapText="1"/>
    </xf>
    <xf numFmtId="9" fontId="36" fillId="0" borderId="18" xfId="835" applyFont="1" applyFill="1" applyBorder="1" applyAlignment="1">
      <alignment horizontal="right" vertical="center" wrapText="1"/>
    </xf>
    <xf numFmtId="168" fontId="36" fillId="0" borderId="13" xfId="685" applyNumberFormat="1" applyFont="1" applyFill="1" applyBorder="1" applyAlignment="1">
      <alignment horizontal="right" vertical="center" wrapText="1"/>
    </xf>
    <xf numFmtId="165" fontId="3" fillId="0" borderId="16" xfId="0" applyFont="1" applyFill="1" applyBorder="1" applyAlignment="1">
      <alignment horizontal="right" vertical="center" wrapText="1"/>
    </xf>
    <xf numFmtId="41" fontId="3" fillId="0" borderId="13" xfId="0" applyNumberFormat="1" applyFont="1" applyFill="1" applyBorder="1" applyAlignment="1">
      <alignment horizontal="right" vertical="center" wrapText="1"/>
    </xf>
    <xf numFmtId="168" fontId="3" fillId="0" borderId="13" xfId="685" applyNumberFormat="1" applyFont="1" applyFill="1" applyBorder="1" applyAlignment="1">
      <alignment horizontal="right" vertical="center" wrapText="1"/>
    </xf>
    <xf numFmtId="9" fontId="3" fillId="0" borderId="18" xfId="835" applyFont="1" applyFill="1" applyBorder="1" applyAlignment="1">
      <alignment horizontal="right" vertical="center" wrapText="1"/>
    </xf>
    <xf numFmtId="4" fontId="3" fillId="0" borderId="13" xfId="811" applyNumberFormat="1" applyFont="1" applyFill="1" applyBorder="1" applyAlignment="1">
      <alignment horizontal="left" vertical="center" wrapText="1"/>
    </xf>
    <xf numFmtId="41" fontId="3" fillId="0" borderId="13" xfId="0" applyNumberFormat="1" applyFont="1" applyFill="1" applyBorder="1" applyAlignment="1" applyProtection="1">
      <alignment vertical="center" wrapText="1"/>
    </xf>
    <xf numFmtId="4" fontId="3" fillId="0" borderId="13" xfId="0" applyNumberFormat="1" applyFont="1" applyFill="1" applyBorder="1" applyAlignment="1">
      <alignment horizontal="left" vertical="center" wrapText="1"/>
    </xf>
    <xf numFmtId="41" fontId="36" fillId="0" borderId="13" xfId="0" applyNumberFormat="1" applyFont="1" applyFill="1" applyBorder="1" applyAlignment="1">
      <alignment horizontal="right" vertical="center" wrapText="1"/>
    </xf>
    <xf numFmtId="41" fontId="36" fillId="0" borderId="13" xfId="1015" applyNumberFormat="1" applyFont="1" applyFill="1" applyBorder="1" applyAlignment="1">
      <alignment horizontal="right" vertical="center" wrapText="1"/>
    </xf>
    <xf numFmtId="41" fontId="3" fillId="0" borderId="13" xfId="1015" applyNumberFormat="1" applyFont="1" applyFill="1" applyBorder="1" applyAlignment="1">
      <alignment horizontal="right" vertical="center" wrapText="1"/>
    </xf>
    <xf numFmtId="41" fontId="46" fillId="0" borderId="13" xfId="0" applyNumberFormat="1" applyFont="1" applyFill="1" applyBorder="1" applyAlignment="1" applyProtection="1">
      <alignment vertical="center" wrapText="1"/>
    </xf>
    <xf numFmtId="4" fontId="36" fillId="0" borderId="13" xfId="0" applyNumberFormat="1" applyFont="1" applyFill="1" applyBorder="1" applyAlignment="1">
      <alignment horizontal="left" vertical="center" wrapText="1"/>
    </xf>
    <xf numFmtId="41" fontId="46" fillId="0" borderId="13" xfId="685" applyNumberFormat="1" applyFont="1" applyFill="1" applyBorder="1" applyAlignment="1" applyProtection="1">
      <alignment vertical="center" wrapText="1"/>
    </xf>
    <xf numFmtId="3" fontId="36" fillId="0" borderId="13" xfId="0" applyNumberFormat="1" applyFont="1" applyFill="1" applyBorder="1" applyAlignment="1" applyProtection="1">
      <alignment vertical="center" wrapText="1"/>
    </xf>
    <xf numFmtId="0" fontId="3" fillId="0" borderId="16" xfId="805" applyFont="1" applyFill="1" applyBorder="1" applyAlignment="1" applyProtection="1">
      <alignment horizontal="right" vertical="center" wrapText="1"/>
    </xf>
    <xf numFmtId="0" fontId="36" fillId="0" borderId="16" xfId="805" applyFont="1" applyFill="1" applyBorder="1" applyAlignment="1" applyProtection="1">
      <alignment horizontal="right" vertical="center" wrapText="1"/>
    </xf>
    <xf numFmtId="4" fontId="36" fillId="0" borderId="13" xfId="812" applyNumberFormat="1" applyFont="1" applyFill="1" applyBorder="1" applyAlignment="1">
      <alignment horizontal="left" vertical="center" wrapText="1"/>
    </xf>
    <xf numFmtId="41" fontId="36" fillId="0" borderId="13" xfId="0" applyNumberFormat="1" applyFont="1" applyFill="1" applyBorder="1" applyAlignment="1">
      <alignment vertical="center" wrapText="1"/>
    </xf>
    <xf numFmtId="4" fontId="36" fillId="0" borderId="13" xfId="734" applyNumberFormat="1" applyFont="1" applyFill="1" applyBorder="1" applyAlignment="1">
      <alignment horizontal="left" vertical="center" wrapText="1"/>
    </xf>
    <xf numFmtId="4" fontId="39" fillId="0" borderId="13" xfId="0" applyNumberFormat="1" applyFont="1" applyFill="1" applyBorder="1" applyAlignment="1">
      <alignment horizontal="right" vertical="center" wrapText="1"/>
    </xf>
    <xf numFmtId="165" fontId="46" fillId="0" borderId="16" xfId="0" applyFont="1" applyFill="1" applyBorder="1" applyAlignment="1">
      <alignment horizontal="right" vertical="center" wrapText="1"/>
    </xf>
    <xf numFmtId="165" fontId="46" fillId="0" borderId="13" xfId="0" applyFont="1" applyFill="1" applyBorder="1" applyAlignment="1">
      <alignment vertical="center" wrapText="1"/>
    </xf>
    <xf numFmtId="165" fontId="3" fillId="0" borderId="21" xfId="0" applyFont="1" applyFill="1" applyBorder="1" applyAlignment="1">
      <alignment horizontal="right" vertical="center" wrapText="1"/>
    </xf>
    <xf numFmtId="165" fontId="3" fillId="0" borderId="15" xfId="0" applyFont="1" applyFill="1" applyBorder="1" applyAlignment="1">
      <alignment vertical="center" wrapText="1"/>
    </xf>
    <xf numFmtId="9" fontId="3" fillId="0" borderId="23" xfId="835" applyFont="1" applyFill="1" applyBorder="1" applyAlignment="1">
      <alignment horizontal="right" vertical="center" wrapText="1"/>
    </xf>
    <xf numFmtId="3" fontId="3" fillId="0" borderId="20" xfId="0" applyNumberFormat="1" applyFont="1" applyFill="1" applyBorder="1" applyAlignment="1">
      <alignment horizontal="right" vertical="center" wrapText="1"/>
    </xf>
    <xf numFmtId="41" fontId="36" fillId="0" borderId="14" xfId="1015" applyNumberFormat="1" applyFont="1" applyFill="1" applyBorder="1" applyAlignment="1">
      <alignment horizontal="right" vertical="center" wrapText="1"/>
    </xf>
    <xf numFmtId="164" fontId="3" fillId="0" borderId="14" xfId="685" applyFont="1" applyFill="1" applyBorder="1" applyAlignment="1">
      <alignment horizontal="right" vertical="center" wrapText="1"/>
    </xf>
    <xf numFmtId="41" fontId="36" fillId="0" borderId="14" xfId="1015" applyFont="1" applyFill="1" applyBorder="1" applyAlignment="1">
      <alignment horizontal="right" vertical="center" wrapText="1"/>
    </xf>
    <xf numFmtId="41" fontId="36" fillId="0" borderId="17" xfId="835" applyNumberFormat="1" applyFont="1" applyFill="1" applyBorder="1" applyAlignment="1">
      <alignment horizontal="right" vertical="center" wrapText="1"/>
    </xf>
    <xf numFmtId="3" fontId="36" fillId="0" borderId="16" xfId="0" applyNumberFormat="1" applyFont="1" applyFill="1" applyBorder="1" applyAlignment="1">
      <alignment horizontal="right" vertical="center" wrapText="1"/>
    </xf>
    <xf numFmtId="9" fontId="46" fillId="0" borderId="18" xfId="835" applyFont="1" applyFill="1" applyBorder="1" applyAlignment="1">
      <alignment horizontal="right" vertical="center" wrapText="1"/>
    </xf>
    <xf numFmtId="165" fontId="3" fillId="0" borderId="13" xfId="0" applyFont="1" applyFill="1" applyBorder="1" applyAlignment="1" applyProtection="1">
      <alignment horizontal="left" vertical="center" wrapText="1"/>
    </xf>
    <xf numFmtId="41" fontId="60" fillId="0" borderId="13" xfId="1015" applyNumberFormat="1" applyFont="1" applyFill="1" applyBorder="1" applyAlignment="1" applyProtection="1">
      <alignment horizontal="right" vertical="center" wrapText="1"/>
    </xf>
    <xf numFmtId="41" fontId="3" fillId="0" borderId="14" xfId="1015" applyNumberFormat="1" applyFont="1" applyFill="1" applyBorder="1" applyAlignment="1">
      <alignment horizontal="right" vertical="center" wrapText="1"/>
    </xf>
    <xf numFmtId="168" fontId="3" fillId="0" borderId="14" xfId="685" applyNumberFormat="1" applyFont="1" applyFill="1" applyBorder="1" applyAlignment="1">
      <alignment horizontal="right" vertical="center" wrapText="1"/>
    </xf>
    <xf numFmtId="9" fontId="3" fillId="0" borderId="17" xfId="835" applyFont="1" applyFill="1" applyBorder="1" applyAlignment="1">
      <alignment horizontal="right" vertical="center" wrapText="1"/>
    </xf>
    <xf numFmtId="3" fontId="3" fillId="0" borderId="32" xfId="0" applyNumberFormat="1" applyFont="1" applyFill="1" applyBorder="1" applyAlignment="1">
      <alignment horizontal="right" vertical="center" wrapText="1"/>
    </xf>
    <xf numFmtId="41" fontId="3" fillId="0" borderId="27" xfId="1015" applyNumberFormat="1" applyFont="1" applyFill="1" applyBorder="1" applyAlignment="1">
      <alignment horizontal="right" vertical="center" wrapText="1"/>
    </xf>
    <xf numFmtId="168" fontId="3" fillId="0" borderId="27" xfId="685" applyNumberFormat="1" applyFont="1" applyFill="1" applyBorder="1" applyAlignment="1">
      <alignment horizontal="right" vertical="center" wrapText="1"/>
    </xf>
    <xf numFmtId="41" fontId="36" fillId="0" borderId="27" xfId="1015" applyFont="1" applyFill="1" applyBorder="1" applyAlignment="1">
      <alignment horizontal="right" vertical="center" wrapText="1"/>
    </xf>
    <xf numFmtId="9" fontId="3" fillId="0" borderId="26" xfId="835" applyFont="1" applyFill="1" applyBorder="1" applyAlignment="1">
      <alignment horizontal="right" vertical="center" wrapText="1"/>
    </xf>
    <xf numFmtId="165" fontId="61" fillId="0" borderId="16" xfId="0" applyFont="1" applyFill="1" applyBorder="1" applyAlignment="1">
      <alignment horizontal="right" vertical="center" wrapText="1"/>
    </xf>
    <xf numFmtId="165" fontId="61" fillId="0" borderId="13" xfId="0" applyFont="1" applyFill="1" applyBorder="1" applyAlignment="1">
      <alignment vertical="center" wrapText="1"/>
    </xf>
    <xf numFmtId="41" fontId="61" fillId="0" borderId="13" xfId="1015" applyNumberFormat="1" applyFont="1" applyFill="1" applyBorder="1" applyAlignment="1">
      <alignment horizontal="right" vertical="center" wrapText="1"/>
    </xf>
    <xf numFmtId="165" fontId="62" fillId="0" borderId="16" xfId="0" applyFont="1" applyFill="1" applyBorder="1" applyAlignment="1">
      <alignment horizontal="right" vertical="center" wrapText="1"/>
    </xf>
    <xf numFmtId="165" fontId="62" fillId="0" borderId="13" xfId="0" applyFont="1" applyFill="1" applyBorder="1" applyAlignment="1">
      <alignment vertical="center" wrapText="1"/>
    </xf>
    <xf numFmtId="41" fontId="62" fillId="0" borderId="13" xfId="1015" applyNumberFormat="1" applyFont="1" applyFill="1" applyBorder="1" applyAlignment="1">
      <alignment horizontal="right" vertical="center" wrapText="1"/>
    </xf>
    <xf numFmtId="165" fontId="59" fillId="0" borderId="16" xfId="0" applyFont="1" applyFill="1" applyBorder="1" applyAlignment="1">
      <alignment horizontal="right" vertical="center" wrapText="1"/>
    </xf>
    <xf numFmtId="165" fontId="59" fillId="0" borderId="13" xfId="0" applyFont="1" applyFill="1" applyBorder="1" applyAlignment="1">
      <alignment vertical="center" wrapText="1"/>
    </xf>
    <xf numFmtId="41" fontId="59" fillId="0" borderId="13" xfId="1015" applyNumberFormat="1" applyFont="1" applyFill="1" applyBorder="1" applyAlignment="1">
      <alignment horizontal="right" vertical="center" wrapText="1"/>
    </xf>
    <xf numFmtId="165" fontId="59" fillId="0" borderId="21" xfId="0" applyFont="1" applyFill="1" applyBorder="1" applyAlignment="1">
      <alignment horizontal="right" vertical="center" wrapText="1"/>
    </xf>
    <xf numFmtId="165" fontId="59" fillId="0" borderId="15" xfId="0" applyFont="1" applyFill="1" applyBorder="1" applyAlignment="1">
      <alignment vertical="center" wrapText="1"/>
    </xf>
    <xf numFmtId="41" fontId="59" fillId="0" borderId="15" xfId="1015" applyNumberFormat="1" applyFont="1" applyFill="1" applyBorder="1" applyAlignment="1">
      <alignment horizontal="right" vertical="center" wrapText="1"/>
    </xf>
    <xf numFmtId="41" fontId="7" fillId="0" borderId="12" xfId="1015" applyNumberFormat="1" applyFont="1" applyFill="1" applyBorder="1" applyAlignment="1">
      <alignment horizontal="right" vertical="center" wrapText="1"/>
    </xf>
    <xf numFmtId="168" fontId="7" fillId="0" borderId="12" xfId="685" applyNumberFormat="1" applyFont="1" applyFill="1" applyBorder="1" applyAlignment="1">
      <alignment horizontal="right" vertical="center" wrapText="1"/>
    </xf>
    <xf numFmtId="41" fontId="7" fillId="0" borderId="12" xfId="1015" applyFont="1" applyFill="1" applyBorder="1" applyAlignment="1">
      <alignment horizontal="right" vertical="center" wrapText="1"/>
    </xf>
    <xf numFmtId="9" fontId="7" fillId="0" borderId="33" xfId="835" applyFont="1" applyFill="1" applyBorder="1" applyAlignment="1">
      <alignment horizontal="right" vertical="center" wrapText="1"/>
    </xf>
    <xf numFmtId="3" fontId="52" fillId="0" borderId="0" xfId="0" applyNumberFormat="1" applyFont="1" applyFill="1" applyAlignment="1">
      <alignment vertical="center" wrapText="1"/>
    </xf>
    <xf numFmtId="9" fontId="52" fillId="0" borderId="33" xfId="835" applyFont="1" applyFill="1" applyBorder="1" applyAlignment="1">
      <alignment horizontal="right" vertical="center" wrapText="1"/>
    </xf>
    <xf numFmtId="3" fontId="36" fillId="0" borderId="0" xfId="0" applyNumberFormat="1" applyFont="1" applyFill="1" applyAlignment="1">
      <alignment horizontal="center" vertical="center" wrapText="1"/>
    </xf>
    <xf numFmtId="41" fontId="7" fillId="0" borderId="22" xfId="1015" applyNumberFormat="1" applyFont="1" applyFill="1" applyBorder="1" applyAlignment="1" applyProtection="1">
      <alignment horizontal="right" vertical="center" wrapText="1"/>
    </xf>
    <xf numFmtId="41" fontId="7" fillId="0" borderId="12" xfId="1015" applyNumberFormat="1" applyFont="1" applyFill="1" applyBorder="1" applyAlignment="1" applyProtection="1">
      <alignment horizontal="right" vertical="center" wrapText="1"/>
    </xf>
    <xf numFmtId="9" fontId="7" fillId="0" borderId="22" xfId="835" applyFont="1" applyFill="1" applyBorder="1" applyAlignment="1">
      <alignment horizontal="right" vertical="center" wrapText="1"/>
    </xf>
    <xf numFmtId="41" fontId="52" fillId="0" borderId="35" xfId="1015" applyNumberFormat="1" applyFont="1" applyFill="1" applyBorder="1" applyAlignment="1" applyProtection="1">
      <alignment horizontal="right" vertical="center" wrapText="1"/>
    </xf>
    <xf numFmtId="168" fontId="7" fillId="0" borderId="35" xfId="685" applyNumberFormat="1" applyFont="1" applyFill="1" applyBorder="1" applyAlignment="1" applyProtection="1">
      <alignment horizontal="right" vertical="center" wrapText="1"/>
    </xf>
    <xf numFmtId="41" fontId="7" fillId="0" borderId="35" xfId="1015" applyFont="1" applyFill="1" applyBorder="1" applyAlignment="1" applyProtection="1">
      <alignment horizontal="right" vertical="center" wrapText="1"/>
    </xf>
    <xf numFmtId="9" fontId="7" fillId="0" borderId="36" xfId="835" applyFont="1" applyFill="1" applyBorder="1" applyAlignment="1">
      <alignment horizontal="right" vertical="center" wrapText="1"/>
    </xf>
    <xf numFmtId="9" fontId="7" fillId="0" borderId="12" xfId="835" applyFont="1" applyFill="1" applyBorder="1" applyAlignment="1">
      <alignment horizontal="right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4" fontId="63" fillId="25" borderId="48" xfId="0" applyNumberFormat="1" applyFont="1" applyFill="1" applyBorder="1" applyAlignment="1">
      <alignment horizontal="right" vertical="center" wrapText="1"/>
    </xf>
    <xf numFmtId="4" fontId="51" fillId="25" borderId="48" xfId="0" applyNumberFormat="1" applyFont="1" applyFill="1" applyBorder="1" applyAlignment="1">
      <alignment horizontal="right" vertical="center" wrapText="1"/>
    </xf>
    <xf numFmtId="4" fontId="8" fillId="24" borderId="18" xfId="0" applyNumberFormat="1" applyFont="1" applyFill="1" applyBorder="1" applyAlignment="1">
      <alignment vertical="center" wrapText="1"/>
    </xf>
    <xf numFmtId="0" fontId="3" fillId="24" borderId="0" xfId="0" applyNumberFormat="1" applyFont="1" applyFill="1" applyBorder="1" applyAlignment="1">
      <alignment vertical="center" wrapText="1"/>
    </xf>
    <xf numFmtId="41" fontId="5" fillId="0" borderId="0" xfId="1015" applyFont="1" applyFill="1" applyAlignment="1">
      <alignment horizontal="right" vertical="center" wrapText="1"/>
    </xf>
    <xf numFmtId="166" fontId="4" fillId="0" borderId="0" xfId="1015" applyNumberFormat="1" applyFont="1" applyFill="1" applyAlignment="1">
      <alignment horizontal="right" vertical="center" wrapText="1"/>
    </xf>
    <xf numFmtId="166" fontId="60" fillId="0" borderId="14" xfId="1015" applyNumberFormat="1" applyFont="1" applyFill="1" applyBorder="1" applyAlignment="1">
      <alignment horizontal="right" vertical="center" wrapText="1"/>
    </xf>
    <xf numFmtId="166" fontId="60" fillId="0" borderId="13" xfId="1015" applyNumberFormat="1" applyFont="1" applyFill="1" applyBorder="1" applyAlignment="1">
      <alignment horizontal="right" vertical="center" wrapText="1"/>
    </xf>
    <xf numFmtId="166" fontId="36" fillId="0" borderId="13" xfId="1015" applyNumberFormat="1" applyFont="1" applyFill="1" applyBorder="1" applyAlignment="1">
      <alignment horizontal="right" vertical="center" wrapText="1"/>
    </xf>
    <xf numFmtId="166" fontId="3" fillId="0" borderId="13" xfId="1015" applyNumberFormat="1" applyFont="1" applyFill="1" applyBorder="1" applyAlignment="1">
      <alignment horizontal="right" vertical="center" wrapText="1"/>
    </xf>
    <xf numFmtId="166" fontId="3" fillId="0" borderId="15" xfId="1015" applyNumberFormat="1" applyFont="1" applyFill="1" applyBorder="1" applyAlignment="1">
      <alignment horizontal="right" vertical="center" wrapText="1"/>
    </xf>
    <xf numFmtId="166" fontId="7" fillId="0" borderId="12" xfId="1015" applyNumberFormat="1" applyFont="1" applyFill="1" applyBorder="1" applyAlignment="1">
      <alignment horizontal="right" vertical="center" wrapText="1"/>
    </xf>
    <xf numFmtId="166" fontId="3" fillId="0" borderId="14" xfId="1015" applyNumberFormat="1" applyFont="1" applyFill="1" applyBorder="1" applyAlignment="1">
      <alignment horizontal="right" vertical="center" wrapText="1"/>
    </xf>
    <xf numFmtId="166" fontId="46" fillId="0" borderId="13" xfId="1015" applyNumberFormat="1" applyFont="1" applyFill="1" applyBorder="1" applyAlignment="1">
      <alignment horizontal="right" vertical="center" wrapText="1"/>
    </xf>
    <xf numFmtId="166" fontId="7" fillId="0" borderId="22" xfId="1015" applyNumberFormat="1" applyFont="1" applyFill="1" applyBorder="1" applyAlignment="1" applyProtection="1">
      <alignment horizontal="right" vertical="center" wrapText="1"/>
    </xf>
    <xf numFmtId="166" fontId="3" fillId="0" borderId="27" xfId="1015" applyNumberFormat="1" applyFont="1" applyFill="1" applyBorder="1" applyAlignment="1">
      <alignment horizontal="right" vertical="center" wrapText="1"/>
    </xf>
    <xf numFmtId="166" fontId="7" fillId="0" borderId="35" xfId="1015" applyNumberFormat="1" applyFont="1" applyFill="1" applyBorder="1" applyAlignment="1" applyProtection="1">
      <alignment horizontal="right" vertical="center" wrapText="1"/>
    </xf>
    <xf numFmtId="166" fontId="4" fillId="0" borderId="0" xfId="1015" applyNumberFormat="1" applyFont="1" applyFill="1" applyBorder="1" applyAlignment="1">
      <alignment vertical="center" wrapText="1"/>
    </xf>
    <xf numFmtId="166" fontId="4" fillId="0" borderId="0" xfId="1015" applyNumberFormat="1" applyFont="1" applyFill="1" applyBorder="1" applyAlignment="1">
      <alignment horizontal="right" vertical="center" wrapText="1"/>
    </xf>
    <xf numFmtId="166" fontId="5" fillId="0" borderId="0" xfId="1015" applyNumberFormat="1" applyFont="1" applyFill="1" applyAlignment="1">
      <alignment horizontal="right" vertical="center" wrapText="1"/>
    </xf>
    <xf numFmtId="171" fontId="4" fillId="0" borderId="0" xfId="835" applyNumberFormat="1" applyFont="1" applyFill="1" applyAlignment="1">
      <alignment horizontal="right" vertical="center" wrapText="1"/>
    </xf>
    <xf numFmtId="170" fontId="3" fillId="0" borderId="0" xfId="835" applyNumberFormat="1" applyFont="1" applyFill="1" applyAlignment="1">
      <alignment horizontal="right" vertical="center" wrapText="1"/>
    </xf>
    <xf numFmtId="169" fontId="6" fillId="0" borderId="0" xfId="835" applyNumberFormat="1" applyFont="1" applyFill="1" applyAlignment="1">
      <alignment horizontal="right" vertical="center" wrapText="1"/>
    </xf>
    <xf numFmtId="166" fontId="7" fillId="0" borderId="0" xfId="1015" applyNumberFormat="1" applyFont="1" applyFill="1" applyAlignment="1">
      <alignment horizontal="right" vertical="center" wrapText="1"/>
    </xf>
    <xf numFmtId="170" fontId="4" fillId="0" borderId="0" xfId="835" applyNumberFormat="1" applyFont="1" applyFill="1" applyAlignment="1">
      <alignment horizontal="right" vertical="center" wrapText="1"/>
    </xf>
    <xf numFmtId="4" fontId="60" fillId="0" borderId="24" xfId="0" applyNumberFormat="1" applyFont="1" applyFill="1" applyBorder="1" applyAlignment="1" applyProtection="1">
      <alignment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Alignment="1">
      <alignment horizontal="center" vertical="center" wrapText="1"/>
    </xf>
    <xf numFmtId="4" fontId="57" fillId="0" borderId="48" xfId="0" applyNumberFormat="1" applyFont="1" applyFill="1" applyBorder="1" applyAlignment="1">
      <alignment horizontal="right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Alignment="1">
      <alignment horizontal="center" vertical="center" wrapText="1"/>
    </xf>
    <xf numFmtId="4" fontId="3" fillId="0" borderId="13" xfId="812" applyNumberFormat="1" applyFont="1" applyFill="1" applyBorder="1" applyAlignment="1">
      <alignment horizontal="left" vertical="center" wrapText="1"/>
    </xf>
    <xf numFmtId="4" fontId="3" fillId="0" borderId="13" xfId="734" applyNumberFormat="1" applyFont="1" applyFill="1" applyBorder="1" applyAlignment="1">
      <alignment horizontal="left" vertical="center" wrapText="1"/>
    </xf>
    <xf numFmtId="166" fontId="7" fillId="0" borderId="13" xfId="1015" applyNumberFormat="1" applyFont="1" applyFill="1" applyBorder="1" applyAlignment="1">
      <alignment horizontal="right" vertical="center" wrapText="1"/>
    </xf>
    <xf numFmtId="165" fontId="10" fillId="0" borderId="13" xfId="0" applyFont="1" applyFill="1" applyBorder="1" applyAlignment="1">
      <alignment vertical="center" wrapText="1"/>
    </xf>
    <xf numFmtId="3" fontId="3" fillId="0" borderId="0" xfId="0" applyNumberFormat="1" applyFont="1" applyFill="1" applyAlignment="1">
      <alignment horizontal="center" vertical="center" wrapText="1"/>
    </xf>
    <xf numFmtId="166" fontId="7" fillId="0" borderId="12" xfId="1015" applyNumberFormat="1" applyFont="1" applyFill="1" applyBorder="1" applyAlignment="1" applyProtection="1">
      <alignment horizontal="right" vertical="center" wrapText="1"/>
    </xf>
    <xf numFmtId="9" fontId="56" fillId="0" borderId="28" xfId="0" applyNumberFormat="1" applyFont="1" applyFill="1" applyBorder="1" applyAlignment="1">
      <alignment horizontal="center" vertical="center" wrapText="1"/>
    </xf>
    <xf numFmtId="9" fontId="56" fillId="0" borderId="30" xfId="0" applyNumberFormat="1" applyFont="1" applyFill="1" applyBorder="1" applyAlignment="1">
      <alignment horizontal="center" vertical="center" wrapText="1"/>
    </xf>
    <xf numFmtId="9" fontId="56" fillId="0" borderId="29" xfId="0" applyNumberFormat="1" applyFont="1" applyFill="1" applyBorder="1" applyAlignment="1">
      <alignment horizontal="center" vertical="center" wrapText="1"/>
    </xf>
    <xf numFmtId="3" fontId="44" fillId="0" borderId="16" xfId="0" applyNumberFormat="1" applyFont="1" applyFill="1" applyBorder="1" applyAlignment="1">
      <alignment horizontal="center" vertical="center" wrapText="1"/>
    </xf>
    <xf numFmtId="3" fontId="44" fillId="0" borderId="13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4" fillId="0" borderId="41" xfId="0" applyNumberFormat="1" applyFont="1" applyFill="1" applyBorder="1" applyAlignment="1">
      <alignment horizontal="center" vertical="center" wrapText="1"/>
    </xf>
    <xf numFmtId="3" fontId="44" fillId="0" borderId="35" xfId="0" applyNumberFormat="1" applyFont="1" applyFill="1" applyBorder="1" applyAlignment="1">
      <alignment horizontal="center" vertical="center" wrapText="1"/>
    </xf>
    <xf numFmtId="3" fontId="44" fillId="0" borderId="42" xfId="0" applyNumberFormat="1" applyFont="1" applyFill="1" applyBorder="1" applyAlignment="1">
      <alignment horizontal="center" vertical="center" wrapText="1"/>
    </xf>
    <xf numFmtId="3" fontId="44" fillId="0" borderId="43" xfId="0" applyNumberFormat="1" applyFont="1" applyFill="1" applyBorder="1" applyAlignment="1">
      <alignment horizontal="center" vertical="center" wrapText="1"/>
    </xf>
    <xf numFmtId="3" fontId="44" fillId="0" borderId="46" xfId="0" applyNumberFormat="1" applyFont="1" applyFill="1" applyBorder="1" applyAlignment="1">
      <alignment horizontal="center" vertical="center" wrapText="1"/>
    </xf>
    <xf numFmtId="3" fontId="44" fillId="0" borderId="47" xfId="0" applyNumberFormat="1" applyFont="1" applyFill="1" applyBorder="1" applyAlignment="1">
      <alignment horizontal="center" vertical="center" wrapText="1"/>
    </xf>
    <xf numFmtId="3" fontId="9" fillId="0" borderId="25" xfId="0" applyNumberFormat="1" applyFont="1" applyFill="1" applyBorder="1" applyAlignment="1">
      <alignment horizontal="left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41" fontId="7" fillId="0" borderId="11" xfId="1015" applyNumberFormat="1" applyFont="1" applyFill="1" applyBorder="1" applyAlignment="1">
      <alignment horizontal="center" vertical="center" wrapText="1"/>
    </xf>
    <xf numFmtId="41" fontId="7" fillId="0" borderId="10" xfId="1015" applyNumberFormat="1" applyFont="1" applyFill="1" applyBorder="1" applyAlignment="1">
      <alignment horizontal="center" vertical="center" wrapText="1"/>
    </xf>
    <xf numFmtId="168" fontId="7" fillId="0" borderId="11" xfId="685" applyNumberFormat="1" applyFont="1" applyFill="1" applyBorder="1" applyAlignment="1">
      <alignment horizontal="center" vertical="center" wrapText="1"/>
    </xf>
    <xf numFmtId="168" fontId="7" fillId="0" borderId="10" xfId="685" applyNumberFormat="1" applyFont="1" applyFill="1" applyBorder="1" applyAlignment="1">
      <alignment horizontal="center" vertical="center" wrapText="1"/>
    </xf>
    <xf numFmtId="41" fontId="7" fillId="0" borderId="11" xfId="1015" applyFont="1" applyFill="1" applyBorder="1" applyAlignment="1">
      <alignment horizontal="center" vertical="center" wrapText="1"/>
    </xf>
    <xf numFmtId="41" fontId="7" fillId="0" borderId="10" xfId="1015" applyFont="1" applyFill="1" applyBorder="1" applyAlignment="1">
      <alignment horizontal="center" vertical="center" wrapText="1"/>
    </xf>
    <xf numFmtId="9" fontId="7" fillId="0" borderId="11" xfId="835" applyFont="1" applyFill="1" applyBorder="1" applyAlignment="1">
      <alignment horizontal="center" vertical="center" wrapText="1"/>
    </xf>
    <xf numFmtId="9" fontId="7" fillId="0" borderId="10" xfId="835" applyFont="1" applyFill="1" applyBorder="1" applyAlignment="1">
      <alignment horizontal="center" vertical="center" wrapText="1"/>
    </xf>
    <xf numFmtId="3" fontId="52" fillId="0" borderId="34" xfId="0" applyNumberFormat="1" applyFont="1" applyFill="1" applyBorder="1" applyAlignment="1">
      <alignment horizontal="center" vertical="center" wrapText="1"/>
    </xf>
    <xf numFmtId="3" fontId="52" fillId="0" borderId="40" xfId="0" applyNumberFormat="1" applyFont="1" applyFill="1" applyBorder="1" applyAlignment="1">
      <alignment horizontal="center" vertical="center" wrapText="1"/>
    </xf>
    <xf numFmtId="3" fontId="46" fillId="0" borderId="13" xfId="0" applyNumberFormat="1" applyFont="1" applyFill="1" applyBorder="1" applyAlignment="1">
      <alignment horizontal="center" vertical="center" wrapText="1"/>
    </xf>
    <xf numFmtId="3" fontId="52" fillId="0" borderId="38" xfId="0" applyNumberFormat="1" applyFont="1" applyFill="1" applyBorder="1" applyAlignment="1">
      <alignment horizontal="center" vertical="center" wrapText="1"/>
    </xf>
    <xf numFmtId="3" fontId="52" fillId="0" borderId="39" xfId="0" applyNumberFormat="1" applyFont="1" applyFill="1" applyBorder="1" applyAlignment="1">
      <alignment horizontal="center" vertical="center" wrapText="1"/>
    </xf>
    <xf numFmtId="3" fontId="46" fillId="0" borderId="16" xfId="0" applyNumberFormat="1" applyFont="1" applyFill="1" applyBorder="1" applyAlignment="1">
      <alignment horizontal="center" vertical="center" wrapText="1"/>
    </xf>
    <xf numFmtId="3" fontId="52" fillId="0" borderId="41" xfId="0" applyNumberFormat="1" applyFont="1" applyFill="1" applyBorder="1" applyAlignment="1">
      <alignment horizontal="center" vertical="center" wrapText="1"/>
    </xf>
    <xf numFmtId="3" fontId="52" fillId="0" borderId="35" xfId="0" applyNumberFormat="1" applyFont="1" applyFill="1" applyBorder="1" applyAlignment="1">
      <alignment horizontal="center" vertical="center" wrapText="1"/>
    </xf>
    <xf numFmtId="3" fontId="52" fillId="0" borderId="28" xfId="0" applyNumberFormat="1" applyFont="1" applyFill="1" applyBorder="1" applyAlignment="1">
      <alignment horizontal="center" vertical="center" wrapText="1"/>
    </xf>
    <xf numFmtId="3" fontId="52" fillId="0" borderId="29" xfId="0" applyNumberFormat="1" applyFont="1" applyFill="1" applyBorder="1" applyAlignment="1">
      <alignment horizontal="center" vertical="center" wrapText="1"/>
    </xf>
    <xf numFmtId="41" fontId="7" fillId="0" borderId="22" xfId="1015" applyFont="1" applyFill="1" applyBorder="1" applyAlignment="1">
      <alignment horizontal="center" vertical="center" wrapText="1"/>
    </xf>
    <xf numFmtId="166" fontId="7" fillId="0" borderId="11" xfId="1015" applyNumberFormat="1" applyFont="1" applyFill="1" applyBorder="1" applyAlignment="1">
      <alignment horizontal="center" vertical="center" wrapText="1"/>
    </xf>
    <xf numFmtId="166" fontId="7" fillId="0" borderId="10" xfId="1015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 wrapText="1"/>
    </xf>
    <xf numFmtId="3" fontId="5" fillId="0" borderId="39" xfId="0" applyNumberFormat="1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center" vertical="center" wrapText="1"/>
    </xf>
    <xf numFmtId="3" fontId="5" fillId="0" borderId="29" xfId="0" applyNumberFormat="1" applyFont="1" applyFill="1" applyBorder="1" applyAlignment="1">
      <alignment horizontal="center" vertical="center" wrapText="1"/>
    </xf>
    <xf numFmtId="3" fontId="5" fillId="0" borderId="16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horizontal="center" vertical="center" wrapText="1"/>
    </xf>
    <xf numFmtId="3" fontId="37" fillId="0" borderId="28" xfId="0" applyNumberFormat="1" applyFont="1" applyFill="1" applyBorder="1" applyAlignment="1">
      <alignment horizontal="center" vertical="center" wrapText="1"/>
    </xf>
    <xf numFmtId="3" fontId="37" fillId="0" borderId="30" xfId="0" applyNumberFormat="1" applyFont="1" applyFill="1" applyBorder="1" applyAlignment="1">
      <alignment horizontal="center" vertical="center" wrapText="1"/>
    </xf>
    <xf numFmtId="3" fontId="7" fillId="0" borderId="11" xfId="685" applyNumberFormat="1" applyFont="1" applyFill="1" applyBorder="1" applyAlignment="1">
      <alignment horizontal="center" vertical="center" wrapText="1"/>
    </xf>
    <xf numFmtId="3" fontId="7" fillId="0" borderId="10" xfId="685" applyNumberFormat="1" applyFont="1" applyFill="1" applyBorder="1" applyAlignment="1">
      <alignment horizontal="center" vertical="center" wrapText="1"/>
    </xf>
  </cellXfs>
  <cellStyles count="1019">
    <cellStyle name="20% - Énfasis1 10" xfId="1"/>
    <cellStyle name="20% - Énfasis1 11" xfId="2"/>
    <cellStyle name="20% - Énfasis1 12" xfId="3"/>
    <cellStyle name="20% - Énfasis1 13" xfId="4"/>
    <cellStyle name="20% - Énfasis1 14" xfId="5"/>
    <cellStyle name="20% - Énfasis1 15" xfId="6"/>
    <cellStyle name="20% - Énfasis1 16" xfId="7"/>
    <cellStyle name="20% - Énfasis1 17" xfId="8"/>
    <cellStyle name="20% - Énfasis1 18" xfId="9"/>
    <cellStyle name="20% - Énfasis1 19" xfId="10"/>
    <cellStyle name="20% - Énfasis1 2" xfId="11"/>
    <cellStyle name="20% - Énfasis1 20" xfId="12"/>
    <cellStyle name="20% - Énfasis1 21" xfId="13"/>
    <cellStyle name="20% - Énfasis1 22" xfId="14"/>
    <cellStyle name="20% - Énfasis1 23" xfId="15"/>
    <cellStyle name="20% - Énfasis1 3" xfId="16"/>
    <cellStyle name="20% - Énfasis1 4" xfId="17"/>
    <cellStyle name="20% - Énfasis1 5" xfId="18"/>
    <cellStyle name="20% - Énfasis1 6" xfId="19"/>
    <cellStyle name="20% - Énfasis1 7" xfId="20"/>
    <cellStyle name="20% - Énfasis1 8" xfId="21"/>
    <cellStyle name="20% - Énfasis1 9" xfId="22"/>
    <cellStyle name="20% - Énfasis2 10" xfId="23"/>
    <cellStyle name="20% - Énfasis2 11" xfId="24"/>
    <cellStyle name="20% - Énfasis2 12" xfId="25"/>
    <cellStyle name="20% - Énfasis2 13" xfId="26"/>
    <cellStyle name="20% - Énfasis2 14" xfId="27"/>
    <cellStyle name="20% - Énfasis2 15" xfId="28"/>
    <cellStyle name="20% - Énfasis2 16" xfId="29"/>
    <cellStyle name="20% - Énfasis2 17" xfId="30"/>
    <cellStyle name="20% - Énfasis2 18" xfId="31"/>
    <cellStyle name="20% - Énfasis2 19" xfId="32"/>
    <cellStyle name="20% - Énfasis2 2" xfId="33"/>
    <cellStyle name="20% - Énfasis2 20" xfId="34"/>
    <cellStyle name="20% - Énfasis2 21" xfId="35"/>
    <cellStyle name="20% - Énfasis2 22" xfId="36"/>
    <cellStyle name="20% - Énfasis2 23" xfId="37"/>
    <cellStyle name="20% - Énfasis2 3" xfId="38"/>
    <cellStyle name="20% - Énfasis2 4" xfId="39"/>
    <cellStyle name="20% - Énfasis2 5" xfId="40"/>
    <cellStyle name="20% - Énfasis2 6" xfId="41"/>
    <cellStyle name="20% - Énfasis2 7" xfId="42"/>
    <cellStyle name="20% - Énfasis2 8" xfId="43"/>
    <cellStyle name="20% - Énfasis2 9" xfId="44"/>
    <cellStyle name="20% - Énfasis3 10" xfId="45"/>
    <cellStyle name="20% - Énfasis3 11" xfId="46"/>
    <cellStyle name="20% - Énfasis3 12" xfId="47"/>
    <cellStyle name="20% - Énfasis3 13" xfId="48"/>
    <cellStyle name="20% - Énfasis3 14" xfId="49"/>
    <cellStyle name="20% - Énfasis3 15" xfId="50"/>
    <cellStyle name="20% - Énfasis3 16" xfId="51"/>
    <cellStyle name="20% - Énfasis3 17" xfId="52"/>
    <cellStyle name="20% - Énfasis3 18" xfId="53"/>
    <cellStyle name="20% - Énfasis3 19" xfId="54"/>
    <cellStyle name="20% - Énfasis3 2" xfId="55"/>
    <cellStyle name="20% - Énfasis3 20" xfId="56"/>
    <cellStyle name="20% - Énfasis3 21" xfId="57"/>
    <cellStyle name="20% - Énfasis3 22" xfId="58"/>
    <cellStyle name="20% - Énfasis3 23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19" xfId="76"/>
    <cellStyle name="20% - Énfasis4 2" xfId="77"/>
    <cellStyle name="20% - Énfasis4 20" xfId="78"/>
    <cellStyle name="20% - Énfasis4 21" xfId="79"/>
    <cellStyle name="20% - Énfasis4 22" xfId="80"/>
    <cellStyle name="20% - Énfasis4 23" xfId="81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91"/>
    <cellStyle name="20% - Énfasis5 13" xfId="92"/>
    <cellStyle name="20% - Énfasis5 14" xfId="93"/>
    <cellStyle name="20% - Énfasis5 15" xfId="94"/>
    <cellStyle name="20% - Énfasis5 16" xfId="95"/>
    <cellStyle name="20% - Énfasis5 17" xfId="96"/>
    <cellStyle name="20% - Énfasis5 18" xfId="97"/>
    <cellStyle name="20% - Énfasis5 19" xfId="98"/>
    <cellStyle name="20% - Énfasis5 2" xfId="99"/>
    <cellStyle name="20% - Énfasis5 20" xfId="100"/>
    <cellStyle name="20% - Énfasis5 21" xfId="101"/>
    <cellStyle name="20% - Énfasis5 22" xfId="102"/>
    <cellStyle name="20% - Énfasis5 23" xfId="103"/>
    <cellStyle name="20% - Énfasis5 3" xfId="104"/>
    <cellStyle name="20% - Énfasis5 4" xfId="105"/>
    <cellStyle name="20% - Énfasis5 5" xfId="106"/>
    <cellStyle name="20% - Énfasis5 6" xfId="107"/>
    <cellStyle name="20% - Énfasis5 7" xfId="108"/>
    <cellStyle name="20% - Énfasis5 8" xfId="109"/>
    <cellStyle name="20% - Énfasis5 9" xfId="110"/>
    <cellStyle name="20% - Énfasis6 10" xfId="111"/>
    <cellStyle name="20% - Énfasis6 11" xfId="112"/>
    <cellStyle name="20% - Énfasis6 12" xfId="113"/>
    <cellStyle name="20% - Énfasis6 13" xfId="114"/>
    <cellStyle name="20% - Énfasis6 14" xfId="115"/>
    <cellStyle name="20% - Énfasis6 15" xfId="116"/>
    <cellStyle name="20% - Énfasis6 16" xfId="117"/>
    <cellStyle name="20% - Énfasis6 17" xfId="118"/>
    <cellStyle name="20% - Énfasis6 18" xfId="119"/>
    <cellStyle name="20% - Énfasis6 19" xfId="120"/>
    <cellStyle name="20% - Énfasis6 2" xfId="121"/>
    <cellStyle name="20% - Énfasis6 20" xfId="122"/>
    <cellStyle name="20% - Énfasis6 21" xfId="123"/>
    <cellStyle name="20% - Énfasis6 22" xfId="124"/>
    <cellStyle name="20% - Énfasis6 23" xfId="125"/>
    <cellStyle name="20% - Énfasis6 3" xfId="126"/>
    <cellStyle name="20% - Énfasis6 4" xfId="127"/>
    <cellStyle name="20% - Énfasis6 5" xfId="128"/>
    <cellStyle name="20% - Énfasis6 6" xfId="129"/>
    <cellStyle name="20% - Énfasis6 7" xfId="130"/>
    <cellStyle name="20% - Énfasis6 8" xfId="131"/>
    <cellStyle name="20% - Énfasis6 9" xfId="132"/>
    <cellStyle name="40% - Énfasis1 10" xfId="133"/>
    <cellStyle name="40% - Énfasis1 11" xfId="134"/>
    <cellStyle name="40% - Énfasis1 12" xfId="135"/>
    <cellStyle name="40% - Énfasis1 13" xfId="136"/>
    <cellStyle name="40% - Énfasis1 14" xfId="137"/>
    <cellStyle name="40% - Énfasis1 15" xfId="138"/>
    <cellStyle name="40% - Énfasis1 16" xfId="139"/>
    <cellStyle name="40% - Énfasis1 17" xfId="140"/>
    <cellStyle name="40% - Énfasis1 18" xfId="141"/>
    <cellStyle name="40% - Énfasis1 19" xfId="142"/>
    <cellStyle name="40% - Énfasis1 2" xfId="143"/>
    <cellStyle name="40% - Énfasis1 20" xfId="144"/>
    <cellStyle name="40% - Énfasis1 21" xfId="145"/>
    <cellStyle name="40% - Énfasis1 22" xfId="146"/>
    <cellStyle name="40% - Énfasis1 23" xfId="147"/>
    <cellStyle name="40% - Énfasis1 3" xfId="148"/>
    <cellStyle name="40% - Énfasis1 4" xfId="149"/>
    <cellStyle name="40% - Énfasis1 5" xfId="150"/>
    <cellStyle name="40% - Énfasis1 6" xfId="151"/>
    <cellStyle name="40% - Énfasis1 7" xfId="152"/>
    <cellStyle name="40% - Énfasis1 8" xfId="153"/>
    <cellStyle name="40% - Énfasis1 9" xfId="154"/>
    <cellStyle name="40% - Énfasis2 10" xfId="155"/>
    <cellStyle name="40% - Énfasis2 11" xfId="156"/>
    <cellStyle name="40% - Énfasis2 12" xfId="157"/>
    <cellStyle name="40% - Énfasis2 13" xfId="158"/>
    <cellStyle name="40% - Énfasis2 14" xfId="159"/>
    <cellStyle name="40% - Énfasis2 15" xfId="160"/>
    <cellStyle name="40% - Énfasis2 16" xfId="161"/>
    <cellStyle name="40% - Énfasis2 17" xfId="162"/>
    <cellStyle name="40% - Énfasis2 18" xfId="163"/>
    <cellStyle name="40% - Énfasis2 19" xfId="164"/>
    <cellStyle name="40% - Énfasis2 2" xfId="165"/>
    <cellStyle name="40% - Énfasis2 20" xfId="166"/>
    <cellStyle name="40% - Énfasis2 21" xfId="167"/>
    <cellStyle name="40% - Énfasis2 22" xfId="168"/>
    <cellStyle name="40% - Énfasis2 23" xfId="169"/>
    <cellStyle name="40% - Énfasis2 3" xfId="170"/>
    <cellStyle name="40% - Énfasis2 4" xfId="171"/>
    <cellStyle name="40% - Énfasis2 5" xfId="172"/>
    <cellStyle name="40% - Énfasis2 6" xfId="173"/>
    <cellStyle name="40% - Énfasis2 7" xfId="174"/>
    <cellStyle name="40% - Énfasis2 8" xfId="175"/>
    <cellStyle name="40% - Énfasis2 9" xfId="176"/>
    <cellStyle name="40% - Énfasis3 10" xfId="177"/>
    <cellStyle name="40% - Énfasis3 11" xfId="178"/>
    <cellStyle name="40% - Énfasis3 12" xfId="179"/>
    <cellStyle name="40% - Énfasis3 13" xfId="180"/>
    <cellStyle name="40% - Énfasis3 14" xfId="181"/>
    <cellStyle name="40% - Énfasis3 15" xfId="182"/>
    <cellStyle name="40% - Énfasis3 16" xfId="183"/>
    <cellStyle name="40% - Énfasis3 17" xfId="184"/>
    <cellStyle name="40% - Énfasis3 18" xfId="185"/>
    <cellStyle name="40% - Énfasis3 19" xfId="186"/>
    <cellStyle name="40% - Énfasis3 2" xfId="187"/>
    <cellStyle name="40% - Énfasis3 20" xfId="188"/>
    <cellStyle name="40% - Énfasis3 21" xfId="189"/>
    <cellStyle name="40% - Énfasis3 22" xfId="190"/>
    <cellStyle name="40% - Énfasis3 23" xfId="191"/>
    <cellStyle name="40% - Énfasis3 3" xfId="192"/>
    <cellStyle name="40% - Énfasis3 4" xfId="193"/>
    <cellStyle name="40% - Énfasis3 5" xfId="194"/>
    <cellStyle name="40% - Énfasis3 6" xfId="195"/>
    <cellStyle name="40% - Énfasis3 7" xfId="196"/>
    <cellStyle name="40% - Énfasis3 8" xfId="197"/>
    <cellStyle name="40% - Énfasis3 9" xfId="198"/>
    <cellStyle name="40% - Énfasis4 10" xfId="199"/>
    <cellStyle name="40% - Énfasis4 11" xfId="200"/>
    <cellStyle name="40% - Énfasis4 12" xfId="201"/>
    <cellStyle name="40% - Énfasis4 13" xfId="202"/>
    <cellStyle name="40% - Énfasis4 14" xfId="203"/>
    <cellStyle name="40% - Énfasis4 15" xfId="204"/>
    <cellStyle name="40% - Énfasis4 16" xfId="205"/>
    <cellStyle name="40% - Énfasis4 17" xfId="206"/>
    <cellStyle name="40% - Énfasis4 18" xfId="207"/>
    <cellStyle name="40% - Énfasis4 19" xfId="208"/>
    <cellStyle name="40% - Énfasis4 2" xfId="209"/>
    <cellStyle name="40% - Énfasis4 20" xfId="210"/>
    <cellStyle name="40% - Énfasis4 21" xfId="211"/>
    <cellStyle name="40% - Énfasis4 22" xfId="212"/>
    <cellStyle name="40% - Énfasis4 23" xfId="213"/>
    <cellStyle name="40% - Énfasis4 3" xfId="214"/>
    <cellStyle name="40% - Énfasis4 4" xfId="215"/>
    <cellStyle name="40% - Énfasis4 5" xfId="216"/>
    <cellStyle name="40% - Énfasis4 6" xfId="217"/>
    <cellStyle name="40% - Énfasis4 7" xfId="218"/>
    <cellStyle name="40% - Énfasis4 8" xfId="219"/>
    <cellStyle name="40% - Énfasis4 9" xfId="220"/>
    <cellStyle name="40% - Énfasis5 10" xfId="221"/>
    <cellStyle name="40% - Énfasis5 11" xfId="222"/>
    <cellStyle name="40% - Énfasis5 12" xfId="223"/>
    <cellStyle name="40% - Énfasis5 13" xfId="224"/>
    <cellStyle name="40% - Énfasis5 14" xfId="225"/>
    <cellStyle name="40% - Énfasis5 15" xfId="226"/>
    <cellStyle name="40% - Énfasis5 16" xfId="227"/>
    <cellStyle name="40% - Énfasis5 17" xfId="228"/>
    <cellStyle name="40% - Énfasis5 18" xfId="229"/>
    <cellStyle name="40% - Énfasis5 19" xfId="230"/>
    <cellStyle name="40% - Énfasis5 2" xfId="231"/>
    <cellStyle name="40% - Énfasis5 20" xfId="232"/>
    <cellStyle name="40% - Énfasis5 21" xfId="233"/>
    <cellStyle name="40% - Énfasis5 22" xfId="234"/>
    <cellStyle name="40% - Énfasis5 23" xfId="235"/>
    <cellStyle name="40% - Énfasis5 3" xfId="236"/>
    <cellStyle name="40% - Énfasis5 4" xfId="237"/>
    <cellStyle name="40% - Énfasis5 5" xfId="238"/>
    <cellStyle name="40% - Énfasis5 6" xfId="239"/>
    <cellStyle name="40% - Énfasis5 7" xfId="240"/>
    <cellStyle name="40% - Énfasis5 8" xfId="241"/>
    <cellStyle name="40% - Énfasis5 9" xfId="242"/>
    <cellStyle name="40% - Énfasis6 10" xfId="243"/>
    <cellStyle name="40% - Énfasis6 11" xfId="244"/>
    <cellStyle name="40% - Énfasis6 12" xfId="245"/>
    <cellStyle name="40% - Énfasis6 13" xfId="246"/>
    <cellStyle name="40% - Énfasis6 14" xfId="247"/>
    <cellStyle name="40% - Énfasis6 15" xfId="248"/>
    <cellStyle name="40% - Énfasis6 16" xfId="249"/>
    <cellStyle name="40% - Énfasis6 17" xfId="250"/>
    <cellStyle name="40% - Énfasis6 18" xfId="251"/>
    <cellStyle name="40% - Énfasis6 19" xfId="252"/>
    <cellStyle name="40% - Énfasis6 2" xfId="253"/>
    <cellStyle name="40% - Énfasis6 20" xfId="254"/>
    <cellStyle name="40% - Énfasis6 21" xfId="255"/>
    <cellStyle name="40% - Énfasis6 22" xfId="256"/>
    <cellStyle name="40% - Énfasis6 23" xfId="257"/>
    <cellStyle name="40% - Énfasis6 3" xfId="258"/>
    <cellStyle name="40% - Énfasis6 4" xfId="259"/>
    <cellStyle name="40% - Énfasis6 5" xfId="260"/>
    <cellStyle name="40% - Énfasis6 6" xfId="261"/>
    <cellStyle name="40% - Énfasis6 7" xfId="262"/>
    <cellStyle name="40% - Énfasis6 8" xfId="263"/>
    <cellStyle name="40% - Énfasis6 9" xfId="264"/>
    <cellStyle name="60% - Énfasis1 10" xfId="265"/>
    <cellStyle name="60% - Énfasis1 11" xfId="266"/>
    <cellStyle name="60% - Énfasis1 12" xfId="267"/>
    <cellStyle name="60% - Énfasis1 13" xfId="268"/>
    <cellStyle name="60% - Énfasis1 14" xfId="269"/>
    <cellStyle name="60% - Énfasis1 15" xfId="270"/>
    <cellStyle name="60% - Énfasis1 16" xfId="271"/>
    <cellStyle name="60% - Énfasis1 17" xfId="272"/>
    <cellStyle name="60% - Énfasis1 18" xfId="273"/>
    <cellStyle name="60% - Énfasis1 19" xfId="274"/>
    <cellStyle name="60% - Énfasis1 2" xfId="275"/>
    <cellStyle name="60% - Énfasis1 20" xfId="276"/>
    <cellStyle name="60% - Énfasis1 21" xfId="277"/>
    <cellStyle name="60% - Énfasis1 22" xfId="278"/>
    <cellStyle name="60% - Énfasis1 23" xfId="279"/>
    <cellStyle name="60% - Énfasis1 3" xfId="280"/>
    <cellStyle name="60% - Énfasis1 4" xfId="281"/>
    <cellStyle name="60% - Énfasis1 5" xfId="282"/>
    <cellStyle name="60% - Énfasis1 6" xfId="283"/>
    <cellStyle name="60% - Énfasis1 7" xfId="284"/>
    <cellStyle name="60% - Énfasis1 8" xfId="285"/>
    <cellStyle name="60% - Énfasis1 9" xfId="286"/>
    <cellStyle name="60% - Énfasis2 10" xfId="287"/>
    <cellStyle name="60% - Énfasis2 11" xfId="288"/>
    <cellStyle name="60% - Énfasis2 12" xfId="289"/>
    <cellStyle name="60% - Énfasis2 13" xfId="290"/>
    <cellStyle name="60% - Énfasis2 14" xfId="291"/>
    <cellStyle name="60% - Énfasis2 15" xfId="292"/>
    <cellStyle name="60% - Énfasis2 16" xfId="293"/>
    <cellStyle name="60% - Énfasis2 17" xfId="294"/>
    <cellStyle name="60% - Énfasis2 18" xfId="295"/>
    <cellStyle name="60% - Énfasis2 19" xfId="296"/>
    <cellStyle name="60% - Énfasis2 2" xfId="297"/>
    <cellStyle name="60% - Énfasis2 20" xfId="298"/>
    <cellStyle name="60% - Énfasis2 21" xfId="299"/>
    <cellStyle name="60% - Énfasis2 22" xfId="300"/>
    <cellStyle name="60% - Énfasis2 23" xfId="301"/>
    <cellStyle name="60% - Énfasis2 3" xfId="302"/>
    <cellStyle name="60% - Énfasis2 4" xfId="303"/>
    <cellStyle name="60% - Énfasis2 5" xfId="304"/>
    <cellStyle name="60% - Énfasis2 6" xfId="305"/>
    <cellStyle name="60% - Énfasis2 7" xfId="306"/>
    <cellStyle name="60% - Énfasis2 8" xfId="307"/>
    <cellStyle name="60% - Énfasis2 9" xfId="308"/>
    <cellStyle name="60% - Énfasis3 10" xfId="309"/>
    <cellStyle name="60% - Énfasis3 11" xfId="310"/>
    <cellStyle name="60% - Énfasis3 12" xfId="311"/>
    <cellStyle name="60% - Énfasis3 13" xfId="312"/>
    <cellStyle name="60% - Énfasis3 14" xfId="313"/>
    <cellStyle name="60% - Énfasis3 15" xfId="314"/>
    <cellStyle name="60% - Énfasis3 16" xfId="315"/>
    <cellStyle name="60% - Énfasis3 17" xfId="316"/>
    <cellStyle name="60% - Énfasis3 18" xfId="317"/>
    <cellStyle name="60% - Énfasis3 19" xfId="318"/>
    <cellStyle name="60% - Énfasis3 2" xfId="319"/>
    <cellStyle name="60% - Énfasis3 20" xfId="320"/>
    <cellStyle name="60% - Énfasis3 21" xfId="321"/>
    <cellStyle name="60% - Énfasis3 22" xfId="322"/>
    <cellStyle name="60% - Énfasis3 23" xfId="323"/>
    <cellStyle name="60% - Énfasis3 3" xfId="324"/>
    <cellStyle name="60% - Énfasis3 4" xfId="325"/>
    <cellStyle name="60% - Énfasis3 5" xfId="326"/>
    <cellStyle name="60% - Énfasis3 6" xfId="327"/>
    <cellStyle name="60% - Énfasis3 7" xfId="328"/>
    <cellStyle name="60% - Énfasis3 8" xfId="329"/>
    <cellStyle name="60% - Énfasis3 9" xfId="330"/>
    <cellStyle name="60% - Énfasis4 10" xfId="331"/>
    <cellStyle name="60% - Énfasis4 11" xfId="332"/>
    <cellStyle name="60% - Énfasis4 12" xfId="333"/>
    <cellStyle name="60% - Énfasis4 13" xfId="334"/>
    <cellStyle name="60% - Énfasis4 14" xfId="335"/>
    <cellStyle name="60% - Énfasis4 15" xfId="336"/>
    <cellStyle name="60% - Énfasis4 16" xfId="337"/>
    <cellStyle name="60% - Énfasis4 17" xfId="338"/>
    <cellStyle name="60% - Énfasis4 18" xfId="339"/>
    <cellStyle name="60% - Énfasis4 19" xfId="340"/>
    <cellStyle name="60% - Énfasis4 2" xfId="341"/>
    <cellStyle name="60% - Énfasis4 20" xfId="342"/>
    <cellStyle name="60% - Énfasis4 21" xfId="343"/>
    <cellStyle name="60% - Énfasis4 22" xfId="344"/>
    <cellStyle name="60% - Énfasis4 23" xfId="345"/>
    <cellStyle name="60% - Énfasis4 3" xfId="346"/>
    <cellStyle name="60% - Énfasis4 4" xfId="347"/>
    <cellStyle name="60% - Énfasis4 5" xfId="348"/>
    <cellStyle name="60% - Énfasis4 6" xfId="349"/>
    <cellStyle name="60% - Énfasis4 7" xfId="350"/>
    <cellStyle name="60% - Énfasis4 8" xfId="351"/>
    <cellStyle name="60% - Énfasis4 9" xfId="352"/>
    <cellStyle name="60% - Énfasis5 10" xfId="353"/>
    <cellStyle name="60% - Énfasis5 11" xfId="354"/>
    <cellStyle name="60% - Énfasis5 12" xfId="355"/>
    <cellStyle name="60% - Énfasis5 13" xfId="356"/>
    <cellStyle name="60% - Énfasis5 14" xfId="357"/>
    <cellStyle name="60% - Énfasis5 15" xfId="358"/>
    <cellStyle name="60% - Énfasis5 16" xfId="359"/>
    <cellStyle name="60% - Énfasis5 17" xfId="360"/>
    <cellStyle name="60% - Énfasis5 18" xfId="361"/>
    <cellStyle name="60% - Énfasis5 19" xfId="362"/>
    <cellStyle name="60% - Énfasis5 2" xfId="363"/>
    <cellStyle name="60% - Énfasis5 20" xfId="364"/>
    <cellStyle name="60% - Énfasis5 21" xfId="365"/>
    <cellStyle name="60% - Énfasis5 22" xfId="366"/>
    <cellStyle name="60% - Énfasis5 23" xfId="367"/>
    <cellStyle name="60% - Énfasis5 3" xfId="368"/>
    <cellStyle name="60% - Énfasis5 4" xfId="369"/>
    <cellStyle name="60% - Énfasis5 5" xfId="370"/>
    <cellStyle name="60% - Énfasis5 6" xfId="371"/>
    <cellStyle name="60% - Énfasis5 7" xfId="372"/>
    <cellStyle name="60% - Énfasis5 8" xfId="373"/>
    <cellStyle name="60% - Énfasis5 9" xfId="374"/>
    <cellStyle name="60% - Énfasis6 10" xfId="375"/>
    <cellStyle name="60% - Énfasis6 11" xfId="376"/>
    <cellStyle name="60% - Énfasis6 12" xfId="377"/>
    <cellStyle name="60% - Énfasis6 13" xfId="378"/>
    <cellStyle name="60% - Énfasis6 14" xfId="379"/>
    <cellStyle name="60% - Énfasis6 15" xfId="380"/>
    <cellStyle name="60% - Énfasis6 16" xfId="381"/>
    <cellStyle name="60% - Énfasis6 17" xfId="382"/>
    <cellStyle name="60% - Énfasis6 18" xfId="383"/>
    <cellStyle name="60% - Énfasis6 19" xfId="384"/>
    <cellStyle name="60% - Énfasis6 2" xfId="385"/>
    <cellStyle name="60% - Énfasis6 20" xfId="386"/>
    <cellStyle name="60% - Énfasis6 21" xfId="387"/>
    <cellStyle name="60% - Énfasis6 22" xfId="388"/>
    <cellStyle name="60% - Énfasis6 23" xfId="389"/>
    <cellStyle name="60% - Énfasis6 3" xfId="390"/>
    <cellStyle name="60% - Énfasis6 4" xfId="391"/>
    <cellStyle name="60% - Énfasis6 5" xfId="392"/>
    <cellStyle name="60% - Énfasis6 6" xfId="393"/>
    <cellStyle name="60% - Énfasis6 7" xfId="394"/>
    <cellStyle name="60% - Énfasis6 8" xfId="395"/>
    <cellStyle name="60% - Énfasis6 9" xfId="396"/>
    <cellStyle name="Buena 10" xfId="397"/>
    <cellStyle name="Buena 11" xfId="398"/>
    <cellStyle name="Buena 12" xfId="399"/>
    <cellStyle name="Buena 13" xfId="400"/>
    <cellStyle name="Buena 14" xfId="401"/>
    <cellStyle name="Buena 15" xfId="402"/>
    <cellStyle name="Buena 16" xfId="403"/>
    <cellStyle name="Buena 17" xfId="404"/>
    <cellStyle name="Buena 18" xfId="405"/>
    <cellStyle name="Buena 19" xfId="406"/>
    <cellStyle name="Buena 2" xfId="407"/>
    <cellStyle name="Buena 20" xfId="408"/>
    <cellStyle name="Buena 21" xfId="409"/>
    <cellStyle name="Buena 22" xfId="410"/>
    <cellStyle name="Buena 23" xfId="411"/>
    <cellStyle name="Buena 3" xfId="412"/>
    <cellStyle name="Buena 4" xfId="413"/>
    <cellStyle name="Buena 5" xfId="414"/>
    <cellStyle name="Buena 6" xfId="415"/>
    <cellStyle name="Buena 7" xfId="416"/>
    <cellStyle name="Buena 8" xfId="417"/>
    <cellStyle name="Buena 9" xfId="418"/>
    <cellStyle name="Cálculo 10" xfId="419"/>
    <cellStyle name="Cálculo 11" xfId="420"/>
    <cellStyle name="Cálculo 12" xfId="421"/>
    <cellStyle name="Cálculo 13" xfId="422"/>
    <cellStyle name="Cálculo 14" xfId="423"/>
    <cellStyle name="Cálculo 15" xfId="424"/>
    <cellStyle name="Cálculo 16" xfId="425"/>
    <cellStyle name="Cálculo 17" xfId="426"/>
    <cellStyle name="Cálculo 18" xfId="427"/>
    <cellStyle name="Cálculo 19" xfId="428"/>
    <cellStyle name="Cálculo 2" xfId="429"/>
    <cellStyle name="Cálculo 20" xfId="430"/>
    <cellStyle name="Cálculo 21" xfId="431"/>
    <cellStyle name="Cálculo 22" xfId="432"/>
    <cellStyle name="Cálculo 23" xfId="433"/>
    <cellStyle name="Cálculo 3" xfId="434"/>
    <cellStyle name="Cálculo 4" xfId="435"/>
    <cellStyle name="Cálculo 5" xfId="436"/>
    <cellStyle name="Cálculo 6" xfId="437"/>
    <cellStyle name="Cálculo 7" xfId="438"/>
    <cellStyle name="Cálculo 8" xfId="439"/>
    <cellStyle name="Cálculo 9" xfId="440"/>
    <cellStyle name="Celda de comprobación 10" xfId="441"/>
    <cellStyle name="Celda de comprobación 11" xfId="442"/>
    <cellStyle name="Celda de comprobación 12" xfId="443"/>
    <cellStyle name="Celda de comprobación 13" xfId="444"/>
    <cellStyle name="Celda de comprobación 14" xfId="445"/>
    <cellStyle name="Celda de comprobación 15" xfId="446"/>
    <cellStyle name="Celda de comprobación 16" xfId="447"/>
    <cellStyle name="Celda de comprobación 17" xfId="448"/>
    <cellStyle name="Celda de comprobación 18" xfId="449"/>
    <cellStyle name="Celda de comprobación 19" xfId="450"/>
    <cellStyle name="Celda de comprobación 2" xfId="451"/>
    <cellStyle name="Celda de comprobación 20" xfId="452"/>
    <cellStyle name="Celda de comprobación 21" xfId="453"/>
    <cellStyle name="Celda de comprobación 22" xfId="454"/>
    <cellStyle name="Celda de comprobación 23" xfId="455"/>
    <cellStyle name="Celda de comprobación 3" xfId="456"/>
    <cellStyle name="Celda de comprobación 4" xfId="457"/>
    <cellStyle name="Celda de comprobación 5" xfId="458"/>
    <cellStyle name="Celda de comprobación 6" xfId="459"/>
    <cellStyle name="Celda de comprobación 7" xfId="460"/>
    <cellStyle name="Celda de comprobación 8" xfId="461"/>
    <cellStyle name="Celda de comprobación 9" xfId="462"/>
    <cellStyle name="Celda vinculada 10" xfId="463"/>
    <cellStyle name="Celda vinculada 11" xfId="464"/>
    <cellStyle name="Celda vinculada 12" xfId="465"/>
    <cellStyle name="Celda vinculada 13" xfId="466"/>
    <cellStyle name="Celda vinculada 14" xfId="467"/>
    <cellStyle name="Celda vinculada 15" xfId="468"/>
    <cellStyle name="Celda vinculada 16" xfId="469"/>
    <cellStyle name="Celda vinculada 17" xfId="470"/>
    <cellStyle name="Celda vinculada 18" xfId="471"/>
    <cellStyle name="Celda vinculada 19" xfId="472"/>
    <cellStyle name="Celda vinculada 2" xfId="473"/>
    <cellStyle name="Celda vinculada 20" xfId="474"/>
    <cellStyle name="Celda vinculada 21" xfId="475"/>
    <cellStyle name="Celda vinculada 22" xfId="476"/>
    <cellStyle name="Celda vinculada 23" xfId="477"/>
    <cellStyle name="Celda vinculada 3" xfId="478"/>
    <cellStyle name="Celda vinculada 4" xfId="479"/>
    <cellStyle name="Celda vinculada 5" xfId="480"/>
    <cellStyle name="Celda vinculada 6" xfId="481"/>
    <cellStyle name="Celda vinculada 7" xfId="482"/>
    <cellStyle name="Celda vinculada 8" xfId="483"/>
    <cellStyle name="Celda vinculada 9" xfId="484"/>
    <cellStyle name="Encabezado 4 10" xfId="485"/>
    <cellStyle name="Encabezado 4 11" xfId="486"/>
    <cellStyle name="Encabezado 4 12" xfId="487"/>
    <cellStyle name="Encabezado 4 13" xfId="488"/>
    <cellStyle name="Encabezado 4 14" xfId="489"/>
    <cellStyle name="Encabezado 4 15" xfId="490"/>
    <cellStyle name="Encabezado 4 16" xfId="491"/>
    <cellStyle name="Encabezado 4 17" xfId="492"/>
    <cellStyle name="Encabezado 4 18" xfId="493"/>
    <cellStyle name="Encabezado 4 19" xfId="494"/>
    <cellStyle name="Encabezado 4 2" xfId="495"/>
    <cellStyle name="Encabezado 4 20" xfId="496"/>
    <cellStyle name="Encabezado 4 21" xfId="497"/>
    <cellStyle name="Encabezado 4 22" xfId="498"/>
    <cellStyle name="Encabezado 4 23" xfId="499"/>
    <cellStyle name="Encabezado 4 3" xfId="500"/>
    <cellStyle name="Encabezado 4 4" xfId="501"/>
    <cellStyle name="Encabezado 4 5" xfId="502"/>
    <cellStyle name="Encabezado 4 6" xfId="503"/>
    <cellStyle name="Encabezado 4 7" xfId="504"/>
    <cellStyle name="Encabezado 4 8" xfId="505"/>
    <cellStyle name="Encabezado 4 9" xfId="506"/>
    <cellStyle name="Énfasis1 10" xfId="507"/>
    <cellStyle name="Énfasis1 11" xfId="508"/>
    <cellStyle name="Énfasis1 12" xfId="509"/>
    <cellStyle name="Énfasis1 13" xfId="510"/>
    <cellStyle name="Énfasis1 14" xfId="511"/>
    <cellStyle name="Énfasis1 15" xfId="512"/>
    <cellStyle name="Énfasis1 16" xfId="513"/>
    <cellStyle name="Énfasis1 17" xfId="514"/>
    <cellStyle name="Énfasis1 18" xfId="515"/>
    <cellStyle name="Énfasis1 19" xfId="516"/>
    <cellStyle name="Énfasis1 2" xfId="517"/>
    <cellStyle name="Énfasis1 20" xfId="518"/>
    <cellStyle name="Énfasis1 21" xfId="519"/>
    <cellStyle name="Énfasis1 22" xfId="520"/>
    <cellStyle name="Énfasis1 23" xfId="521"/>
    <cellStyle name="Énfasis1 3" xfId="522"/>
    <cellStyle name="Énfasis1 4" xfId="523"/>
    <cellStyle name="Énfasis1 5" xfId="524"/>
    <cellStyle name="Énfasis1 6" xfId="525"/>
    <cellStyle name="Énfasis1 7" xfId="526"/>
    <cellStyle name="Énfasis1 8" xfId="527"/>
    <cellStyle name="Énfasis1 9" xfId="528"/>
    <cellStyle name="Énfasis2 10" xfId="529"/>
    <cellStyle name="Énfasis2 11" xfId="530"/>
    <cellStyle name="Énfasis2 12" xfId="531"/>
    <cellStyle name="Énfasis2 13" xfId="532"/>
    <cellStyle name="Énfasis2 14" xfId="533"/>
    <cellStyle name="Énfasis2 15" xfId="534"/>
    <cellStyle name="Énfasis2 16" xfId="535"/>
    <cellStyle name="Énfasis2 17" xfId="536"/>
    <cellStyle name="Énfasis2 18" xfId="537"/>
    <cellStyle name="Énfasis2 19" xfId="538"/>
    <cellStyle name="Énfasis2 2" xfId="539"/>
    <cellStyle name="Énfasis2 20" xfId="540"/>
    <cellStyle name="Énfasis2 21" xfId="541"/>
    <cellStyle name="Énfasis2 22" xfId="542"/>
    <cellStyle name="Énfasis2 23" xfId="543"/>
    <cellStyle name="Énfasis2 3" xfId="544"/>
    <cellStyle name="Énfasis2 4" xfId="545"/>
    <cellStyle name="Énfasis2 5" xfId="546"/>
    <cellStyle name="Énfasis2 6" xfId="547"/>
    <cellStyle name="Énfasis2 7" xfId="548"/>
    <cellStyle name="Énfasis2 8" xfId="549"/>
    <cellStyle name="Énfasis2 9" xfId="550"/>
    <cellStyle name="Énfasis3 10" xfId="551"/>
    <cellStyle name="Énfasis3 11" xfId="552"/>
    <cellStyle name="Énfasis3 12" xfId="553"/>
    <cellStyle name="Énfasis3 13" xfId="554"/>
    <cellStyle name="Énfasis3 14" xfId="555"/>
    <cellStyle name="Énfasis3 15" xfId="556"/>
    <cellStyle name="Énfasis3 16" xfId="557"/>
    <cellStyle name="Énfasis3 17" xfId="558"/>
    <cellStyle name="Énfasis3 18" xfId="559"/>
    <cellStyle name="Énfasis3 19" xfId="560"/>
    <cellStyle name="Énfasis3 2" xfId="561"/>
    <cellStyle name="Énfasis3 20" xfId="562"/>
    <cellStyle name="Énfasis3 21" xfId="563"/>
    <cellStyle name="Énfasis3 22" xfId="564"/>
    <cellStyle name="Énfasis3 23" xfId="565"/>
    <cellStyle name="Énfasis3 3" xfId="566"/>
    <cellStyle name="Énfasis3 4" xfId="567"/>
    <cellStyle name="Énfasis3 5" xfId="568"/>
    <cellStyle name="Énfasis3 6" xfId="569"/>
    <cellStyle name="Énfasis3 7" xfId="570"/>
    <cellStyle name="Énfasis3 8" xfId="571"/>
    <cellStyle name="Énfasis3 9" xfId="572"/>
    <cellStyle name="Énfasis4 10" xfId="573"/>
    <cellStyle name="Énfasis4 11" xfId="574"/>
    <cellStyle name="Énfasis4 12" xfId="575"/>
    <cellStyle name="Énfasis4 13" xfId="576"/>
    <cellStyle name="Énfasis4 14" xfId="577"/>
    <cellStyle name="Énfasis4 15" xfId="578"/>
    <cellStyle name="Énfasis4 16" xfId="579"/>
    <cellStyle name="Énfasis4 17" xfId="580"/>
    <cellStyle name="Énfasis4 18" xfId="581"/>
    <cellStyle name="Énfasis4 19" xfId="582"/>
    <cellStyle name="Énfasis4 2" xfId="583"/>
    <cellStyle name="Énfasis4 20" xfId="584"/>
    <cellStyle name="Énfasis4 21" xfId="585"/>
    <cellStyle name="Énfasis4 22" xfId="586"/>
    <cellStyle name="Énfasis4 23" xfId="587"/>
    <cellStyle name="Énfasis4 3" xfId="588"/>
    <cellStyle name="Énfasis4 4" xfId="589"/>
    <cellStyle name="Énfasis4 5" xfId="590"/>
    <cellStyle name="Énfasis4 6" xfId="591"/>
    <cellStyle name="Énfasis4 7" xfId="592"/>
    <cellStyle name="Énfasis4 8" xfId="593"/>
    <cellStyle name="Énfasis4 9" xfId="594"/>
    <cellStyle name="Énfasis5 10" xfId="595"/>
    <cellStyle name="Énfasis5 11" xfId="596"/>
    <cellStyle name="Énfasis5 12" xfId="597"/>
    <cellStyle name="Énfasis5 13" xfId="598"/>
    <cellStyle name="Énfasis5 14" xfId="599"/>
    <cellStyle name="Énfasis5 15" xfId="600"/>
    <cellStyle name="Énfasis5 16" xfId="601"/>
    <cellStyle name="Énfasis5 17" xfId="602"/>
    <cellStyle name="Énfasis5 18" xfId="603"/>
    <cellStyle name="Énfasis5 19" xfId="604"/>
    <cellStyle name="Énfasis5 2" xfId="605"/>
    <cellStyle name="Énfasis5 20" xfId="606"/>
    <cellStyle name="Énfasis5 21" xfId="607"/>
    <cellStyle name="Énfasis5 22" xfId="608"/>
    <cellStyle name="Énfasis5 23" xfId="609"/>
    <cellStyle name="Énfasis5 3" xfId="610"/>
    <cellStyle name="Énfasis5 4" xfId="611"/>
    <cellStyle name="Énfasis5 5" xfId="612"/>
    <cellStyle name="Énfasis5 6" xfId="613"/>
    <cellStyle name="Énfasis5 7" xfId="614"/>
    <cellStyle name="Énfasis5 8" xfId="615"/>
    <cellStyle name="Énfasis5 9" xfId="616"/>
    <cellStyle name="Énfasis6 10" xfId="617"/>
    <cellStyle name="Énfasis6 11" xfId="618"/>
    <cellStyle name="Énfasis6 12" xfId="619"/>
    <cellStyle name="Énfasis6 13" xfId="620"/>
    <cellStyle name="Énfasis6 14" xfId="621"/>
    <cellStyle name="Énfasis6 15" xfId="622"/>
    <cellStyle name="Énfasis6 16" xfId="623"/>
    <cellStyle name="Énfasis6 17" xfId="624"/>
    <cellStyle name="Énfasis6 18" xfId="625"/>
    <cellStyle name="Énfasis6 19" xfId="626"/>
    <cellStyle name="Énfasis6 2" xfId="627"/>
    <cellStyle name="Énfasis6 20" xfId="628"/>
    <cellStyle name="Énfasis6 21" xfId="629"/>
    <cellStyle name="Énfasis6 22" xfId="630"/>
    <cellStyle name="Énfasis6 23" xfId="631"/>
    <cellStyle name="Énfasis6 3" xfId="632"/>
    <cellStyle name="Énfasis6 4" xfId="633"/>
    <cellStyle name="Énfasis6 5" xfId="634"/>
    <cellStyle name="Énfasis6 6" xfId="635"/>
    <cellStyle name="Énfasis6 7" xfId="636"/>
    <cellStyle name="Énfasis6 8" xfId="637"/>
    <cellStyle name="Énfasis6 9" xfId="638"/>
    <cellStyle name="Entrada 10" xfId="639"/>
    <cellStyle name="Entrada 11" xfId="640"/>
    <cellStyle name="Entrada 12" xfId="641"/>
    <cellStyle name="Entrada 13" xfId="642"/>
    <cellStyle name="Entrada 14" xfId="643"/>
    <cellStyle name="Entrada 15" xfId="644"/>
    <cellStyle name="Entrada 16" xfId="645"/>
    <cellStyle name="Entrada 17" xfId="646"/>
    <cellStyle name="Entrada 18" xfId="647"/>
    <cellStyle name="Entrada 19" xfId="648"/>
    <cellStyle name="Entrada 2" xfId="649"/>
    <cellStyle name="Entrada 20" xfId="650"/>
    <cellStyle name="Entrada 21" xfId="651"/>
    <cellStyle name="Entrada 22" xfId="652"/>
    <cellStyle name="Entrada 23" xfId="653"/>
    <cellStyle name="Entrada 3" xfId="654"/>
    <cellStyle name="Entrada 4" xfId="655"/>
    <cellStyle name="Entrada 5" xfId="656"/>
    <cellStyle name="Entrada 6" xfId="657"/>
    <cellStyle name="Entrada 7" xfId="658"/>
    <cellStyle name="Entrada 8" xfId="659"/>
    <cellStyle name="Entrada 9" xfId="660"/>
    <cellStyle name="Estilo 1" xfId="661"/>
    <cellStyle name="Estilo 1 2" xfId="662"/>
    <cellStyle name="Incorrecto 10" xfId="663"/>
    <cellStyle name="Incorrecto 11" xfId="664"/>
    <cellStyle name="Incorrecto 12" xfId="665"/>
    <cellStyle name="Incorrecto 13" xfId="666"/>
    <cellStyle name="Incorrecto 14" xfId="667"/>
    <cellStyle name="Incorrecto 15" xfId="668"/>
    <cellStyle name="Incorrecto 16" xfId="669"/>
    <cellStyle name="Incorrecto 17" xfId="670"/>
    <cellStyle name="Incorrecto 18" xfId="671"/>
    <cellStyle name="Incorrecto 19" xfId="672"/>
    <cellStyle name="Incorrecto 2" xfId="673"/>
    <cellStyle name="Incorrecto 20" xfId="674"/>
    <cellStyle name="Incorrecto 21" xfId="675"/>
    <cellStyle name="Incorrecto 22" xfId="676"/>
    <cellStyle name="Incorrecto 23" xfId="677"/>
    <cellStyle name="Incorrecto 3" xfId="678"/>
    <cellStyle name="Incorrecto 4" xfId="679"/>
    <cellStyle name="Incorrecto 5" xfId="680"/>
    <cellStyle name="Incorrecto 6" xfId="681"/>
    <cellStyle name="Incorrecto 7" xfId="682"/>
    <cellStyle name="Incorrecto 8" xfId="683"/>
    <cellStyle name="Incorrecto 9" xfId="684"/>
    <cellStyle name="Millares" xfId="685" builtinId="3"/>
    <cellStyle name="Millares [0]" xfId="1015" builtinId="6"/>
    <cellStyle name="Millares [0] 2" xfId="1017"/>
    <cellStyle name="Millares 2" xfId="1012"/>
    <cellStyle name="Millares 2 10" xfId="686"/>
    <cellStyle name="Millares 2 11" xfId="687"/>
    <cellStyle name="Millares 2 12" xfId="688"/>
    <cellStyle name="Millares 2 13" xfId="689"/>
    <cellStyle name="Millares 2 14" xfId="690"/>
    <cellStyle name="Millares 2 15" xfId="691"/>
    <cellStyle name="Millares 2 16" xfId="692"/>
    <cellStyle name="Millares 2 17" xfId="693"/>
    <cellStyle name="Millares 2 18" xfId="694"/>
    <cellStyle name="Millares 2 19" xfId="695"/>
    <cellStyle name="Millares 2 2" xfId="696"/>
    <cellStyle name="Millares 2 20" xfId="697"/>
    <cellStyle name="Millares 2 21" xfId="698"/>
    <cellStyle name="Millares 2 22" xfId="699"/>
    <cellStyle name="Millares 2 23" xfId="700"/>
    <cellStyle name="Millares 2 3" xfId="701"/>
    <cellStyle name="Millares 2 4" xfId="702"/>
    <cellStyle name="Millares 2 5" xfId="703"/>
    <cellStyle name="Millares 2 6" xfId="704"/>
    <cellStyle name="Millares 2 7" xfId="705"/>
    <cellStyle name="Millares 2 8" xfId="706"/>
    <cellStyle name="Millares 2 9" xfId="707"/>
    <cellStyle name="Millares 3" xfId="708"/>
    <cellStyle name="Millares 3 2" xfId="709"/>
    <cellStyle name="Millares 3 3" xfId="710"/>
    <cellStyle name="Millares 5" xfId="711"/>
    <cellStyle name="Millares 7" xfId="1013"/>
    <cellStyle name="Neutral 10" xfId="712"/>
    <cellStyle name="Neutral 11" xfId="713"/>
    <cellStyle name="Neutral 12" xfId="714"/>
    <cellStyle name="Neutral 13" xfId="715"/>
    <cellStyle name="Neutral 14" xfId="716"/>
    <cellStyle name="Neutral 15" xfId="717"/>
    <cellStyle name="Neutral 16" xfId="718"/>
    <cellStyle name="Neutral 17" xfId="719"/>
    <cellStyle name="Neutral 18" xfId="720"/>
    <cellStyle name="Neutral 19" xfId="721"/>
    <cellStyle name="Neutral 2" xfId="722"/>
    <cellStyle name="Neutral 20" xfId="723"/>
    <cellStyle name="Neutral 21" xfId="724"/>
    <cellStyle name="Neutral 22" xfId="725"/>
    <cellStyle name="Neutral 23" xfId="726"/>
    <cellStyle name="Neutral 3" xfId="727"/>
    <cellStyle name="Neutral 4" xfId="728"/>
    <cellStyle name="Neutral 5" xfId="729"/>
    <cellStyle name="Neutral 6" xfId="730"/>
    <cellStyle name="Neutral 7" xfId="731"/>
    <cellStyle name="Neutral 8" xfId="732"/>
    <cellStyle name="Neutral 9" xfId="733"/>
    <cellStyle name="Normal" xfId="0" builtinId="0"/>
    <cellStyle name="Normal 10" xfId="734"/>
    <cellStyle name="Normal 2 10" xfId="735"/>
    <cellStyle name="Normal 2 11" xfId="736"/>
    <cellStyle name="Normal 2 12" xfId="737"/>
    <cellStyle name="Normal 2 13" xfId="738"/>
    <cellStyle name="Normal 2 14" xfId="739"/>
    <cellStyle name="Normal 2 15" xfId="740"/>
    <cellStyle name="Normal 2 16" xfId="741"/>
    <cellStyle name="Normal 2 17" xfId="742"/>
    <cellStyle name="Normal 2 18" xfId="743"/>
    <cellStyle name="Normal 2 19" xfId="744"/>
    <cellStyle name="Normal 2 2" xfId="745"/>
    <cellStyle name="Normal 2 20" xfId="746"/>
    <cellStyle name="Normal 2 21" xfId="747"/>
    <cellStyle name="Normal 2 22" xfId="748"/>
    <cellStyle name="Normal 2 23" xfId="749"/>
    <cellStyle name="Normal 2 24" xfId="750"/>
    <cellStyle name="Normal 2 25" xfId="751"/>
    <cellStyle name="Normal 2 3" xfId="752"/>
    <cellStyle name="Normal 2 4" xfId="753"/>
    <cellStyle name="Normal 2 5" xfId="754"/>
    <cellStyle name="Normal 2 6" xfId="755"/>
    <cellStyle name="Normal 2 6 2" xfId="1014"/>
    <cellStyle name="Normal 2 7" xfId="756"/>
    <cellStyle name="Normal 2 8" xfId="757"/>
    <cellStyle name="Normal 2 9" xfId="758"/>
    <cellStyle name="Normal 3" xfId="1018"/>
    <cellStyle name="Normal 3 10" xfId="759"/>
    <cellStyle name="Normal 3 11" xfId="760"/>
    <cellStyle name="Normal 3 12" xfId="761"/>
    <cellStyle name="Normal 3 13" xfId="762"/>
    <cellStyle name="Normal 3 14" xfId="763"/>
    <cellStyle name="Normal 3 15" xfId="764"/>
    <cellStyle name="Normal 3 16" xfId="765"/>
    <cellStyle name="Normal 3 17" xfId="766"/>
    <cellStyle name="Normal 3 18" xfId="767"/>
    <cellStyle name="Normal 3 19" xfId="768"/>
    <cellStyle name="Normal 3 2" xfId="769"/>
    <cellStyle name="Normal 3 20" xfId="770"/>
    <cellStyle name="Normal 3 21" xfId="771"/>
    <cellStyle name="Normal 3 22" xfId="772"/>
    <cellStyle name="Normal 3 23" xfId="773"/>
    <cellStyle name="Normal 3 24" xfId="774"/>
    <cellStyle name="Normal 3 3" xfId="775"/>
    <cellStyle name="Normal 3 4" xfId="776"/>
    <cellStyle name="Normal 3 5" xfId="777"/>
    <cellStyle name="Normal 3 6" xfId="778"/>
    <cellStyle name="Normal 3 7" xfId="779"/>
    <cellStyle name="Normal 3 8" xfId="780"/>
    <cellStyle name="Normal 3 9" xfId="781"/>
    <cellStyle name="Normal 4" xfId="782"/>
    <cellStyle name="Normal 4 10" xfId="783"/>
    <cellStyle name="Normal 4 11" xfId="784"/>
    <cellStyle name="Normal 4 12" xfId="785"/>
    <cellStyle name="Normal 4 13" xfId="786"/>
    <cellStyle name="Normal 4 14" xfId="787"/>
    <cellStyle name="Normal 4 15" xfId="788"/>
    <cellStyle name="Normal 4 16" xfId="789"/>
    <cellStyle name="Normal 4 17" xfId="790"/>
    <cellStyle name="Normal 4 18" xfId="791"/>
    <cellStyle name="Normal 4 19" xfId="792"/>
    <cellStyle name="Normal 4 2" xfId="793"/>
    <cellStyle name="Normal 4 20" xfId="794"/>
    <cellStyle name="Normal 4 21" xfId="795"/>
    <cellStyle name="Normal 4 22" xfId="796"/>
    <cellStyle name="Normal 4 23" xfId="797"/>
    <cellStyle name="Normal 4 3" xfId="798"/>
    <cellStyle name="Normal 4 4" xfId="799"/>
    <cellStyle name="Normal 4 5" xfId="800"/>
    <cellStyle name="Normal 4 6" xfId="801"/>
    <cellStyle name="Normal 4 7" xfId="802"/>
    <cellStyle name="Normal 4 8" xfId="803"/>
    <cellStyle name="Normal 4 9" xfId="804"/>
    <cellStyle name="Normal 5" xfId="805"/>
    <cellStyle name="Normal 5 2" xfId="1016"/>
    <cellStyle name="Normal 6" xfId="806"/>
    <cellStyle name="Normal 7" xfId="807"/>
    <cellStyle name="Normal 8" xfId="808"/>
    <cellStyle name="Normal 9" xfId="809"/>
    <cellStyle name="Normal_Hoja2" xfId="810"/>
    <cellStyle name="Normal_Hoja5" xfId="811"/>
    <cellStyle name="Normal_Hoja7" xfId="812"/>
    <cellStyle name="Notas 10" xfId="813"/>
    <cellStyle name="Notas 11" xfId="814"/>
    <cellStyle name="Notas 12" xfId="815"/>
    <cellStyle name="Notas 13" xfId="816"/>
    <cellStyle name="Notas 14" xfId="817"/>
    <cellStyle name="Notas 15" xfId="818"/>
    <cellStyle name="Notas 16" xfId="819"/>
    <cellStyle name="Notas 17" xfId="820"/>
    <cellStyle name="Notas 18" xfId="821"/>
    <cellStyle name="Notas 19" xfId="822"/>
    <cellStyle name="Notas 2" xfId="823"/>
    <cellStyle name="Notas 20" xfId="824"/>
    <cellStyle name="Notas 21" xfId="825"/>
    <cellStyle name="Notas 22" xfId="826"/>
    <cellStyle name="Notas 23" xfId="827"/>
    <cellStyle name="Notas 3" xfId="828"/>
    <cellStyle name="Notas 4" xfId="829"/>
    <cellStyle name="Notas 5" xfId="830"/>
    <cellStyle name="Notas 6" xfId="831"/>
    <cellStyle name="Notas 7" xfId="832"/>
    <cellStyle name="Notas 8" xfId="833"/>
    <cellStyle name="Notas 9" xfId="834"/>
    <cellStyle name="Porcentaje" xfId="835" builtinId="5"/>
    <cellStyle name="Salida 10" xfId="836"/>
    <cellStyle name="Salida 11" xfId="837"/>
    <cellStyle name="Salida 12" xfId="838"/>
    <cellStyle name="Salida 13" xfId="839"/>
    <cellStyle name="Salida 14" xfId="840"/>
    <cellStyle name="Salida 15" xfId="841"/>
    <cellStyle name="Salida 16" xfId="842"/>
    <cellStyle name="Salida 17" xfId="843"/>
    <cellStyle name="Salida 18" xfId="844"/>
    <cellStyle name="Salida 19" xfId="845"/>
    <cellStyle name="Salida 2" xfId="846"/>
    <cellStyle name="Salida 20" xfId="847"/>
    <cellStyle name="Salida 21" xfId="848"/>
    <cellStyle name="Salida 22" xfId="849"/>
    <cellStyle name="Salida 23" xfId="850"/>
    <cellStyle name="Salida 3" xfId="851"/>
    <cellStyle name="Salida 4" xfId="852"/>
    <cellStyle name="Salida 5" xfId="853"/>
    <cellStyle name="Salida 6" xfId="854"/>
    <cellStyle name="Salida 7" xfId="855"/>
    <cellStyle name="Salida 8" xfId="856"/>
    <cellStyle name="Salida 9" xfId="857"/>
    <cellStyle name="Texto de advertencia 10" xfId="858"/>
    <cellStyle name="Texto de advertencia 11" xfId="859"/>
    <cellStyle name="Texto de advertencia 12" xfId="860"/>
    <cellStyle name="Texto de advertencia 13" xfId="861"/>
    <cellStyle name="Texto de advertencia 14" xfId="862"/>
    <cellStyle name="Texto de advertencia 15" xfId="863"/>
    <cellStyle name="Texto de advertencia 16" xfId="864"/>
    <cellStyle name="Texto de advertencia 17" xfId="865"/>
    <cellStyle name="Texto de advertencia 18" xfId="866"/>
    <cellStyle name="Texto de advertencia 19" xfId="867"/>
    <cellStyle name="Texto de advertencia 2" xfId="868"/>
    <cellStyle name="Texto de advertencia 20" xfId="869"/>
    <cellStyle name="Texto de advertencia 21" xfId="870"/>
    <cellStyle name="Texto de advertencia 22" xfId="871"/>
    <cellStyle name="Texto de advertencia 23" xfId="872"/>
    <cellStyle name="Texto de advertencia 3" xfId="873"/>
    <cellStyle name="Texto de advertencia 4" xfId="874"/>
    <cellStyle name="Texto de advertencia 5" xfId="875"/>
    <cellStyle name="Texto de advertencia 6" xfId="876"/>
    <cellStyle name="Texto de advertencia 7" xfId="877"/>
    <cellStyle name="Texto de advertencia 8" xfId="878"/>
    <cellStyle name="Texto de advertencia 9" xfId="879"/>
    <cellStyle name="Texto explicativo 10" xfId="880"/>
    <cellStyle name="Texto explicativo 11" xfId="881"/>
    <cellStyle name="Texto explicativo 12" xfId="882"/>
    <cellStyle name="Texto explicativo 13" xfId="883"/>
    <cellStyle name="Texto explicativo 14" xfId="884"/>
    <cellStyle name="Texto explicativo 15" xfId="885"/>
    <cellStyle name="Texto explicativo 16" xfId="886"/>
    <cellStyle name="Texto explicativo 17" xfId="887"/>
    <cellStyle name="Texto explicativo 18" xfId="888"/>
    <cellStyle name="Texto explicativo 19" xfId="889"/>
    <cellStyle name="Texto explicativo 2" xfId="890"/>
    <cellStyle name="Texto explicativo 20" xfId="891"/>
    <cellStyle name="Texto explicativo 21" xfId="892"/>
    <cellStyle name="Texto explicativo 22" xfId="893"/>
    <cellStyle name="Texto explicativo 23" xfId="894"/>
    <cellStyle name="Texto explicativo 3" xfId="895"/>
    <cellStyle name="Texto explicativo 4" xfId="896"/>
    <cellStyle name="Texto explicativo 5" xfId="897"/>
    <cellStyle name="Texto explicativo 6" xfId="898"/>
    <cellStyle name="Texto explicativo 7" xfId="899"/>
    <cellStyle name="Texto explicativo 8" xfId="900"/>
    <cellStyle name="Texto explicativo 9" xfId="901"/>
    <cellStyle name="Título 1 10" xfId="902"/>
    <cellStyle name="Título 1 11" xfId="903"/>
    <cellStyle name="Título 1 12" xfId="904"/>
    <cellStyle name="Título 1 13" xfId="905"/>
    <cellStyle name="Título 1 14" xfId="906"/>
    <cellStyle name="Título 1 15" xfId="907"/>
    <cellStyle name="Título 1 16" xfId="908"/>
    <cellStyle name="Título 1 17" xfId="909"/>
    <cellStyle name="Título 1 18" xfId="910"/>
    <cellStyle name="Título 1 19" xfId="911"/>
    <cellStyle name="Título 1 2" xfId="912"/>
    <cellStyle name="Título 1 20" xfId="913"/>
    <cellStyle name="Título 1 21" xfId="914"/>
    <cellStyle name="Título 1 22" xfId="915"/>
    <cellStyle name="Título 1 23" xfId="916"/>
    <cellStyle name="Título 1 3" xfId="917"/>
    <cellStyle name="Título 1 4" xfId="918"/>
    <cellStyle name="Título 1 5" xfId="919"/>
    <cellStyle name="Título 1 6" xfId="920"/>
    <cellStyle name="Título 1 7" xfId="921"/>
    <cellStyle name="Título 1 8" xfId="922"/>
    <cellStyle name="Título 1 9" xfId="923"/>
    <cellStyle name="Título 10" xfId="924"/>
    <cellStyle name="Título 11" xfId="925"/>
    <cellStyle name="Título 12" xfId="926"/>
    <cellStyle name="Título 13" xfId="927"/>
    <cellStyle name="Título 14" xfId="928"/>
    <cellStyle name="Título 15" xfId="929"/>
    <cellStyle name="Título 16" xfId="930"/>
    <cellStyle name="Título 17" xfId="931"/>
    <cellStyle name="Título 18" xfId="932"/>
    <cellStyle name="Título 19" xfId="933"/>
    <cellStyle name="Título 2 10" xfId="934"/>
    <cellStyle name="Título 2 11" xfId="935"/>
    <cellStyle name="Título 2 12" xfId="936"/>
    <cellStyle name="Título 2 13" xfId="937"/>
    <cellStyle name="Título 2 14" xfId="938"/>
    <cellStyle name="Título 2 15" xfId="939"/>
    <cellStyle name="Título 2 16" xfId="940"/>
    <cellStyle name="Título 2 17" xfId="941"/>
    <cellStyle name="Título 2 18" xfId="942"/>
    <cellStyle name="Título 2 19" xfId="943"/>
    <cellStyle name="Título 2 2" xfId="944"/>
    <cellStyle name="Título 2 20" xfId="945"/>
    <cellStyle name="Título 2 21" xfId="946"/>
    <cellStyle name="Título 2 22" xfId="947"/>
    <cellStyle name="Título 2 23" xfId="948"/>
    <cellStyle name="Título 2 3" xfId="949"/>
    <cellStyle name="Título 2 4" xfId="950"/>
    <cellStyle name="Título 2 5" xfId="951"/>
    <cellStyle name="Título 2 6" xfId="952"/>
    <cellStyle name="Título 2 7" xfId="953"/>
    <cellStyle name="Título 2 8" xfId="954"/>
    <cellStyle name="Título 2 9" xfId="955"/>
    <cellStyle name="Título 20" xfId="956"/>
    <cellStyle name="Título 21" xfId="957"/>
    <cellStyle name="Título 22" xfId="958"/>
    <cellStyle name="Título 23" xfId="959"/>
    <cellStyle name="Título 24" xfId="960"/>
    <cellStyle name="Título 25" xfId="961"/>
    <cellStyle name="Título 3 10" xfId="962"/>
    <cellStyle name="Título 3 11" xfId="963"/>
    <cellStyle name="Título 3 12" xfId="964"/>
    <cellStyle name="Título 3 13" xfId="965"/>
    <cellStyle name="Título 3 14" xfId="966"/>
    <cellStyle name="Título 3 15" xfId="967"/>
    <cellStyle name="Título 3 16" xfId="968"/>
    <cellStyle name="Título 3 17" xfId="969"/>
    <cellStyle name="Título 3 18" xfId="970"/>
    <cellStyle name="Título 3 19" xfId="971"/>
    <cellStyle name="Título 3 2" xfId="972"/>
    <cellStyle name="Título 3 20" xfId="973"/>
    <cellStyle name="Título 3 21" xfId="974"/>
    <cellStyle name="Título 3 22" xfId="975"/>
    <cellStyle name="Título 3 23" xfId="976"/>
    <cellStyle name="Título 3 3" xfId="977"/>
    <cellStyle name="Título 3 4" xfId="978"/>
    <cellStyle name="Título 3 5" xfId="979"/>
    <cellStyle name="Título 3 6" xfId="980"/>
    <cellStyle name="Título 3 7" xfId="981"/>
    <cellStyle name="Título 3 8" xfId="982"/>
    <cellStyle name="Título 3 9" xfId="983"/>
    <cellStyle name="Título 4" xfId="984"/>
    <cellStyle name="Título 5" xfId="985"/>
    <cellStyle name="Título 6" xfId="986"/>
    <cellStyle name="Título 7" xfId="987"/>
    <cellStyle name="Título 8" xfId="988"/>
    <cellStyle name="Título 9" xfId="989"/>
    <cellStyle name="Total 10" xfId="990"/>
    <cellStyle name="Total 11" xfId="991"/>
    <cellStyle name="Total 12" xfId="992"/>
    <cellStyle name="Total 13" xfId="993"/>
    <cellStyle name="Total 14" xfId="994"/>
    <cellStyle name="Total 15" xfId="995"/>
    <cellStyle name="Total 16" xfId="996"/>
    <cellStyle name="Total 17" xfId="997"/>
    <cellStyle name="Total 18" xfId="998"/>
    <cellStyle name="Total 19" xfId="999"/>
    <cellStyle name="Total 2" xfId="1000"/>
    <cellStyle name="Total 20" xfId="1001"/>
    <cellStyle name="Total 21" xfId="1002"/>
    <cellStyle name="Total 22" xfId="1003"/>
    <cellStyle name="Total 23" xfId="1004"/>
    <cellStyle name="Total 3" xfId="1005"/>
    <cellStyle name="Total 4" xfId="1006"/>
    <cellStyle name="Total 5" xfId="1007"/>
    <cellStyle name="Total 6" xfId="1008"/>
    <cellStyle name="Total 7" xfId="1009"/>
    <cellStyle name="Total 8" xfId="1010"/>
    <cellStyle name="Total 9" xfId="10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24</xdr:col>
      <xdr:colOff>813547</xdr:colOff>
      <xdr:row>6</xdr:row>
      <xdr:rowOff>169486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3502097" cy="1301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28</xdr:col>
      <xdr:colOff>19050</xdr:colOff>
      <xdr:row>6</xdr:row>
      <xdr:rowOff>169486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18821400" cy="1301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DOC~1\DEPTOS~1\unzipped\stder\DRMUNAR\MUNICIPIO%20DE%20CIPA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una/Configuraci&#243;n%20local/Archivos%20temporales%20de%20Internet/Content.IE5/VHLQZD4O/PRESUPUESTO%202014/ANEXOS%20PROYECTO%20ORDENANZA%202014%20VERSION%20-6%20ARREGLADO%20OSKAR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ódulo Imp."/>
      <sheetName val="Módulo General"/>
      <sheetName val="Diálogo"/>
      <sheetName val="Módulo Diálogo"/>
      <sheetName val="DECIS"/>
      <sheetName val="ANEX. FIN."/>
      <sheetName val="SERDEUDA"/>
      <sheetName val="PROYEC"/>
      <sheetName val="FIRMAS"/>
      <sheetName val="MUNICIPIO DE CIPATA"/>
    </sheetNames>
    <definedNames>
      <definedName name="AGRICULTURA"/>
      <definedName name="FELIX"/>
      <definedName name="INGRES"/>
      <definedName name="MENSAJE"/>
      <definedName name="MENSAJE2"/>
      <definedName name="MENSAJE3"/>
    </definedNames>
    <sheetDataSet>
      <sheetData sheetId="0" refreshError="1"/>
      <sheetData sheetId="1"/>
      <sheetData sheetId="2" refreshError="1"/>
      <sheetData sheetId="3">
        <row r="3">
          <cell r="F3" t="str">
            <v>MUNICIPIO DE CEPITA (SANTANDER)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 ADM CENTRAL SALUD EDUC 2014"/>
      <sheetName val="GTOS ADMON-SALUD EDUC -2014"/>
      <sheetName val="ING EST. PUB.-2014"/>
      <sheetName val="GTOS ESTAB. PUB - 2014"/>
      <sheetName val="RESUMEN INGRESOS 2014 ADM CENTR"/>
      <sheetName val="RESUMEN  GASTOS  2014 ADM CENTR"/>
      <sheetName val="RESUMEN  GASTOS  2014 ESTABLECI"/>
      <sheetName val="RESUMEN INGRESOS 2014 ESTABLECI"/>
      <sheetName val="GTOS ASAMB Y CONTRALOR 2014"/>
      <sheetName val="DECIS"/>
    </sheetNames>
    <sheetDataSet>
      <sheetData sheetId="0"/>
      <sheetData sheetId="1">
        <row r="612">
          <cell r="C612">
            <v>154616000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AC1160"/>
  <sheetViews>
    <sheetView tabSelected="1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7" sqref="C17"/>
    </sheetView>
  </sheetViews>
  <sheetFormatPr baseColWidth="10" defaultColWidth="11.42578125" defaultRowHeight="15" x14ac:dyDescent="0.2"/>
  <cols>
    <col min="1" max="1" width="5.140625" style="420" hidden="1" customWidth="1"/>
    <col min="2" max="2" width="22.28515625" style="20" customWidth="1"/>
    <col min="3" max="3" width="48.28515625" style="1" customWidth="1"/>
    <col min="4" max="4" width="20.140625" style="241" customWidth="1"/>
    <col min="5" max="5" width="20" style="169" bestFit="1" customWidth="1"/>
    <col min="6" max="6" width="22.28515625" style="121" bestFit="1" customWidth="1"/>
    <col min="7" max="7" width="17.28515625" style="121" bestFit="1" customWidth="1"/>
    <col min="8" max="8" width="21.140625" style="121" customWidth="1"/>
    <col min="9" max="9" width="24.140625" style="121" hidden="1" customWidth="1"/>
    <col min="10" max="10" width="25.28515625" style="121" hidden="1" customWidth="1"/>
    <col min="11" max="11" width="22.7109375" style="121" bestFit="1" customWidth="1"/>
    <col min="12" max="16" width="24.85546875" style="121" hidden="1" customWidth="1"/>
    <col min="17" max="17" width="20.42578125" style="272" hidden="1" customWidth="1"/>
    <col min="18" max="18" width="22.42578125" style="121" bestFit="1" customWidth="1"/>
    <col min="19" max="20" width="20.42578125" style="121" bestFit="1" customWidth="1"/>
    <col min="21" max="21" width="21.7109375" style="121" bestFit="1" customWidth="1"/>
    <col min="22" max="24" width="20.42578125" style="121" bestFit="1" customWidth="1"/>
    <col min="25" max="25" width="19.7109375" style="121" bestFit="1" customWidth="1"/>
    <col min="26" max="26" width="24" style="121" hidden="1" customWidth="1"/>
    <col min="27" max="27" width="24.140625" style="121" hidden="1" customWidth="1"/>
    <col min="28" max="28" width="22.5703125" style="399" customWidth="1"/>
    <col min="29" max="29" width="10.28515625" style="162" bestFit="1" customWidth="1"/>
    <col min="30" max="16384" width="11.42578125" style="1"/>
  </cols>
  <sheetData>
    <row r="7" spans="1:29" ht="15.75" thickBot="1" x14ac:dyDescent="0.25"/>
    <row r="8" spans="1:29" ht="45.75" thickBot="1" x14ac:dyDescent="0.25">
      <c r="A8" s="15" t="s">
        <v>35</v>
      </c>
      <c r="B8" s="436" t="s">
        <v>1901</v>
      </c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8"/>
    </row>
    <row r="9" spans="1:29" s="16" customFormat="1" ht="39.75" customHeight="1" x14ac:dyDescent="0.2">
      <c r="A9" s="420">
        <v>1</v>
      </c>
      <c r="B9" s="450" t="s">
        <v>40</v>
      </c>
      <c r="C9" s="450" t="s">
        <v>244</v>
      </c>
      <c r="D9" s="452" t="s">
        <v>243</v>
      </c>
      <c r="E9" s="454" t="s">
        <v>240</v>
      </c>
      <c r="F9" s="456" t="s">
        <v>241</v>
      </c>
      <c r="G9" s="456" t="s">
        <v>27</v>
      </c>
      <c r="H9" s="456" t="s">
        <v>28</v>
      </c>
      <c r="I9" s="456" t="s">
        <v>38</v>
      </c>
      <c r="J9" s="456" t="s">
        <v>1902</v>
      </c>
      <c r="K9" s="456" t="s">
        <v>242</v>
      </c>
      <c r="L9" s="456" t="s">
        <v>4</v>
      </c>
      <c r="M9" s="456" t="s">
        <v>5</v>
      </c>
      <c r="N9" s="456" t="s">
        <v>6</v>
      </c>
      <c r="O9" s="456" t="s">
        <v>7</v>
      </c>
      <c r="P9" s="456" t="s">
        <v>8</v>
      </c>
      <c r="Q9" s="456" t="s">
        <v>39</v>
      </c>
      <c r="R9" s="456" t="s">
        <v>245</v>
      </c>
      <c r="S9" s="456" t="s">
        <v>11</v>
      </c>
      <c r="T9" s="456" t="s">
        <v>12</v>
      </c>
      <c r="U9" s="456" t="s">
        <v>13</v>
      </c>
      <c r="V9" s="456" t="s">
        <v>14</v>
      </c>
      <c r="W9" s="456" t="s">
        <v>15</v>
      </c>
      <c r="X9" s="456" t="s">
        <v>16</v>
      </c>
      <c r="Y9" s="456" t="s">
        <v>50</v>
      </c>
      <c r="Z9" s="456" t="s">
        <v>51</v>
      </c>
      <c r="AA9" s="456" t="s">
        <v>248</v>
      </c>
      <c r="AB9" s="471" t="s">
        <v>246</v>
      </c>
      <c r="AC9" s="458" t="s">
        <v>247</v>
      </c>
    </row>
    <row r="10" spans="1:29" s="195" customFormat="1" thickBot="1" x14ac:dyDescent="0.25">
      <c r="A10" s="420">
        <v>1</v>
      </c>
      <c r="B10" s="451"/>
      <c r="C10" s="451"/>
      <c r="D10" s="453"/>
      <c r="E10" s="455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70"/>
      <c r="Z10" s="457"/>
      <c r="AA10" s="457"/>
      <c r="AB10" s="472"/>
      <c r="AC10" s="459"/>
    </row>
    <row r="11" spans="1:29" s="160" customFormat="1" ht="18.75" x14ac:dyDescent="0.2">
      <c r="A11" s="193">
        <v>1</v>
      </c>
      <c r="B11" s="306" t="s">
        <v>381</v>
      </c>
      <c r="C11" s="307" t="s">
        <v>114</v>
      </c>
      <c r="D11" s="273">
        <f>+D12+D247</f>
        <v>707007905818</v>
      </c>
      <c r="E11" s="308">
        <f>SUM('ADICIONES  2021'!C11:N11)</f>
        <v>407765377288.93994</v>
      </c>
      <c r="F11" s="273">
        <f>+F12+F247</f>
        <v>4977347371</v>
      </c>
      <c r="G11" s="273">
        <f t="shared" ref="G11:J11" si="0">+G12+G247</f>
        <v>350000000</v>
      </c>
      <c r="H11" s="273">
        <f t="shared" si="0"/>
        <v>4689016590.2200003</v>
      </c>
      <c r="I11" s="273">
        <f t="shared" si="0"/>
        <v>0</v>
      </c>
      <c r="J11" s="273">
        <f t="shared" si="0"/>
        <v>0</v>
      </c>
      <c r="K11" s="309">
        <f t="shared" ref="K11:K74" si="1">+D11+E11-F11+G11-H11</f>
        <v>1105456919145.72</v>
      </c>
      <c r="L11" s="273">
        <f t="shared" ref="L11:Q11" si="2">+L12+L247</f>
        <v>62802238400.790802</v>
      </c>
      <c r="M11" s="273">
        <f t="shared" si="2"/>
        <v>58423450867.341599</v>
      </c>
      <c r="N11" s="273">
        <f t="shared" si="2"/>
        <v>70401016286.063797</v>
      </c>
      <c r="O11" s="273">
        <f t="shared" si="2"/>
        <v>51327542578.488396</v>
      </c>
      <c r="P11" s="273">
        <f t="shared" si="2"/>
        <v>191151139764.5152</v>
      </c>
      <c r="Q11" s="273">
        <f t="shared" si="2"/>
        <v>67443652601.886795</v>
      </c>
      <c r="R11" s="309">
        <f>SUM(L11:Q11)</f>
        <v>501549040499.08661</v>
      </c>
      <c r="S11" s="273">
        <f t="shared" ref="S11:Z11" si="3">+S12+S247</f>
        <v>47386734909.559204</v>
      </c>
      <c r="T11" s="273">
        <f t="shared" si="3"/>
        <v>56464078521.172798</v>
      </c>
      <c r="U11" s="310">
        <f t="shared" si="3"/>
        <v>86350242629.647995</v>
      </c>
      <c r="V11" s="273">
        <f t="shared" si="3"/>
        <v>44162601290.383598</v>
      </c>
      <c r="W11" s="273">
        <f t="shared" si="3"/>
        <v>92895121143.003204</v>
      </c>
      <c r="X11" s="273">
        <f t="shared" si="3"/>
        <v>133490875742.10559</v>
      </c>
      <c r="Y11" s="419">
        <f t="shared" si="3"/>
        <v>-2240039248.2665138</v>
      </c>
      <c r="Z11" s="273">
        <f t="shared" si="3"/>
        <v>0</v>
      </c>
      <c r="AA11" s="309">
        <f>SUM(S11:Z11)</f>
        <v>458509614987.6059</v>
      </c>
      <c r="AB11" s="400">
        <f>+R11+AA11</f>
        <v>960058655486.6925</v>
      </c>
      <c r="AC11" s="311">
        <f>+AB11/K11</f>
        <v>0.86847224786345456</v>
      </c>
    </row>
    <row r="12" spans="1:29" s="160" customFormat="1" ht="18.75" x14ac:dyDescent="0.2">
      <c r="A12" s="193">
        <v>1</v>
      </c>
      <c r="B12" s="312" t="s">
        <v>382</v>
      </c>
      <c r="C12" s="313" t="s">
        <v>84</v>
      </c>
      <c r="D12" s="314">
        <f>+D13+D142</f>
        <v>582619008818</v>
      </c>
      <c r="E12" s="315">
        <f>SUM('ADICIONES  2021'!C12:N12)</f>
        <v>45790352830.029999</v>
      </c>
      <c r="F12" s="274">
        <f t="shared" ref="F12:J12" si="4">+F13+F142</f>
        <v>3027284471</v>
      </c>
      <c r="G12" s="274">
        <f t="shared" si="4"/>
        <v>350000000</v>
      </c>
      <c r="H12" s="274">
        <f t="shared" si="4"/>
        <v>1559810323.22</v>
      </c>
      <c r="I12" s="274">
        <f t="shared" si="4"/>
        <v>0</v>
      </c>
      <c r="J12" s="274">
        <f t="shared" si="4"/>
        <v>0</v>
      </c>
      <c r="K12" s="316">
        <f t="shared" si="1"/>
        <v>624172266853.81006</v>
      </c>
      <c r="L12" s="274">
        <f t="shared" ref="L12:Q12" si="5">+L13+L142</f>
        <v>62367276215.010803</v>
      </c>
      <c r="M12" s="274">
        <f t="shared" si="5"/>
        <v>57824089436.351601</v>
      </c>
      <c r="N12" s="274">
        <f t="shared" si="5"/>
        <v>62329162730.733803</v>
      </c>
      <c r="O12" s="274">
        <f t="shared" si="5"/>
        <v>50508784969.118393</v>
      </c>
      <c r="P12" s="274">
        <f t="shared" si="5"/>
        <v>45843322928.315201</v>
      </c>
      <c r="Q12" s="274">
        <f t="shared" si="5"/>
        <v>52420895799.0168</v>
      </c>
      <c r="R12" s="316">
        <f>SUM(L12:Q12)</f>
        <v>331293532078.54657</v>
      </c>
      <c r="S12" s="274">
        <f t="shared" ref="S12:Z12" si="6">+S13+S142</f>
        <v>46848926824.759201</v>
      </c>
      <c r="T12" s="274">
        <f t="shared" si="6"/>
        <v>44064141029.5028</v>
      </c>
      <c r="U12" s="274">
        <f t="shared" si="6"/>
        <v>58972342195.598</v>
      </c>
      <c r="V12" s="274">
        <f t="shared" si="6"/>
        <v>43793032272.503601</v>
      </c>
      <c r="W12" s="274">
        <f t="shared" si="6"/>
        <v>65428880251.893204</v>
      </c>
      <c r="X12" s="274">
        <f t="shared" si="6"/>
        <v>67431041288.565598</v>
      </c>
      <c r="Y12" s="274">
        <f t="shared" si="6"/>
        <v>-2240039248.2665138</v>
      </c>
      <c r="Z12" s="274">
        <f t="shared" si="6"/>
        <v>0</v>
      </c>
      <c r="AA12" s="316">
        <f>SUM(S12:Z12)</f>
        <v>324298324614.55585</v>
      </c>
      <c r="AB12" s="401">
        <f>+R12+AA12</f>
        <v>655591856693.10242</v>
      </c>
      <c r="AC12" s="317">
        <f>+AB12/K12</f>
        <v>1.050338010045953</v>
      </c>
    </row>
    <row r="13" spans="1:29" s="160" customFormat="1" ht="18.75" x14ac:dyDescent="0.2">
      <c r="A13" s="193">
        <v>1</v>
      </c>
      <c r="B13" s="312" t="s">
        <v>383</v>
      </c>
      <c r="C13" s="313" t="s">
        <v>124</v>
      </c>
      <c r="D13" s="314">
        <f>+D14+D30</f>
        <v>455859200000</v>
      </c>
      <c r="E13" s="315">
        <f>SUM('ADICIONES  2021'!C13:N13)</f>
        <v>20426400000</v>
      </c>
      <c r="F13" s="274">
        <f t="shared" ref="F13:J13" si="7">+F14+F30</f>
        <v>0</v>
      </c>
      <c r="G13" s="274">
        <f t="shared" si="7"/>
        <v>350000000</v>
      </c>
      <c r="H13" s="274">
        <f t="shared" si="7"/>
        <v>1559810323.22</v>
      </c>
      <c r="I13" s="274">
        <f t="shared" si="7"/>
        <v>0</v>
      </c>
      <c r="J13" s="274">
        <f t="shared" si="7"/>
        <v>0</v>
      </c>
      <c r="K13" s="316">
        <f t="shared" si="1"/>
        <v>475075789676.78003</v>
      </c>
      <c r="L13" s="274">
        <f t="shared" ref="L13:Q13" si="8">+L14+L30</f>
        <v>50756265093.7808</v>
      </c>
      <c r="M13" s="274">
        <f t="shared" si="8"/>
        <v>46379196831.062401</v>
      </c>
      <c r="N13" s="274">
        <f t="shared" si="8"/>
        <v>49545698155.124802</v>
      </c>
      <c r="O13" s="274">
        <f t="shared" si="8"/>
        <v>40399733288.958397</v>
      </c>
      <c r="P13" s="274">
        <f t="shared" si="8"/>
        <v>34054135695.235199</v>
      </c>
      <c r="Q13" s="274">
        <f t="shared" si="8"/>
        <v>38808368131.676804</v>
      </c>
      <c r="R13" s="316">
        <f t="shared" ref="R13:R76" si="9">SUM(L13:Q13)</f>
        <v>259943397195.83844</v>
      </c>
      <c r="S13" s="274">
        <f t="shared" ref="S13:Z13" si="10">+S14+S30</f>
        <v>33399461059.579201</v>
      </c>
      <c r="T13" s="274">
        <f t="shared" si="10"/>
        <v>34023323296.892799</v>
      </c>
      <c r="U13" s="274">
        <f t="shared" si="10"/>
        <v>43872223220.568001</v>
      </c>
      <c r="V13" s="274">
        <f t="shared" si="10"/>
        <v>33882594517.433598</v>
      </c>
      <c r="W13" s="274">
        <f t="shared" si="10"/>
        <v>46890956824.843201</v>
      </c>
      <c r="X13" s="274">
        <f t="shared" si="10"/>
        <v>55842854478.345596</v>
      </c>
      <c r="Y13" s="274">
        <f t="shared" si="10"/>
        <v>-2322568107.4765139</v>
      </c>
      <c r="Z13" s="274">
        <f t="shared" si="10"/>
        <v>0</v>
      </c>
      <c r="AA13" s="316">
        <f t="shared" ref="AA13:AA16" si="11">SUM(S13:Z13)</f>
        <v>245588845290.18591</v>
      </c>
      <c r="AB13" s="401">
        <f t="shared" ref="AB13:AB76" si="12">+R13+AA13</f>
        <v>505532242486.02435</v>
      </c>
      <c r="AC13" s="317">
        <f t="shared" ref="AC13:AC76" si="13">+AB13/K13</f>
        <v>1.064108619026799</v>
      </c>
    </row>
    <row r="14" spans="1:29" s="61" customFormat="1" ht="15.75" x14ac:dyDescent="0.2">
      <c r="A14" s="421">
        <v>1</v>
      </c>
      <c r="B14" s="318" t="s">
        <v>384</v>
      </c>
      <c r="C14" s="319" t="s">
        <v>385</v>
      </c>
      <c r="D14" s="283">
        <f>+D15</f>
        <v>73750000000</v>
      </c>
      <c r="E14" s="320">
        <f>SUM('ADICIONES  2021'!C14:N14)</f>
        <v>8000000000</v>
      </c>
      <c r="F14" s="275">
        <f t="shared" ref="F14:Z14" si="14">+F15</f>
        <v>0</v>
      </c>
      <c r="G14" s="275">
        <f t="shared" si="14"/>
        <v>0</v>
      </c>
      <c r="H14" s="275">
        <f t="shared" si="14"/>
        <v>0</v>
      </c>
      <c r="I14" s="275">
        <f t="shared" si="14"/>
        <v>0</v>
      </c>
      <c r="J14" s="275">
        <f t="shared" si="14"/>
        <v>0</v>
      </c>
      <c r="K14" s="276">
        <f t="shared" si="1"/>
        <v>81750000000</v>
      </c>
      <c r="L14" s="275">
        <f t="shared" si="14"/>
        <v>7045710279</v>
      </c>
      <c r="M14" s="275">
        <f t="shared" si="14"/>
        <v>10591392132</v>
      </c>
      <c r="N14" s="275">
        <f t="shared" si="14"/>
        <v>21843042324</v>
      </c>
      <c r="O14" s="275">
        <f t="shared" si="14"/>
        <v>9616536676</v>
      </c>
      <c r="P14" s="275">
        <f t="shared" si="14"/>
        <v>3967908499</v>
      </c>
      <c r="Q14" s="275">
        <f t="shared" si="14"/>
        <v>9155983000</v>
      </c>
      <c r="R14" s="276">
        <f t="shared" si="9"/>
        <v>62220572910</v>
      </c>
      <c r="S14" s="275">
        <f t="shared" si="14"/>
        <v>3806088859</v>
      </c>
      <c r="T14" s="275">
        <f t="shared" si="14"/>
        <v>4952882090</v>
      </c>
      <c r="U14" s="275">
        <f t="shared" si="14"/>
        <v>7209642415</v>
      </c>
      <c r="V14" s="275">
        <f t="shared" si="14"/>
        <v>1903570560</v>
      </c>
      <c r="W14" s="275">
        <f t="shared" si="14"/>
        <v>2047702214</v>
      </c>
      <c r="X14" s="275">
        <f t="shared" si="14"/>
        <v>4824825127</v>
      </c>
      <c r="Y14" s="275">
        <f t="shared" si="14"/>
        <v>0</v>
      </c>
      <c r="Z14" s="275">
        <f t="shared" si="14"/>
        <v>0</v>
      </c>
      <c r="AA14" s="276">
        <f t="shared" si="11"/>
        <v>24744711265</v>
      </c>
      <c r="AB14" s="402">
        <f t="shared" si="12"/>
        <v>86965284175</v>
      </c>
      <c r="AC14" s="321">
        <f t="shared" si="13"/>
        <v>1.0637955250764526</v>
      </c>
    </row>
    <row r="15" spans="1:29" s="61" customFormat="1" ht="15.75" x14ac:dyDescent="0.2">
      <c r="A15" s="421">
        <v>1</v>
      </c>
      <c r="B15" s="318" t="s">
        <v>386</v>
      </c>
      <c r="C15" s="319" t="s">
        <v>168</v>
      </c>
      <c r="D15" s="283">
        <f>+D16+D23</f>
        <v>73750000000</v>
      </c>
      <c r="E15" s="320">
        <f>SUM('ADICIONES  2021'!C15:N15)</f>
        <v>8000000000</v>
      </c>
      <c r="F15" s="275">
        <f t="shared" ref="F15:J15" si="15">+F16+F23</f>
        <v>0</v>
      </c>
      <c r="G15" s="275">
        <f t="shared" si="15"/>
        <v>0</v>
      </c>
      <c r="H15" s="275">
        <f t="shared" si="15"/>
        <v>0</v>
      </c>
      <c r="I15" s="275">
        <f t="shared" si="15"/>
        <v>0</v>
      </c>
      <c r="J15" s="275">
        <f t="shared" si="15"/>
        <v>0</v>
      </c>
      <c r="K15" s="276">
        <f t="shared" si="1"/>
        <v>81750000000</v>
      </c>
      <c r="L15" s="275">
        <f t="shared" ref="L15:Q15" si="16">+L16+L23</f>
        <v>7045710279</v>
      </c>
      <c r="M15" s="275">
        <f t="shared" si="16"/>
        <v>10591392132</v>
      </c>
      <c r="N15" s="275">
        <f t="shared" si="16"/>
        <v>21843042324</v>
      </c>
      <c r="O15" s="275">
        <f t="shared" si="16"/>
        <v>9616536676</v>
      </c>
      <c r="P15" s="275">
        <f t="shared" si="16"/>
        <v>3967908499</v>
      </c>
      <c r="Q15" s="275">
        <f t="shared" si="16"/>
        <v>9155983000</v>
      </c>
      <c r="R15" s="276">
        <f t="shared" si="9"/>
        <v>62220572910</v>
      </c>
      <c r="S15" s="275">
        <f t="shared" ref="S15:Z15" si="17">+S16+S23</f>
        <v>3806088859</v>
      </c>
      <c r="T15" s="275">
        <f t="shared" si="17"/>
        <v>4952882090</v>
      </c>
      <c r="U15" s="275">
        <f t="shared" si="17"/>
        <v>7209642415</v>
      </c>
      <c r="V15" s="275">
        <f t="shared" si="17"/>
        <v>1903570560</v>
      </c>
      <c r="W15" s="275">
        <f t="shared" si="17"/>
        <v>2047702214</v>
      </c>
      <c r="X15" s="275">
        <f t="shared" si="17"/>
        <v>4824825127</v>
      </c>
      <c r="Y15" s="275">
        <f t="shared" si="17"/>
        <v>0</v>
      </c>
      <c r="Z15" s="275">
        <f t="shared" si="17"/>
        <v>0</v>
      </c>
      <c r="AA15" s="276">
        <f t="shared" si="11"/>
        <v>24744711265</v>
      </c>
      <c r="AB15" s="402">
        <f t="shared" si="12"/>
        <v>86965284175</v>
      </c>
      <c r="AC15" s="321">
        <f t="shared" si="13"/>
        <v>1.0637955250764526</v>
      </c>
    </row>
    <row r="16" spans="1:29" s="61" customFormat="1" ht="25.5" x14ac:dyDescent="0.2">
      <c r="A16" s="421">
        <v>1</v>
      </c>
      <c r="B16" s="318" t="s">
        <v>387</v>
      </c>
      <c r="C16" s="319" t="s">
        <v>169</v>
      </c>
      <c r="D16" s="283">
        <v>63750000000</v>
      </c>
      <c r="E16" s="322">
        <f>SUM('ADICIONES  2021'!C16:N16)</f>
        <v>500000000</v>
      </c>
      <c r="F16" s="276"/>
      <c r="G16" s="276"/>
      <c r="H16" s="276"/>
      <c r="I16" s="276"/>
      <c r="J16" s="276"/>
      <c r="K16" s="276">
        <f t="shared" si="1"/>
        <v>64250000000</v>
      </c>
      <c r="L16" s="276">
        <v>6104004590</v>
      </c>
      <c r="M16" s="276">
        <v>9271897650</v>
      </c>
      <c r="N16" s="276">
        <v>20274503880</v>
      </c>
      <c r="O16" s="276">
        <v>8569033250</v>
      </c>
      <c r="P16" s="276">
        <v>3349382400</v>
      </c>
      <c r="Q16" s="276">
        <v>8174259513</v>
      </c>
      <c r="R16" s="276">
        <f t="shared" si="9"/>
        <v>55743081283</v>
      </c>
      <c r="S16" s="276">
        <v>2453325169</v>
      </c>
      <c r="T16" s="276">
        <v>2112245072</v>
      </c>
      <c r="U16" s="276">
        <v>2403933470</v>
      </c>
      <c r="V16" s="276">
        <v>1023556300</v>
      </c>
      <c r="W16" s="276">
        <v>1136921344</v>
      </c>
      <c r="X16" s="276">
        <v>2486959278</v>
      </c>
      <c r="Y16" s="276"/>
      <c r="Z16" s="276"/>
      <c r="AA16" s="276">
        <f t="shared" si="11"/>
        <v>11616940633</v>
      </c>
      <c r="AB16" s="402">
        <f t="shared" si="12"/>
        <v>67360021916</v>
      </c>
      <c r="AC16" s="321">
        <f t="shared" si="13"/>
        <v>1.0484050103657587</v>
      </c>
    </row>
    <row r="17" spans="1:29" ht="25.5" x14ac:dyDescent="0.2">
      <c r="B17" s="323" t="s">
        <v>388</v>
      </c>
      <c r="C17" s="206" t="s">
        <v>170</v>
      </c>
      <c r="D17" s="324">
        <f>+D16*69.7845456%</f>
        <v>44487647820</v>
      </c>
      <c r="E17" s="325">
        <f>SUM('ADICIONES  2021'!C17:N17)</f>
        <v>348922728</v>
      </c>
      <c r="F17" s="277">
        <f t="shared" ref="F17:J17" si="18">+F16*69.7845456%</f>
        <v>0</v>
      </c>
      <c r="G17" s="277">
        <f t="shared" si="18"/>
        <v>0</v>
      </c>
      <c r="H17" s="277">
        <f t="shared" si="18"/>
        <v>0</v>
      </c>
      <c r="I17" s="277">
        <f t="shared" si="18"/>
        <v>0</v>
      </c>
      <c r="J17" s="277">
        <f t="shared" si="18"/>
        <v>0</v>
      </c>
      <c r="K17" s="281">
        <f t="shared" si="1"/>
        <v>44836570548</v>
      </c>
      <c r="L17" s="277">
        <f t="shared" ref="L17:Q17" si="19">+L16*69.7845456%</f>
        <v>4259651866.5346432</v>
      </c>
      <c r="M17" s="277">
        <f t="shared" si="19"/>
        <v>6470351643.5495787</v>
      </c>
      <c r="N17" s="277">
        <f t="shared" si="19"/>
        <v>14148470405.31237</v>
      </c>
      <c r="O17" s="277">
        <f t="shared" si="19"/>
        <v>5979860915.8254118</v>
      </c>
      <c r="P17" s="277">
        <f t="shared" si="19"/>
        <v>2337351288.2463746</v>
      </c>
      <c r="Q17" s="277">
        <f t="shared" si="19"/>
        <v>5704369857.3118229</v>
      </c>
      <c r="R17" s="281">
        <f t="shared" si="9"/>
        <v>38900055976.780205</v>
      </c>
      <c r="S17" s="277">
        <f t="shared" ref="S17:Z17" si="20">+S16*69.7845456%</f>
        <v>1712041821.2770822</v>
      </c>
      <c r="T17" s="277">
        <f t="shared" si="20"/>
        <v>1474020625.453593</v>
      </c>
      <c r="U17" s="277">
        <f t="shared" si="20"/>
        <v>1677574048.5658123</v>
      </c>
      <c r="V17" s="277">
        <f t="shared" si="20"/>
        <v>714284112.91517282</v>
      </c>
      <c r="W17" s="277">
        <f t="shared" si="20"/>
        <v>793395393.73981285</v>
      </c>
      <c r="X17" s="277">
        <f t="shared" si="20"/>
        <v>1735513231.4093409</v>
      </c>
      <c r="Y17" s="277">
        <f t="shared" si="20"/>
        <v>0</v>
      </c>
      <c r="Z17" s="277">
        <f t="shared" si="20"/>
        <v>0</v>
      </c>
      <c r="AA17" s="281">
        <f>SUM(S17:Z17)</f>
        <v>8106829233.3608141</v>
      </c>
      <c r="AB17" s="403">
        <f t="shared" si="12"/>
        <v>47006885210.141022</v>
      </c>
      <c r="AC17" s="326">
        <f t="shared" si="13"/>
        <v>1.0484050103657589</v>
      </c>
    </row>
    <row r="18" spans="1:29" ht="25.5" x14ac:dyDescent="0.2">
      <c r="B18" s="323" t="s">
        <v>389</v>
      </c>
      <c r="C18" s="206" t="s">
        <v>171</v>
      </c>
      <c r="D18" s="324">
        <f>+D16*0.08%</f>
        <v>51000000</v>
      </c>
      <c r="E18" s="325">
        <f>SUM('ADICIONES  2021'!C18:N18)</f>
        <v>400000</v>
      </c>
      <c r="F18" s="277">
        <f t="shared" ref="F18:J18" si="21">+F16*0.08%</f>
        <v>0</v>
      </c>
      <c r="G18" s="277">
        <f t="shared" si="21"/>
        <v>0</v>
      </c>
      <c r="H18" s="277">
        <f t="shared" si="21"/>
        <v>0</v>
      </c>
      <c r="I18" s="277">
        <f t="shared" si="21"/>
        <v>0</v>
      </c>
      <c r="J18" s="277">
        <f t="shared" si="21"/>
        <v>0</v>
      </c>
      <c r="K18" s="281">
        <f t="shared" si="1"/>
        <v>51400000</v>
      </c>
      <c r="L18" s="277">
        <f t="shared" ref="L18:Q18" si="22">+L16*0.08%</f>
        <v>4883203.6720000003</v>
      </c>
      <c r="M18" s="277">
        <f t="shared" si="22"/>
        <v>7417518.1200000001</v>
      </c>
      <c r="N18" s="277">
        <f t="shared" si="22"/>
        <v>16219603.104</v>
      </c>
      <c r="O18" s="277">
        <f t="shared" si="22"/>
        <v>6855226.6000000006</v>
      </c>
      <c r="P18" s="277">
        <f t="shared" si="22"/>
        <v>2679505.9199999999</v>
      </c>
      <c r="Q18" s="277">
        <f t="shared" si="22"/>
        <v>6539407.6104000006</v>
      </c>
      <c r="R18" s="281">
        <f t="shared" si="9"/>
        <v>44594465.0264</v>
      </c>
      <c r="S18" s="277">
        <f t="shared" ref="S18:Z18" si="23">+S16*0.08%</f>
        <v>1962660.1352000001</v>
      </c>
      <c r="T18" s="277">
        <f t="shared" si="23"/>
        <v>1689796.0576000002</v>
      </c>
      <c r="U18" s="277">
        <f t="shared" si="23"/>
        <v>1923146.7760000001</v>
      </c>
      <c r="V18" s="277">
        <f t="shared" si="23"/>
        <v>818845.04</v>
      </c>
      <c r="W18" s="277">
        <f t="shared" si="23"/>
        <v>909537.07520000008</v>
      </c>
      <c r="X18" s="277">
        <f t="shared" si="23"/>
        <v>1989567.4224</v>
      </c>
      <c r="Y18" s="277">
        <f t="shared" si="23"/>
        <v>0</v>
      </c>
      <c r="Z18" s="277">
        <f t="shared" si="23"/>
        <v>0</v>
      </c>
      <c r="AA18" s="281">
        <f t="shared" ref="AA18:AA81" si="24">SUM(S18:Z18)</f>
        <v>9293552.5064000003</v>
      </c>
      <c r="AB18" s="403">
        <f t="shared" si="12"/>
        <v>53888017.532800004</v>
      </c>
      <c r="AC18" s="326">
        <f t="shared" si="13"/>
        <v>1.0484050103657587</v>
      </c>
    </row>
    <row r="19" spans="1:29" ht="14.25" x14ac:dyDescent="0.2">
      <c r="B19" s="323" t="s">
        <v>390</v>
      </c>
      <c r="C19" s="206" t="s">
        <v>172</v>
      </c>
      <c r="D19" s="324">
        <f>+D16*7.992%</f>
        <v>5094900000</v>
      </c>
      <c r="E19" s="325">
        <f>SUM('ADICIONES  2021'!C19:N19)</f>
        <v>39960000</v>
      </c>
      <c r="F19" s="277">
        <f t="shared" ref="F19:J19" si="25">+F16*7.992%</f>
        <v>0</v>
      </c>
      <c r="G19" s="277">
        <f t="shared" si="25"/>
        <v>0</v>
      </c>
      <c r="H19" s="277">
        <f t="shared" si="25"/>
        <v>0</v>
      </c>
      <c r="I19" s="277">
        <f t="shared" si="25"/>
        <v>0</v>
      </c>
      <c r="J19" s="277">
        <f t="shared" si="25"/>
        <v>0</v>
      </c>
      <c r="K19" s="281">
        <f t="shared" si="1"/>
        <v>5134860000</v>
      </c>
      <c r="L19" s="277">
        <f t="shared" ref="L19:Q19" si="26">+L16*7.992%</f>
        <v>487832046.83280003</v>
      </c>
      <c r="M19" s="277">
        <f t="shared" si="26"/>
        <v>741010060.18800008</v>
      </c>
      <c r="N19" s="277">
        <f t="shared" si="26"/>
        <v>1620338350.0896001</v>
      </c>
      <c r="O19" s="277">
        <f t="shared" si="26"/>
        <v>684837137.34000003</v>
      </c>
      <c r="P19" s="277">
        <f t="shared" si="26"/>
        <v>267682641.40800002</v>
      </c>
      <c r="Q19" s="277">
        <f t="shared" si="26"/>
        <v>653286820.27895999</v>
      </c>
      <c r="R19" s="281">
        <f t="shared" si="9"/>
        <v>4454987056.1373606</v>
      </c>
      <c r="S19" s="277">
        <f t="shared" ref="S19:Z19" si="27">+S16*7.992%</f>
        <v>196069747.50648001</v>
      </c>
      <c r="T19" s="277">
        <f t="shared" si="27"/>
        <v>168810626.15424001</v>
      </c>
      <c r="U19" s="277">
        <f t="shared" si="27"/>
        <v>192122362.9224</v>
      </c>
      <c r="V19" s="277">
        <f t="shared" si="27"/>
        <v>81802619.496000007</v>
      </c>
      <c r="W19" s="277">
        <f t="shared" si="27"/>
        <v>90862753.812480003</v>
      </c>
      <c r="X19" s="277">
        <f t="shared" si="27"/>
        <v>198757785.49776</v>
      </c>
      <c r="Y19" s="277">
        <f t="shared" si="27"/>
        <v>0</v>
      </c>
      <c r="Z19" s="277">
        <f t="shared" si="27"/>
        <v>0</v>
      </c>
      <c r="AA19" s="281">
        <f t="shared" si="24"/>
        <v>928425895.38935995</v>
      </c>
      <c r="AB19" s="403">
        <f t="shared" si="12"/>
        <v>5383412951.52672</v>
      </c>
      <c r="AC19" s="326">
        <f t="shared" si="13"/>
        <v>1.0484050103657587</v>
      </c>
    </row>
    <row r="20" spans="1:29" ht="25.5" x14ac:dyDescent="0.2">
      <c r="B20" s="323" t="s">
        <v>391</v>
      </c>
      <c r="C20" s="206" t="s">
        <v>173</v>
      </c>
      <c r="D20" s="324">
        <f>+D16*1.43856%</f>
        <v>917082000</v>
      </c>
      <c r="E20" s="325">
        <f>SUM('ADICIONES  2021'!C20:N20)</f>
        <v>7192800</v>
      </c>
      <c r="F20" s="277">
        <f t="shared" ref="F20:J20" si="28">+F16*1.43856%</f>
        <v>0</v>
      </c>
      <c r="G20" s="277">
        <f t="shared" si="28"/>
        <v>0</v>
      </c>
      <c r="H20" s="277">
        <f t="shared" si="28"/>
        <v>0</v>
      </c>
      <c r="I20" s="277">
        <f t="shared" si="28"/>
        <v>0</v>
      </c>
      <c r="J20" s="277">
        <f t="shared" si="28"/>
        <v>0</v>
      </c>
      <c r="K20" s="281">
        <f t="shared" si="1"/>
        <v>924274800</v>
      </c>
      <c r="L20" s="277">
        <f t="shared" ref="L20:Q20" si="29">+L16*1.43856%</f>
        <v>87809768.429903999</v>
      </c>
      <c r="M20" s="277">
        <f t="shared" si="29"/>
        <v>133381810.83384</v>
      </c>
      <c r="N20" s="277">
        <f t="shared" si="29"/>
        <v>291660903.016128</v>
      </c>
      <c r="O20" s="277">
        <f t="shared" si="29"/>
        <v>123270684.7212</v>
      </c>
      <c r="P20" s="277">
        <f t="shared" si="29"/>
        <v>48182875.453440003</v>
      </c>
      <c r="Q20" s="277">
        <f t="shared" si="29"/>
        <v>117591627.65021279</v>
      </c>
      <c r="R20" s="281">
        <f t="shared" si="9"/>
        <v>801897670.10472476</v>
      </c>
      <c r="S20" s="277">
        <f t="shared" ref="S20:Z20" si="30">+S16*1.43856%</f>
        <v>35292554.5511664</v>
      </c>
      <c r="T20" s="277">
        <f t="shared" si="30"/>
        <v>30385912.707763199</v>
      </c>
      <c r="U20" s="277">
        <f t="shared" si="30"/>
        <v>34582025.326031998</v>
      </c>
      <c r="V20" s="277">
        <f t="shared" si="30"/>
        <v>14724471.50928</v>
      </c>
      <c r="W20" s="277">
        <f t="shared" si="30"/>
        <v>16355295.686246401</v>
      </c>
      <c r="X20" s="277">
        <f t="shared" si="30"/>
        <v>35776401.389596798</v>
      </c>
      <c r="Y20" s="277">
        <f t="shared" si="30"/>
        <v>0</v>
      </c>
      <c r="Z20" s="277">
        <f t="shared" si="30"/>
        <v>0</v>
      </c>
      <c r="AA20" s="281">
        <f t="shared" si="24"/>
        <v>167116661.17008477</v>
      </c>
      <c r="AB20" s="403">
        <f t="shared" si="12"/>
        <v>969014331.2748096</v>
      </c>
      <c r="AC20" s="326">
        <f t="shared" si="13"/>
        <v>1.0484050103657587</v>
      </c>
    </row>
    <row r="21" spans="1:29" ht="25.5" x14ac:dyDescent="0.2">
      <c r="B21" s="323" t="s">
        <v>392</v>
      </c>
      <c r="C21" s="327" t="s">
        <v>174</v>
      </c>
      <c r="D21" s="324">
        <f>+D16*0.7048944%</f>
        <v>449370180.00000006</v>
      </c>
      <c r="E21" s="325">
        <f>SUM('ADICIONES  2021'!C21:N21)</f>
        <v>3524472.0000000005</v>
      </c>
      <c r="F21" s="277">
        <f t="shared" ref="F21:J21" si="31">+F16*0.7048944%</f>
        <v>0</v>
      </c>
      <c r="G21" s="277">
        <f t="shared" si="31"/>
        <v>0</v>
      </c>
      <c r="H21" s="277">
        <f t="shared" si="31"/>
        <v>0</v>
      </c>
      <c r="I21" s="277">
        <f t="shared" si="31"/>
        <v>0</v>
      </c>
      <c r="J21" s="277">
        <f t="shared" si="31"/>
        <v>0</v>
      </c>
      <c r="K21" s="281">
        <f t="shared" si="1"/>
        <v>452894652.00000006</v>
      </c>
      <c r="L21" s="277">
        <f t="shared" ref="L21:Q21" si="32">+L16*0.7048944%</f>
        <v>43026786.530652963</v>
      </c>
      <c r="M21" s="277">
        <f t="shared" si="32"/>
        <v>65357087.308581606</v>
      </c>
      <c r="N21" s="277">
        <f t="shared" si="32"/>
        <v>142913842.47790274</v>
      </c>
      <c r="O21" s="277">
        <f t="shared" si="32"/>
        <v>60402635.513388008</v>
      </c>
      <c r="P21" s="277">
        <f t="shared" si="32"/>
        <v>23609608.972185601</v>
      </c>
      <c r="Q21" s="277">
        <f t="shared" si="32"/>
        <v>57619897.54860428</v>
      </c>
      <c r="R21" s="281">
        <f t="shared" si="9"/>
        <v>392929858.35131514</v>
      </c>
      <c r="S21" s="277">
        <f t="shared" ref="S21:Z21" si="33">+S16*0.7048944%</f>
        <v>17293351.730071537</v>
      </c>
      <c r="T21" s="277">
        <f t="shared" si="33"/>
        <v>14889097.22680397</v>
      </c>
      <c r="U21" s="277">
        <f t="shared" si="33"/>
        <v>16945192.409755681</v>
      </c>
      <c r="V21" s="277">
        <f t="shared" si="33"/>
        <v>7214991.0395472003</v>
      </c>
      <c r="W21" s="277">
        <f t="shared" si="33"/>
        <v>8014094.8862607367</v>
      </c>
      <c r="X21" s="277">
        <f t="shared" si="33"/>
        <v>17530436.680902433</v>
      </c>
      <c r="Y21" s="277">
        <f t="shared" si="33"/>
        <v>0</v>
      </c>
      <c r="Z21" s="277">
        <f t="shared" si="33"/>
        <v>0</v>
      </c>
      <c r="AA21" s="281">
        <f t="shared" si="24"/>
        <v>81887163.973341554</v>
      </c>
      <c r="AB21" s="403">
        <f t="shared" si="12"/>
        <v>474817022.32465672</v>
      </c>
      <c r="AC21" s="326">
        <f t="shared" si="13"/>
        <v>1.0484050103657587</v>
      </c>
    </row>
    <row r="22" spans="1:29" ht="25.5" x14ac:dyDescent="0.2">
      <c r="B22" s="323" t="s">
        <v>393</v>
      </c>
      <c r="C22" s="206" t="s">
        <v>394</v>
      </c>
      <c r="D22" s="328">
        <f>+D16*20%</f>
        <v>12750000000</v>
      </c>
      <c r="E22" s="325">
        <f>SUM('ADICIONES  2021'!C22:N22)</f>
        <v>100000000</v>
      </c>
      <c r="F22" s="278">
        <f t="shared" ref="F22:J22" si="34">+F16*20%</f>
        <v>0</v>
      </c>
      <c r="G22" s="278">
        <f t="shared" si="34"/>
        <v>0</v>
      </c>
      <c r="H22" s="278">
        <f t="shared" si="34"/>
        <v>0</v>
      </c>
      <c r="I22" s="278">
        <f t="shared" si="34"/>
        <v>0</v>
      </c>
      <c r="J22" s="278">
        <f t="shared" si="34"/>
        <v>0</v>
      </c>
      <c r="K22" s="281">
        <f t="shared" si="1"/>
        <v>12850000000</v>
      </c>
      <c r="L22" s="278">
        <f t="shared" ref="L22:Q22" si="35">+L16*20%</f>
        <v>1220800918</v>
      </c>
      <c r="M22" s="278">
        <f t="shared" si="35"/>
        <v>1854379530</v>
      </c>
      <c r="N22" s="278">
        <f t="shared" si="35"/>
        <v>4054900776</v>
      </c>
      <c r="O22" s="278">
        <f t="shared" si="35"/>
        <v>1713806650</v>
      </c>
      <c r="P22" s="278">
        <f t="shared" si="35"/>
        <v>669876480</v>
      </c>
      <c r="Q22" s="278">
        <f t="shared" si="35"/>
        <v>1634851902.6000001</v>
      </c>
      <c r="R22" s="281">
        <f t="shared" si="9"/>
        <v>11148616256.6</v>
      </c>
      <c r="S22" s="278">
        <f t="shared" ref="S22:Z22" si="36">+S16*20%</f>
        <v>490665033.80000001</v>
      </c>
      <c r="T22" s="278">
        <f t="shared" si="36"/>
        <v>422449014.40000004</v>
      </c>
      <c r="U22" s="278">
        <f t="shared" si="36"/>
        <v>480786694</v>
      </c>
      <c r="V22" s="278">
        <f t="shared" si="36"/>
        <v>204711260</v>
      </c>
      <c r="W22" s="278">
        <f t="shared" si="36"/>
        <v>227384268.80000001</v>
      </c>
      <c r="X22" s="278">
        <f t="shared" si="36"/>
        <v>497391855.60000002</v>
      </c>
      <c r="Y22" s="278">
        <f t="shared" si="36"/>
        <v>0</v>
      </c>
      <c r="Z22" s="278">
        <f t="shared" si="36"/>
        <v>0</v>
      </c>
      <c r="AA22" s="281">
        <f t="shared" si="24"/>
        <v>2323388126.5999999</v>
      </c>
      <c r="AB22" s="403">
        <f t="shared" si="12"/>
        <v>13472004383.200001</v>
      </c>
      <c r="AC22" s="326">
        <f t="shared" si="13"/>
        <v>1.0484050103657587</v>
      </c>
    </row>
    <row r="23" spans="1:29" s="61" customFormat="1" ht="25.5" x14ac:dyDescent="0.2">
      <c r="A23" s="421">
        <v>1</v>
      </c>
      <c r="B23" s="318" t="s">
        <v>395</v>
      </c>
      <c r="C23" s="319" t="s">
        <v>175</v>
      </c>
      <c r="D23" s="283">
        <v>10000000000</v>
      </c>
      <c r="E23" s="322">
        <f>SUM('ADICIONES  2021'!C23:N23)</f>
        <v>7500000000</v>
      </c>
      <c r="F23" s="276"/>
      <c r="G23" s="276"/>
      <c r="H23" s="276"/>
      <c r="I23" s="276"/>
      <c r="J23" s="276"/>
      <c r="K23" s="276">
        <f t="shared" si="1"/>
        <v>17500000000</v>
      </c>
      <c r="L23" s="276">
        <v>941705689</v>
      </c>
      <c r="M23" s="276">
        <v>1319494482</v>
      </c>
      <c r="N23" s="276">
        <v>1568538444</v>
      </c>
      <c r="O23" s="276">
        <v>1047503426</v>
      </c>
      <c r="P23" s="276">
        <v>618526099</v>
      </c>
      <c r="Q23" s="276">
        <v>981723487</v>
      </c>
      <c r="R23" s="276">
        <f t="shared" si="9"/>
        <v>6477491627</v>
      </c>
      <c r="S23" s="276">
        <v>1352763690</v>
      </c>
      <c r="T23" s="276">
        <v>2840637018</v>
      </c>
      <c r="U23" s="276">
        <v>4805708945</v>
      </c>
      <c r="V23" s="276">
        <v>880014260</v>
      </c>
      <c r="W23" s="276">
        <v>910780870</v>
      </c>
      <c r="X23" s="276">
        <v>2337865849</v>
      </c>
      <c r="Y23" s="276"/>
      <c r="Z23" s="276"/>
      <c r="AA23" s="276">
        <f t="shared" si="24"/>
        <v>13127770632</v>
      </c>
      <c r="AB23" s="402">
        <f t="shared" si="12"/>
        <v>19605262259</v>
      </c>
      <c r="AC23" s="321">
        <f t="shared" si="13"/>
        <v>1.1203007005142858</v>
      </c>
    </row>
    <row r="24" spans="1:29" ht="25.5" x14ac:dyDescent="0.2">
      <c r="B24" s="323" t="s">
        <v>396</v>
      </c>
      <c r="C24" s="206" t="s">
        <v>176</v>
      </c>
      <c r="D24" s="324">
        <f>+D23*69.7845456%</f>
        <v>6978454560</v>
      </c>
      <c r="E24" s="325">
        <f>SUM('ADICIONES  2021'!C24:N24)</f>
        <v>5233840920</v>
      </c>
      <c r="F24" s="277">
        <f t="shared" ref="F24:J24" si="37">+F23*69.7845456%</f>
        <v>0</v>
      </c>
      <c r="G24" s="277">
        <f t="shared" si="37"/>
        <v>0</v>
      </c>
      <c r="H24" s="277">
        <f t="shared" si="37"/>
        <v>0</v>
      </c>
      <c r="I24" s="277">
        <f t="shared" si="37"/>
        <v>0</v>
      </c>
      <c r="J24" s="277">
        <f t="shared" si="37"/>
        <v>0</v>
      </c>
      <c r="K24" s="281">
        <f t="shared" si="1"/>
        <v>12212295480</v>
      </c>
      <c r="L24" s="277">
        <f t="shared" ref="L24:Q24" si="38">+L23*69.7845456%</f>
        <v>657165035.95799923</v>
      </c>
      <c r="M24" s="277">
        <f t="shared" si="38"/>
        <v>920803228.48077381</v>
      </c>
      <c r="N24" s="277">
        <f t="shared" si="38"/>
        <v>1094597425.7067106</v>
      </c>
      <c r="O24" s="277">
        <f t="shared" si="38"/>
        <v>730995505.97853231</v>
      </c>
      <c r="P24" s="277">
        <f t="shared" si="38"/>
        <v>431635627.60455614</v>
      </c>
      <c r="Q24" s="277">
        <f t="shared" si="38"/>
        <v>685091274.45142508</v>
      </c>
      <c r="R24" s="281">
        <f t="shared" si="9"/>
        <v>4520288098.1799974</v>
      </c>
      <c r="S24" s="277">
        <f t="shared" ref="S24:Z24" si="39">+S23*69.7845456%</f>
        <v>944019994.1082927</v>
      </c>
      <c r="T24" s="277">
        <f t="shared" si="39"/>
        <v>1982325635.1566904</v>
      </c>
      <c r="U24" s="277">
        <f t="shared" si="39"/>
        <v>3353642150.1268039</v>
      </c>
      <c r="V24" s="277">
        <f t="shared" si="39"/>
        <v>614113952.55620253</v>
      </c>
      <c r="W24" s="277">
        <f t="shared" si="39"/>
        <v>635584291.54122674</v>
      </c>
      <c r="X24" s="277">
        <f t="shared" si="39"/>
        <v>1631469059.4622321</v>
      </c>
      <c r="Y24" s="277">
        <f t="shared" si="39"/>
        <v>0</v>
      </c>
      <c r="Z24" s="277">
        <f t="shared" si="39"/>
        <v>0</v>
      </c>
      <c r="AA24" s="281">
        <f t="shared" si="24"/>
        <v>9161155082.9514484</v>
      </c>
      <c r="AB24" s="403">
        <f t="shared" si="12"/>
        <v>13681443181.131447</v>
      </c>
      <c r="AC24" s="326">
        <f t="shared" si="13"/>
        <v>1.1203007005142858</v>
      </c>
    </row>
    <row r="25" spans="1:29" ht="25.5" x14ac:dyDescent="0.2">
      <c r="B25" s="323" t="s">
        <v>397</v>
      </c>
      <c r="C25" s="206" t="s">
        <v>177</v>
      </c>
      <c r="D25" s="324">
        <f>+D23*0.08%</f>
        <v>8000000</v>
      </c>
      <c r="E25" s="325">
        <f>SUM('ADICIONES  2021'!C25:N25)</f>
        <v>6000000</v>
      </c>
      <c r="F25" s="277">
        <f t="shared" ref="F25:J25" si="40">+F23*0.08%</f>
        <v>0</v>
      </c>
      <c r="G25" s="277">
        <f t="shared" si="40"/>
        <v>0</v>
      </c>
      <c r="H25" s="277">
        <f t="shared" si="40"/>
        <v>0</v>
      </c>
      <c r="I25" s="277">
        <f t="shared" si="40"/>
        <v>0</v>
      </c>
      <c r="J25" s="277">
        <f t="shared" si="40"/>
        <v>0</v>
      </c>
      <c r="K25" s="281">
        <f t="shared" si="1"/>
        <v>14000000</v>
      </c>
      <c r="L25" s="277">
        <f t="shared" ref="L25:Q25" si="41">+L23*0.08%</f>
        <v>753364.55119999999</v>
      </c>
      <c r="M25" s="277">
        <f t="shared" si="41"/>
        <v>1055595.5856000001</v>
      </c>
      <c r="N25" s="277">
        <f t="shared" si="41"/>
        <v>1254830.7552</v>
      </c>
      <c r="O25" s="277">
        <f t="shared" si="41"/>
        <v>838002.74080000003</v>
      </c>
      <c r="P25" s="277">
        <f t="shared" si="41"/>
        <v>494820.87920000002</v>
      </c>
      <c r="Q25" s="277">
        <f t="shared" si="41"/>
        <v>785378.78960000002</v>
      </c>
      <c r="R25" s="281">
        <f t="shared" si="9"/>
        <v>5181993.3015999999</v>
      </c>
      <c r="S25" s="277">
        <f t="shared" ref="S25:Z25" si="42">+S23*0.08%</f>
        <v>1082210.952</v>
      </c>
      <c r="T25" s="277">
        <f t="shared" si="42"/>
        <v>2272509.6144000003</v>
      </c>
      <c r="U25" s="277">
        <f t="shared" si="42"/>
        <v>3844567.156</v>
      </c>
      <c r="V25" s="277">
        <f t="shared" si="42"/>
        <v>704011.40800000005</v>
      </c>
      <c r="W25" s="277">
        <f t="shared" si="42"/>
        <v>728624.696</v>
      </c>
      <c r="X25" s="277">
        <f t="shared" si="42"/>
        <v>1870292.6792000001</v>
      </c>
      <c r="Y25" s="277">
        <f t="shared" si="42"/>
        <v>0</v>
      </c>
      <c r="Z25" s="277">
        <f t="shared" si="42"/>
        <v>0</v>
      </c>
      <c r="AA25" s="281">
        <f t="shared" si="24"/>
        <v>10502216.505600002</v>
      </c>
      <c r="AB25" s="403">
        <f t="shared" si="12"/>
        <v>15684209.807200002</v>
      </c>
      <c r="AC25" s="326">
        <f t="shared" si="13"/>
        <v>1.1203007005142858</v>
      </c>
    </row>
    <row r="26" spans="1:29" ht="14.25" x14ac:dyDescent="0.2">
      <c r="B26" s="323" t="s">
        <v>398</v>
      </c>
      <c r="C26" s="206" t="s">
        <v>178</v>
      </c>
      <c r="D26" s="324">
        <f>+D23*7.992%</f>
        <v>799200000</v>
      </c>
      <c r="E26" s="325">
        <f>SUM('ADICIONES  2021'!C26:N26)</f>
        <v>599400000</v>
      </c>
      <c r="F26" s="277">
        <f t="shared" ref="F26:J26" si="43">+F23*7.992%</f>
        <v>0</v>
      </c>
      <c r="G26" s="277">
        <f t="shared" si="43"/>
        <v>0</v>
      </c>
      <c r="H26" s="277">
        <f t="shared" si="43"/>
        <v>0</v>
      </c>
      <c r="I26" s="277">
        <f t="shared" si="43"/>
        <v>0</v>
      </c>
      <c r="J26" s="277">
        <f t="shared" si="43"/>
        <v>0</v>
      </c>
      <c r="K26" s="281">
        <f t="shared" si="1"/>
        <v>1398600000</v>
      </c>
      <c r="L26" s="277">
        <f t="shared" ref="L26:Q26" si="44">+L23*7.992%</f>
        <v>75261118.664880008</v>
      </c>
      <c r="M26" s="277">
        <f t="shared" si="44"/>
        <v>105453999.00144</v>
      </c>
      <c r="N26" s="277">
        <f t="shared" si="44"/>
        <v>125357592.44448</v>
      </c>
      <c r="O26" s="277">
        <f t="shared" si="44"/>
        <v>83716473.805920005</v>
      </c>
      <c r="P26" s="277">
        <f t="shared" si="44"/>
        <v>49432605.832080007</v>
      </c>
      <c r="Q26" s="277">
        <f t="shared" si="44"/>
        <v>78459341.08104001</v>
      </c>
      <c r="R26" s="281">
        <f t="shared" si="9"/>
        <v>517681130.82984006</v>
      </c>
      <c r="S26" s="277">
        <f t="shared" ref="S26:Z26" si="45">+S23*7.992%</f>
        <v>108112874.1048</v>
      </c>
      <c r="T26" s="277">
        <f t="shared" si="45"/>
        <v>227023710.47856</v>
      </c>
      <c r="U26" s="277">
        <f t="shared" si="45"/>
        <v>384072258.88440001</v>
      </c>
      <c r="V26" s="277">
        <f t="shared" si="45"/>
        <v>70330739.659199998</v>
      </c>
      <c r="W26" s="277">
        <f t="shared" si="45"/>
        <v>72789607.130400002</v>
      </c>
      <c r="X26" s="277">
        <f t="shared" si="45"/>
        <v>186842238.65208</v>
      </c>
      <c r="Y26" s="277">
        <f t="shared" si="45"/>
        <v>0</v>
      </c>
      <c r="Z26" s="277">
        <f t="shared" si="45"/>
        <v>0</v>
      </c>
      <c r="AA26" s="281">
        <f t="shared" si="24"/>
        <v>1049171428.90944</v>
      </c>
      <c r="AB26" s="403">
        <f t="shared" si="12"/>
        <v>1566852559.7392802</v>
      </c>
      <c r="AC26" s="326">
        <f t="shared" si="13"/>
        <v>1.120300700514286</v>
      </c>
    </row>
    <row r="27" spans="1:29" ht="25.5" x14ac:dyDescent="0.2">
      <c r="B27" s="323" t="s">
        <v>399</v>
      </c>
      <c r="C27" s="206" t="s">
        <v>179</v>
      </c>
      <c r="D27" s="324">
        <f>+D23*1.43856%</f>
        <v>143856000</v>
      </c>
      <c r="E27" s="325">
        <f>SUM('ADICIONES  2021'!C27:N27)</f>
        <v>107892000</v>
      </c>
      <c r="F27" s="277">
        <f t="shared" ref="F27:J27" si="46">+F23*1.43856%</f>
        <v>0</v>
      </c>
      <c r="G27" s="277">
        <f t="shared" si="46"/>
        <v>0</v>
      </c>
      <c r="H27" s="277">
        <f t="shared" si="46"/>
        <v>0</v>
      </c>
      <c r="I27" s="277">
        <f t="shared" si="46"/>
        <v>0</v>
      </c>
      <c r="J27" s="277">
        <f t="shared" si="46"/>
        <v>0</v>
      </c>
      <c r="K27" s="281">
        <f t="shared" si="1"/>
        <v>251748000</v>
      </c>
      <c r="L27" s="277">
        <f t="shared" ref="L27:Q27" si="47">+L23*1.43856%</f>
        <v>13547001.359678401</v>
      </c>
      <c r="M27" s="277">
        <f t="shared" si="47"/>
        <v>18981719.820259199</v>
      </c>
      <c r="N27" s="277">
        <f t="shared" si="47"/>
        <v>22564366.640006401</v>
      </c>
      <c r="O27" s="277">
        <f t="shared" si="47"/>
        <v>15068965.285065601</v>
      </c>
      <c r="P27" s="277">
        <f t="shared" si="47"/>
        <v>8897869.0497744009</v>
      </c>
      <c r="Q27" s="277">
        <f t="shared" si="47"/>
        <v>14122681.3945872</v>
      </c>
      <c r="R27" s="281">
        <f t="shared" si="9"/>
        <v>93182603.549371198</v>
      </c>
      <c r="S27" s="277">
        <f t="shared" ref="S27:Z27" si="48">+S23*1.43856%</f>
        <v>19460317.338863999</v>
      </c>
      <c r="T27" s="277">
        <f t="shared" si="48"/>
        <v>40864267.886140801</v>
      </c>
      <c r="U27" s="277">
        <f t="shared" si="48"/>
        <v>69133006.599191993</v>
      </c>
      <c r="V27" s="277">
        <f t="shared" si="48"/>
        <v>12659533.138656</v>
      </c>
      <c r="W27" s="277">
        <f t="shared" si="48"/>
        <v>13102129.283472</v>
      </c>
      <c r="X27" s="277">
        <f t="shared" si="48"/>
        <v>33631602.957374401</v>
      </c>
      <c r="Y27" s="277">
        <f t="shared" si="48"/>
        <v>0</v>
      </c>
      <c r="Z27" s="277">
        <f t="shared" si="48"/>
        <v>0</v>
      </c>
      <c r="AA27" s="281">
        <f t="shared" si="24"/>
        <v>188850857.20369917</v>
      </c>
      <c r="AB27" s="403">
        <f t="shared" si="12"/>
        <v>282033460.75307035</v>
      </c>
      <c r="AC27" s="326">
        <f t="shared" si="13"/>
        <v>1.1203007005142855</v>
      </c>
    </row>
    <row r="28" spans="1:29" ht="38.25" x14ac:dyDescent="0.2">
      <c r="B28" s="323" t="s">
        <v>400</v>
      </c>
      <c r="C28" s="206" t="s">
        <v>180</v>
      </c>
      <c r="D28" s="324">
        <f>+D23*0.7048944%</f>
        <v>70489440</v>
      </c>
      <c r="E28" s="325">
        <f>SUM('ADICIONES  2021'!C28:N28)</f>
        <v>52867080.000000007</v>
      </c>
      <c r="F28" s="277">
        <f t="shared" ref="F28:J28" si="49">+F23*0.7048944%</f>
        <v>0</v>
      </c>
      <c r="G28" s="277">
        <f t="shared" si="49"/>
        <v>0</v>
      </c>
      <c r="H28" s="277">
        <f t="shared" si="49"/>
        <v>0</v>
      </c>
      <c r="I28" s="277">
        <f t="shared" si="49"/>
        <v>0</v>
      </c>
      <c r="J28" s="277">
        <f t="shared" si="49"/>
        <v>0</v>
      </c>
      <c r="K28" s="281">
        <f t="shared" si="1"/>
        <v>123356520</v>
      </c>
      <c r="L28" s="277">
        <f t="shared" ref="L28:Q28" si="50">+L23*0.7048944%</f>
        <v>6638030.6662424169</v>
      </c>
      <c r="M28" s="277">
        <f t="shared" si="50"/>
        <v>9301042.7119270079</v>
      </c>
      <c r="N28" s="277">
        <f t="shared" si="50"/>
        <v>11056539.653603137</v>
      </c>
      <c r="O28" s="277">
        <f t="shared" si="50"/>
        <v>7383792.9896821445</v>
      </c>
      <c r="P28" s="277">
        <f t="shared" si="50"/>
        <v>4359955.8343894565</v>
      </c>
      <c r="Q28" s="277">
        <f t="shared" si="50"/>
        <v>6920113.8833477283</v>
      </c>
      <c r="R28" s="281">
        <f t="shared" si="9"/>
        <v>45659475.73919189</v>
      </c>
      <c r="S28" s="277">
        <f t="shared" ref="S28:Z28" si="51">+S23*0.7048944%</f>
        <v>9535555.4960433599</v>
      </c>
      <c r="T28" s="277">
        <f t="shared" si="51"/>
        <v>20023491.264208995</v>
      </c>
      <c r="U28" s="277">
        <f t="shared" si="51"/>
        <v>33875173.233604081</v>
      </c>
      <c r="V28" s="277">
        <f t="shared" si="51"/>
        <v>6203171.2379414402</v>
      </c>
      <c r="W28" s="277">
        <f t="shared" si="51"/>
        <v>6420043.3489012802</v>
      </c>
      <c r="X28" s="277">
        <f t="shared" si="51"/>
        <v>16479485.449113457</v>
      </c>
      <c r="Y28" s="277">
        <f t="shared" si="51"/>
        <v>0</v>
      </c>
      <c r="Z28" s="277">
        <f t="shared" si="51"/>
        <v>0</v>
      </c>
      <c r="AA28" s="281">
        <f t="shared" si="24"/>
        <v>92536920.029812619</v>
      </c>
      <c r="AB28" s="403">
        <f t="shared" si="12"/>
        <v>138196395.76900452</v>
      </c>
      <c r="AC28" s="326">
        <f t="shared" si="13"/>
        <v>1.120300700514286</v>
      </c>
    </row>
    <row r="29" spans="1:29" ht="25.5" x14ac:dyDescent="0.2">
      <c r="B29" s="323" t="s">
        <v>401</v>
      </c>
      <c r="C29" s="206" t="s">
        <v>402</v>
      </c>
      <c r="D29" s="328">
        <f>+D23*20%</f>
        <v>2000000000</v>
      </c>
      <c r="E29" s="325">
        <f>SUM('ADICIONES  2021'!C29:N29)</f>
        <v>1500000000</v>
      </c>
      <c r="F29" s="278">
        <f t="shared" ref="F29:J29" si="52">+F23*20%</f>
        <v>0</v>
      </c>
      <c r="G29" s="278">
        <f t="shared" si="52"/>
        <v>0</v>
      </c>
      <c r="H29" s="278">
        <f t="shared" si="52"/>
        <v>0</v>
      </c>
      <c r="I29" s="278">
        <f t="shared" si="52"/>
        <v>0</v>
      </c>
      <c r="J29" s="278">
        <f t="shared" si="52"/>
        <v>0</v>
      </c>
      <c r="K29" s="281">
        <f t="shared" si="1"/>
        <v>3500000000</v>
      </c>
      <c r="L29" s="278">
        <f t="shared" ref="L29:Q29" si="53">+L23*20%</f>
        <v>188341137.80000001</v>
      </c>
      <c r="M29" s="278">
        <f t="shared" si="53"/>
        <v>263898896.40000001</v>
      </c>
      <c r="N29" s="278">
        <f t="shared" si="53"/>
        <v>313707688.80000001</v>
      </c>
      <c r="O29" s="278">
        <f t="shared" si="53"/>
        <v>209500685.20000002</v>
      </c>
      <c r="P29" s="278">
        <f t="shared" si="53"/>
        <v>123705219.80000001</v>
      </c>
      <c r="Q29" s="278">
        <f t="shared" si="53"/>
        <v>196344697.40000001</v>
      </c>
      <c r="R29" s="281">
        <f t="shared" si="9"/>
        <v>1295498325.4000001</v>
      </c>
      <c r="S29" s="278">
        <f t="shared" ref="S29:Z29" si="54">+S23*20%</f>
        <v>270552738</v>
      </c>
      <c r="T29" s="278">
        <f t="shared" si="54"/>
        <v>568127403.60000002</v>
      </c>
      <c r="U29" s="278">
        <f t="shared" si="54"/>
        <v>961141789</v>
      </c>
      <c r="V29" s="278">
        <f t="shared" si="54"/>
        <v>176002852</v>
      </c>
      <c r="W29" s="278">
        <f t="shared" si="54"/>
        <v>182156174</v>
      </c>
      <c r="X29" s="278">
        <f t="shared" si="54"/>
        <v>467573169.80000001</v>
      </c>
      <c r="Y29" s="278">
        <f t="shared" si="54"/>
        <v>0</v>
      </c>
      <c r="Z29" s="278">
        <f t="shared" si="54"/>
        <v>0</v>
      </c>
      <c r="AA29" s="281">
        <f t="shared" si="24"/>
        <v>2625554126.4000001</v>
      </c>
      <c r="AB29" s="403">
        <f t="shared" si="12"/>
        <v>3921052451.8000002</v>
      </c>
      <c r="AC29" s="326">
        <f t="shared" si="13"/>
        <v>1.1203007005142858</v>
      </c>
    </row>
    <row r="30" spans="1:29" s="61" customFormat="1" ht="15.75" x14ac:dyDescent="0.2">
      <c r="A30" s="421">
        <v>1</v>
      </c>
      <c r="B30" s="318" t="s">
        <v>403</v>
      </c>
      <c r="C30" s="319" t="s">
        <v>404</v>
      </c>
      <c r="D30" s="283">
        <f>+D31+D46+D52+D79+D93+D109+D115</f>
        <v>382109200000</v>
      </c>
      <c r="E30" s="322">
        <f>SUM('ADICIONES  2021'!C30:N30)</f>
        <v>12426400000</v>
      </c>
      <c r="F30" s="275">
        <f t="shared" ref="F30:J30" si="55">+F31+F46+F52+F79+F93+F109+F115</f>
        <v>0</v>
      </c>
      <c r="G30" s="275">
        <f t="shared" si="55"/>
        <v>350000000</v>
      </c>
      <c r="H30" s="275">
        <f t="shared" si="55"/>
        <v>1559810323.22</v>
      </c>
      <c r="I30" s="275">
        <f t="shared" si="55"/>
        <v>0</v>
      </c>
      <c r="J30" s="275">
        <f t="shared" si="55"/>
        <v>0</v>
      </c>
      <c r="K30" s="276">
        <f t="shared" si="1"/>
        <v>393325789676.78003</v>
      </c>
      <c r="L30" s="275">
        <f t="shared" ref="L30:Q30" si="56">+L31+L46+L52+L79+L93+L109+L115</f>
        <v>43710554814.7808</v>
      </c>
      <c r="M30" s="275">
        <f t="shared" si="56"/>
        <v>35787804699.062401</v>
      </c>
      <c r="N30" s="275">
        <f t="shared" si="56"/>
        <v>27702655831.124802</v>
      </c>
      <c r="O30" s="275">
        <f t="shared" si="56"/>
        <v>30783196612.958397</v>
      </c>
      <c r="P30" s="275">
        <f t="shared" si="56"/>
        <v>30086227196.235199</v>
      </c>
      <c r="Q30" s="275">
        <f t="shared" si="56"/>
        <v>29652385131.6768</v>
      </c>
      <c r="R30" s="276">
        <f t="shared" si="9"/>
        <v>197722824285.83838</v>
      </c>
      <c r="S30" s="275">
        <f t="shared" ref="S30:Z30" si="57">+S31+S46+S52+S79+S93+S109+S115</f>
        <v>29593372200.579201</v>
      </c>
      <c r="T30" s="275">
        <f t="shared" si="57"/>
        <v>29070441206.892799</v>
      </c>
      <c r="U30" s="275">
        <f t="shared" si="57"/>
        <v>36662580805.568001</v>
      </c>
      <c r="V30" s="275">
        <f t="shared" si="57"/>
        <v>31979023957.433598</v>
      </c>
      <c r="W30" s="275">
        <f t="shared" si="57"/>
        <v>44843254610.843201</v>
      </c>
      <c r="X30" s="275">
        <f t="shared" si="57"/>
        <v>51018029351.345596</v>
      </c>
      <c r="Y30" s="275">
        <f t="shared" si="57"/>
        <v>-2322568107.4765139</v>
      </c>
      <c r="Z30" s="275">
        <f t="shared" si="57"/>
        <v>0</v>
      </c>
      <c r="AA30" s="276">
        <f t="shared" si="24"/>
        <v>220844134025.18591</v>
      </c>
      <c r="AB30" s="402">
        <f t="shared" si="12"/>
        <v>418566958311.02429</v>
      </c>
      <c r="AC30" s="321">
        <f t="shared" si="13"/>
        <v>1.0641736934030857</v>
      </c>
    </row>
    <row r="31" spans="1:29" s="61" customFormat="1" ht="15.75" x14ac:dyDescent="0.2">
      <c r="A31" s="421">
        <v>1</v>
      </c>
      <c r="B31" s="318" t="s">
        <v>405</v>
      </c>
      <c r="C31" s="319" t="s">
        <v>406</v>
      </c>
      <c r="D31" s="283">
        <f>+D32+D39</f>
        <v>54000000000</v>
      </c>
      <c r="E31" s="322">
        <f>SUM('ADICIONES  2021'!C31:N31)</f>
        <v>673000000</v>
      </c>
      <c r="F31" s="275">
        <f t="shared" ref="F31:J31" si="58">+F32+F39</f>
        <v>0</v>
      </c>
      <c r="G31" s="275">
        <f t="shared" si="58"/>
        <v>0</v>
      </c>
      <c r="H31" s="275">
        <f t="shared" si="58"/>
        <v>0</v>
      </c>
      <c r="I31" s="275">
        <f t="shared" si="58"/>
        <v>0</v>
      </c>
      <c r="J31" s="275">
        <f t="shared" si="58"/>
        <v>0</v>
      </c>
      <c r="K31" s="276">
        <f t="shared" si="1"/>
        <v>54673000000</v>
      </c>
      <c r="L31" s="275">
        <f t="shared" ref="L31:Q31" si="59">+L32+L39</f>
        <v>4430680200</v>
      </c>
      <c r="M31" s="275">
        <f t="shared" si="59"/>
        <v>4848747100</v>
      </c>
      <c r="N31" s="275">
        <f t="shared" si="59"/>
        <v>6027910300</v>
      </c>
      <c r="O31" s="275">
        <f t="shared" si="59"/>
        <v>4966344500</v>
      </c>
      <c r="P31" s="275">
        <f t="shared" si="59"/>
        <v>4194323700</v>
      </c>
      <c r="Q31" s="275">
        <f t="shared" si="59"/>
        <v>5263978300</v>
      </c>
      <c r="R31" s="276">
        <f t="shared" si="9"/>
        <v>29731984100</v>
      </c>
      <c r="S31" s="275">
        <f t="shared" ref="S31:Z31" si="60">+S32+S39</f>
        <v>4912084900</v>
      </c>
      <c r="T31" s="275">
        <f t="shared" si="60"/>
        <v>5463501600</v>
      </c>
      <c r="U31" s="275">
        <f t="shared" si="60"/>
        <v>5625629000</v>
      </c>
      <c r="V31" s="275">
        <f t="shared" si="60"/>
        <v>4941044500</v>
      </c>
      <c r="W31" s="275">
        <f t="shared" si="60"/>
        <v>5291108500</v>
      </c>
      <c r="X31" s="275">
        <f t="shared" si="60"/>
        <v>6998029600</v>
      </c>
      <c r="Y31" s="275">
        <f t="shared" si="60"/>
        <v>0</v>
      </c>
      <c r="Z31" s="275">
        <f t="shared" si="60"/>
        <v>0</v>
      </c>
      <c r="AA31" s="276">
        <f t="shared" si="24"/>
        <v>33231398100</v>
      </c>
      <c r="AB31" s="402">
        <f t="shared" si="12"/>
        <v>62963382200</v>
      </c>
      <c r="AC31" s="321">
        <f t="shared" si="13"/>
        <v>1.1516357653686464</v>
      </c>
    </row>
    <row r="32" spans="1:29" s="61" customFormat="1" ht="15.75" x14ac:dyDescent="0.2">
      <c r="A32" s="421">
        <v>1</v>
      </c>
      <c r="B32" s="318" t="s">
        <v>407</v>
      </c>
      <c r="C32" s="319" t="s">
        <v>408</v>
      </c>
      <c r="D32" s="283">
        <v>5400000000</v>
      </c>
      <c r="E32" s="322">
        <f>SUM('ADICIONES  2021'!C32:N32)</f>
        <v>0</v>
      </c>
      <c r="F32" s="279"/>
      <c r="G32" s="279"/>
      <c r="H32" s="279"/>
      <c r="I32" s="279"/>
      <c r="J32" s="279"/>
      <c r="K32" s="276">
        <f t="shared" si="1"/>
        <v>5400000000</v>
      </c>
      <c r="L32" s="279">
        <v>255320000</v>
      </c>
      <c r="M32" s="279">
        <v>286645400</v>
      </c>
      <c r="N32" s="279">
        <v>484993400</v>
      </c>
      <c r="O32" s="279">
        <v>316533800</v>
      </c>
      <c r="P32" s="279">
        <v>231103000</v>
      </c>
      <c r="Q32" s="279">
        <v>292059200</v>
      </c>
      <c r="R32" s="276">
        <f t="shared" si="9"/>
        <v>1866654800</v>
      </c>
      <c r="S32" s="279">
        <v>207631400</v>
      </c>
      <c r="T32" s="279">
        <v>204262000</v>
      </c>
      <c r="U32" s="279">
        <v>298354700</v>
      </c>
      <c r="V32" s="279">
        <v>297948100</v>
      </c>
      <c r="W32" s="279">
        <v>266460200</v>
      </c>
      <c r="X32" s="279">
        <v>590066100</v>
      </c>
      <c r="Y32" s="279"/>
      <c r="Z32" s="279"/>
      <c r="AA32" s="276">
        <f t="shared" si="24"/>
        <v>1864722500</v>
      </c>
      <c r="AB32" s="402">
        <f t="shared" si="12"/>
        <v>3731377300</v>
      </c>
      <c r="AC32" s="321">
        <f t="shared" si="13"/>
        <v>0.69099579629629626</v>
      </c>
    </row>
    <row r="33" spans="1:29" ht="25.5" x14ac:dyDescent="0.2">
      <c r="B33" s="323" t="s">
        <v>409</v>
      </c>
      <c r="C33" s="329" t="s">
        <v>125</v>
      </c>
      <c r="D33" s="324">
        <f>+D32*69.7845456%</f>
        <v>3768365462.4000001</v>
      </c>
      <c r="E33" s="325">
        <f>SUM('ADICIONES  2021'!C33:N33)</f>
        <v>0</v>
      </c>
      <c r="F33" s="277">
        <f>+F32*69.7845456%</f>
        <v>0</v>
      </c>
      <c r="G33" s="277">
        <f t="shared" ref="G33:J33" si="61">+G32*69.7845456%</f>
        <v>0</v>
      </c>
      <c r="H33" s="277">
        <f t="shared" si="61"/>
        <v>0</v>
      </c>
      <c r="I33" s="277">
        <f t="shared" si="61"/>
        <v>0</v>
      </c>
      <c r="J33" s="277">
        <f t="shared" si="61"/>
        <v>0</v>
      </c>
      <c r="K33" s="281">
        <f t="shared" si="1"/>
        <v>3768365462.4000001</v>
      </c>
      <c r="L33" s="277">
        <f t="shared" ref="L33:Q33" si="62">+L32*69.7845456%</f>
        <v>178173901.82592002</v>
      </c>
      <c r="M33" s="277">
        <f t="shared" si="62"/>
        <v>200034189.8733024</v>
      </c>
      <c r="N33" s="277">
        <f t="shared" si="62"/>
        <v>338450440.3799904</v>
      </c>
      <c r="O33" s="277">
        <f t="shared" si="62"/>
        <v>220891674.00041282</v>
      </c>
      <c r="P33" s="277">
        <f t="shared" si="62"/>
        <v>161274178.417968</v>
      </c>
      <c r="Q33" s="277">
        <f t="shared" si="62"/>
        <v>203812185.60299522</v>
      </c>
      <c r="R33" s="281">
        <f t="shared" si="9"/>
        <v>1302636570.1005888</v>
      </c>
      <c r="S33" s="277">
        <f t="shared" ref="S33:Z33" si="63">+S32*69.7845456%</f>
        <v>144894629.01291841</v>
      </c>
      <c r="T33" s="277">
        <f t="shared" si="63"/>
        <v>142543308.533472</v>
      </c>
      <c r="U33" s="277">
        <f t="shared" si="63"/>
        <v>208205471.67124322</v>
      </c>
      <c r="V33" s="277">
        <f t="shared" si="63"/>
        <v>207921727.70883361</v>
      </c>
      <c r="W33" s="277">
        <f t="shared" si="63"/>
        <v>185948039.7748512</v>
      </c>
      <c r="X33" s="277">
        <f t="shared" si="63"/>
        <v>411774946.6246416</v>
      </c>
      <c r="Y33" s="277">
        <f t="shared" si="63"/>
        <v>0</v>
      </c>
      <c r="Z33" s="277">
        <f t="shared" si="63"/>
        <v>0</v>
      </c>
      <c r="AA33" s="281">
        <f t="shared" si="24"/>
        <v>1301288123.3259599</v>
      </c>
      <c r="AB33" s="403">
        <f t="shared" si="12"/>
        <v>2603924693.426549</v>
      </c>
      <c r="AC33" s="326">
        <f t="shared" si="13"/>
        <v>0.69099579629629637</v>
      </c>
    </row>
    <row r="34" spans="1:29" ht="14.25" x14ac:dyDescent="0.2">
      <c r="B34" s="323" t="s">
        <v>410</v>
      </c>
      <c r="C34" s="206" t="s">
        <v>126</v>
      </c>
      <c r="D34" s="324">
        <f>+D32*7.992%</f>
        <v>431568000</v>
      </c>
      <c r="E34" s="325">
        <f>SUM('ADICIONES  2021'!C34:N34)</f>
        <v>0</v>
      </c>
      <c r="F34" s="277">
        <f>+F32*7.992%</f>
        <v>0</v>
      </c>
      <c r="G34" s="277">
        <f t="shared" ref="G34:J34" si="64">+G32*7.992%</f>
        <v>0</v>
      </c>
      <c r="H34" s="277">
        <f t="shared" si="64"/>
        <v>0</v>
      </c>
      <c r="I34" s="277">
        <f t="shared" si="64"/>
        <v>0</v>
      </c>
      <c r="J34" s="277">
        <f t="shared" si="64"/>
        <v>0</v>
      </c>
      <c r="K34" s="281">
        <f t="shared" si="1"/>
        <v>431568000</v>
      </c>
      <c r="L34" s="277">
        <f t="shared" ref="L34:Q34" si="65">+L32*7.992%</f>
        <v>20405174.400000002</v>
      </c>
      <c r="M34" s="277">
        <f t="shared" si="65"/>
        <v>22908700.368000001</v>
      </c>
      <c r="N34" s="277">
        <f t="shared" si="65"/>
        <v>38760672.528000005</v>
      </c>
      <c r="O34" s="277">
        <f t="shared" si="65"/>
        <v>25297381.296</v>
      </c>
      <c r="P34" s="277">
        <f t="shared" si="65"/>
        <v>18469751.760000002</v>
      </c>
      <c r="Q34" s="277">
        <f t="shared" si="65"/>
        <v>23341371.264000002</v>
      </c>
      <c r="R34" s="281">
        <f t="shared" si="9"/>
        <v>149183051.61600003</v>
      </c>
      <c r="S34" s="277">
        <f t="shared" ref="S34:Z34" si="66">+S32*7.992%</f>
        <v>16593901.488000002</v>
      </c>
      <c r="T34" s="277">
        <f t="shared" si="66"/>
        <v>16324619.040000001</v>
      </c>
      <c r="U34" s="277">
        <f t="shared" si="66"/>
        <v>23844507.624000002</v>
      </c>
      <c r="V34" s="277">
        <f t="shared" si="66"/>
        <v>23812012.152000003</v>
      </c>
      <c r="W34" s="277">
        <f t="shared" si="66"/>
        <v>21295499.184</v>
      </c>
      <c r="X34" s="277">
        <f t="shared" si="66"/>
        <v>47158082.712000005</v>
      </c>
      <c r="Y34" s="277">
        <f t="shared" si="66"/>
        <v>0</v>
      </c>
      <c r="Z34" s="277">
        <f t="shared" si="66"/>
        <v>0</v>
      </c>
      <c r="AA34" s="281">
        <f t="shared" si="24"/>
        <v>149028622.20000002</v>
      </c>
      <c r="AB34" s="403">
        <f t="shared" si="12"/>
        <v>298211673.81600004</v>
      </c>
      <c r="AC34" s="326">
        <f t="shared" si="13"/>
        <v>0.69099579629629637</v>
      </c>
    </row>
    <row r="35" spans="1:29" ht="14.25" x14ac:dyDescent="0.2">
      <c r="B35" s="323" t="s">
        <v>411</v>
      </c>
      <c r="C35" s="206" t="s">
        <v>127</v>
      </c>
      <c r="D35" s="324">
        <f>+D32*20%</f>
        <v>1080000000</v>
      </c>
      <c r="E35" s="325">
        <f>SUM('ADICIONES  2021'!C35:N35)</f>
        <v>0</v>
      </c>
      <c r="F35" s="277">
        <f>+F32*20%</f>
        <v>0</v>
      </c>
      <c r="G35" s="277">
        <f t="shared" ref="G35:J35" si="67">+G32*20%</f>
        <v>0</v>
      </c>
      <c r="H35" s="277">
        <f t="shared" si="67"/>
        <v>0</v>
      </c>
      <c r="I35" s="277">
        <f t="shared" si="67"/>
        <v>0</v>
      </c>
      <c r="J35" s="277">
        <f t="shared" si="67"/>
        <v>0</v>
      </c>
      <c r="K35" s="281">
        <f t="shared" si="1"/>
        <v>1080000000</v>
      </c>
      <c r="L35" s="277">
        <f t="shared" ref="L35:Q35" si="68">+L32*20%</f>
        <v>51064000</v>
      </c>
      <c r="M35" s="277">
        <f t="shared" si="68"/>
        <v>57329080</v>
      </c>
      <c r="N35" s="277">
        <f t="shared" si="68"/>
        <v>96998680</v>
      </c>
      <c r="O35" s="277">
        <f t="shared" si="68"/>
        <v>63306760</v>
      </c>
      <c r="P35" s="277">
        <f t="shared" si="68"/>
        <v>46220600</v>
      </c>
      <c r="Q35" s="277">
        <f t="shared" si="68"/>
        <v>58411840</v>
      </c>
      <c r="R35" s="281">
        <f t="shared" si="9"/>
        <v>373330960</v>
      </c>
      <c r="S35" s="277">
        <f t="shared" ref="S35:Z35" si="69">+S32*20%</f>
        <v>41526280</v>
      </c>
      <c r="T35" s="277">
        <f t="shared" si="69"/>
        <v>40852400</v>
      </c>
      <c r="U35" s="277">
        <f t="shared" si="69"/>
        <v>59670940</v>
      </c>
      <c r="V35" s="277">
        <f t="shared" si="69"/>
        <v>59589620</v>
      </c>
      <c r="W35" s="277">
        <f t="shared" si="69"/>
        <v>53292040</v>
      </c>
      <c r="X35" s="277">
        <f t="shared" si="69"/>
        <v>118013220</v>
      </c>
      <c r="Y35" s="277">
        <f t="shared" si="69"/>
        <v>0</v>
      </c>
      <c r="Z35" s="277">
        <f t="shared" si="69"/>
        <v>0</v>
      </c>
      <c r="AA35" s="281">
        <f t="shared" si="24"/>
        <v>372944500</v>
      </c>
      <c r="AB35" s="403">
        <f t="shared" si="12"/>
        <v>746275460</v>
      </c>
      <c r="AC35" s="326">
        <f t="shared" si="13"/>
        <v>0.69099579629629626</v>
      </c>
    </row>
    <row r="36" spans="1:29" ht="14.25" x14ac:dyDescent="0.2">
      <c r="B36" s="323" t="s">
        <v>412</v>
      </c>
      <c r="C36" s="206" t="s">
        <v>128</v>
      </c>
      <c r="D36" s="324">
        <f>+D32*0.08%</f>
        <v>4320000</v>
      </c>
      <c r="E36" s="325">
        <f>SUM('ADICIONES  2021'!C36:N36)</f>
        <v>0</v>
      </c>
      <c r="F36" s="277">
        <f>+F32*0.08%</f>
        <v>0</v>
      </c>
      <c r="G36" s="277">
        <f t="shared" ref="G36:J36" si="70">+G32*0.08%</f>
        <v>0</v>
      </c>
      <c r="H36" s="277">
        <f t="shared" si="70"/>
        <v>0</v>
      </c>
      <c r="I36" s="277">
        <f t="shared" si="70"/>
        <v>0</v>
      </c>
      <c r="J36" s="277">
        <f t="shared" si="70"/>
        <v>0</v>
      </c>
      <c r="K36" s="281">
        <f t="shared" si="1"/>
        <v>4320000</v>
      </c>
      <c r="L36" s="277">
        <f t="shared" ref="L36:Q36" si="71">+L32*0.08%</f>
        <v>204256</v>
      </c>
      <c r="M36" s="277">
        <f t="shared" si="71"/>
        <v>229316.32</v>
      </c>
      <c r="N36" s="277">
        <f t="shared" si="71"/>
        <v>387994.72000000003</v>
      </c>
      <c r="O36" s="277">
        <f t="shared" si="71"/>
        <v>253227.04</v>
      </c>
      <c r="P36" s="277">
        <f t="shared" si="71"/>
        <v>184882.40000000002</v>
      </c>
      <c r="Q36" s="277">
        <f t="shared" si="71"/>
        <v>233647.36000000002</v>
      </c>
      <c r="R36" s="281">
        <f t="shared" si="9"/>
        <v>1493323.84</v>
      </c>
      <c r="S36" s="277">
        <f t="shared" ref="S36:Z36" si="72">+S32*0.08%</f>
        <v>166105.12</v>
      </c>
      <c r="T36" s="277">
        <f t="shared" si="72"/>
        <v>163409.60000000001</v>
      </c>
      <c r="U36" s="277">
        <f t="shared" si="72"/>
        <v>238683.76</v>
      </c>
      <c r="V36" s="277">
        <f t="shared" si="72"/>
        <v>238358.48</v>
      </c>
      <c r="W36" s="277">
        <f t="shared" si="72"/>
        <v>213168.16</v>
      </c>
      <c r="X36" s="277">
        <f t="shared" si="72"/>
        <v>472052.88</v>
      </c>
      <c r="Y36" s="277">
        <f t="shared" si="72"/>
        <v>0</v>
      </c>
      <c r="Z36" s="277">
        <f t="shared" si="72"/>
        <v>0</v>
      </c>
      <c r="AA36" s="281">
        <f t="shared" si="24"/>
        <v>1491778</v>
      </c>
      <c r="AB36" s="403">
        <f t="shared" si="12"/>
        <v>2985101.84</v>
      </c>
      <c r="AC36" s="326">
        <f t="shared" si="13"/>
        <v>0.69099579629629626</v>
      </c>
    </row>
    <row r="37" spans="1:29" ht="14.25" x14ac:dyDescent="0.2">
      <c r="B37" s="323" t="s">
        <v>413</v>
      </c>
      <c r="C37" s="206" t="s">
        <v>129</v>
      </c>
      <c r="D37" s="324">
        <f>+D32*1.43856%</f>
        <v>77682240</v>
      </c>
      <c r="E37" s="325">
        <f>SUM('ADICIONES  2021'!C37:N37)</f>
        <v>0</v>
      </c>
      <c r="F37" s="277">
        <f>+F32*1.43856%</f>
        <v>0</v>
      </c>
      <c r="G37" s="277">
        <f t="shared" ref="G37:J37" si="73">+G32*1.43856%</f>
        <v>0</v>
      </c>
      <c r="H37" s="277">
        <f t="shared" si="73"/>
        <v>0</v>
      </c>
      <c r="I37" s="277">
        <f t="shared" si="73"/>
        <v>0</v>
      </c>
      <c r="J37" s="277">
        <f t="shared" si="73"/>
        <v>0</v>
      </c>
      <c r="K37" s="281">
        <f t="shared" si="1"/>
        <v>77682240</v>
      </c>
      <c r="L37" s="277">
        <f t="shared" ref="L37:Q37" si="74">+L32*1.43856%</f>
        <v>3672931.392</v>
      </c>
      <c r="M37" s="277">
        <f t="shared" si="74"/>
        <v>4123566.0662400001</v>
      </c>
      <c r="N37" s="277">
        <f t="shared" si="74"/>
        <v>6976921.05504</v>
      </c>
      <c r="O37" s="277">
        <f t="shared" si="74"/>
        <v>4553528.6332799997</v>
      </c>
      <c r="P37" s="277">
        <f t="shared" si="74"/>
        <v>3324555.3168000001</v>
      </c>
      <c r="Q37" s="277">
        <f t="shared" si="74"/>
        <v>4201446.8275199998</v>
      </c>
      <c r="R37" s="281">
        <f t="shared" si="9"/>
        <v>26852949.290879995</v>
      </c>
      <c r="S37" s="277">
        <f t="shared" ref="S37:Z37" si="75">+S32*1.43856%</f>
        <v>2986902.2678399999</v>
      </c>
      <c r="T37" s="277">
        <f t="shared" si="75"/>
        <v>2938431.4271999998</v>
      </c>
      <c r="U37" s="277">
        <f t="shared" si="75"/>
        <v>4292011.3723200001</v>
      </c>
      <c r="V37" s="277">
        <f t="shared" si="75"/>
        <v>4286162.1873599999</v>
      </c>
      <c r="W37" s="277">
        <f t="shared" si="75"/>
        <v>3833189.8531200001</v>
      </c>
      <c r="X37" s="277">
        <f t="shared" si="75"/>
        <v>8488454.8881599996</v>
      </c>
      <c r="Y37" s="277">
        <f t="shared" si="75"/>
        <v>0</v>
      </c>
      <c r="Z37" s="277">
        <f t="shared" si="75"/>
        <v>0</v>
      </c>
      <c r="AA37" s="281">
        <f t="shared" si="24"/>
        <v>26825151.995999999</v>
      </c>
      <c r="AB37" s="403">
        <f t="shared" si="12"/>
        <v>53678101.286879994</v>
      </c>
      <c r="AC37" s="326">
        <f t="shared" si="13"/>
        <v>0.69099579629629626</v>
      </c>
    </row>
    <row r="38" spans="1:29" ht="25.5" x14ac:dyDescent="0.2">
      <c r="B38" s="323" t="s">
        <v>414</v>
      </c>
      <c r="C38" s="206" t="s">
        <v>130</v>
      </c>
      <c r="D38" s="324">
        <f>+D32*0.7048944%</f>
        <v>38064297.600000001</v>
      </c>
      <c r="E38" s="325">
        <f>SUM('ADICIONES  2021'!C38:N38)</f>
        <v>0</v>
      </c>
      <c r="F38" s="277">
        <f>+F32*0.7048944%</f>
        <v>0</v>
      </c>
      <c r="G38" s="277">
        <f t="shared" ref="G38:J38" si="76">+G32*0.7048944%</f>
        <v>0</v>
      </c>
      <c r="H38" s="277">
        <f t="shared" si="76"/>
        <v>0</v>
      </c>
      <c r="I38" s="277">
        <f t="shared" si="76"/>
        <v>0</v>
      </c>
      <c r="J38" s="277">
        <f t="shared" si="76"/>
        <v>0</v>
      </c>
      <c r="K38" s="281">
        <f t="shared" si="1"/>
        <v>38064297.600000001</v>
      </c>
      <c r="L38" s="277">
        <f t="shared" ref="L38:Q38" si="77">+L32*0.7048944%</f>
        <v>1799736.3820800001</v>
      </c>
      <c r="M38" s="277">
        <f t="shared" si="77"/>
        <v>2020547.3724576002</v>
      </c>
      <c r="N38" s="277">
        <f t="shared" si="77"/>
        <v>3418691.3169696005</v>
      </c>
      <c r="O38" s="277">
        <f t="shared" si="77"/>
        <v>2231229.0303072003</v>
      </c>
      <c r="P38" s="277">
        <f t="shared" si="77"/>
        <v>1629032.1052320001</v>
      </c>
      <c r="Q38" s="277">
        <f t="shared" si="77"/>
        <v>2058708.9454848003</v>
      </c>
      <c r="R38" s="281">
        <f t="shared" si="9"/>
        <v>13157945.152531201</v>
      </c>
      <c r="S38" s="277">
        <f t="shared" ref="S38:Z38" si="78">+S32*0.7048944%</f>
        <v>1463582.1112416</v>
      </c>
      <c r="T38" s="277">
        <f t="shared" si="78"/>
        <v>1439831.3993280001</v>
      </c>
      <c r="U38" s="277">
        <f t="shared" si="78"/>
        <v>2103085.5724368002</v>
      </c>
      <c r="V38" s="277">
        <f t="shared" si="78"/>
        <v>2100219.4718064</v>
      </c>
      <c r="W38" s="277">
        <f t="shared" si="78"/>
        <v>1878263.0280288002</v>
      </c>
      <c r="X38" s="277">
        <f t="shared" si="78"/>
        <v>4159342.8951984001</v>
      </c>
      <c r="Y38" s="277">
        <f t="shared" si="78"/>
        <v>0</v>
      </c>
      <c r="Z38" s="277">
        <f t="shared" si="78"/>
        <v>0</v>
      </c>
      <c r="AA38" s="281">
        <f t="shared" si="24"/>
        <v>13144324.478040002</v>
      </c>
      <c r="AB38" s="403">
        <f t="shared" si="12"/>
        <v>26302269.630571201</v>
      </c>
      <c r="AC38" s="326">
        <f t="shared" si="13"/>
        <v>0.69099579629629626</v>
      </c>
    </row>
    <row r="39" spans="1:29" s="61" customFormat="1" ht="25.5" x14ac:dyDescent="0.2">
      <c r="A39" s="421">
        <v>1</v>
      </c>
      <c r="B39" s="318" t="s">
        <v>415</v>
      </c>
      <c r="C39" s="319" t="s">
        <v>416</v>
      </c>
      <c r="D39" s="283">
        <v>48600000000</v>
      </c>
      <c r="E39" s="322">
        <f>SUM('ADICIONES  2021'!C39:N39)</f>
        <v>673000000</v>
      </c>
      <c r="F39" s="279"/>
      <c r="G39" s="279"/>
      <c r="H39" s="279"/>
      <c r="I39" s="279"/>
      <c r="J39" s="279"/>
      <c r="K39" s="276">
        <f t="shared" si="1"/>
        <v>49273000000</v>
      </c>
      <c r="L39" s="279">
        <v>4175360200</v>
      </c>
      <c r="M39" s="279">
        <v>4562101700</v>
      </c>
      <c r="N39" s="279">
        <v>5542916900</v>
      </c>
      <c r="O39" s="279">
        <v>4649810700</v>
      </c>
      <c r="P39" s="279">
        <v>3963220700</v>
      </c>
      <c r="Q39" s="279">
        <v>4971919100</v>
      </c>
      <c r="R39" s="276">
        <f t="shared" si="9"/>
        <v>27865329300</v>
      </c>
      <c r="S39" s="279">
        <v>4704453500</v>
      </c>
      <c r="T39" s="279">
        <v>5259239600</v>
      </c>
      <c r="U39" s="279">
        <v>5327274300</v>
      </c>
      <c r="V39" s="279">
        <v>4643096400</v>
      </c>
      <c r="W39" s="279">
        <v>5024648300</v>
      </c>
      <c r="X39" s="279">
        <v>6407963500</v>
      </c>
      <c r="Y39" s="279"/>
      <c r="Z39" s="279"/>
      <c r="AA39" s="276">
        <f t="shared" si="24"/>
        <v>31366675600</v>
      </c>
      <c r="AB39" s="402">
        <f t="shared" si="12"/>
        <v>59232004900</v>
      </c>
      <c r="AC39" s="321">
        <f t="shared" si="13"/>
        <v>1.2021189069064193</v>
      </c>
    </row>
    <row r="40" spans="1:29" ht="25.5" x14ac:dyDescent="0.2">
      <c r="B40" s="323" t="s">
        <v>417</v>
      </c>
      <c r="C40" s="329" t="s">
        <v>125</v>
      </c>
      <c r="D40" s="324">
        <f>+D39*69.7845456%</f>
        <v>33915289161.600002</v>
      </c>
      <c r="E40" s="325">
        <f>SUM('ADICIONES  2021'!C40:N40)</f>
        <v>469649991.88800001</v>
      </c>
      <c r="F40" s="277">
        <f>+F39*69.7845456%</f>
        <v>0</v>
      </c>
      <c r="G40" s="277">
        <f t="shared" ref="G40:J40" si="79">+G39*69.7845456%</f>
        <v>0</v>
      </c>
      <c r="H40" s="277">
        <f t="shared" si="79"/>
        <v>0</v>
      </c>
      <c r="I40" s="277">
        <f t="shared" si="79"/>
        <v>0</v>
      </c>
      <c r="J40" s="277">
        <f t="shared" si="79"/>
        <v>0</v>
      </c>
      <c r="K40" s="281">
        <f t="shared" si="1"/>
        <v>34384939153.487999</v>
      </c>
      <c r="L40" s="277">
        <f t="shared" ref="L40:Q40" si="80">+L39*69.7845456%</f>
        <v>2913756142.7332511</v>
      </c>
      <c r="M40" s="277">
        <f t="shared" si="80"/>
        <v>3183641941.1548753</v>
      </c>
      <c r="N40" s="277">
        <f t="shared" si="80"/>
        <v>3868099371.6506066</v>
      </c>
      <c r="O40" s="277">
        <f t="shared" si="80"/>
        <v>3244849268.2551794</v>
      </c>
      <c r="P40" s="277">
        <f t="shared" si="80"/>
        <v>2765715556.6201391</v>
      </c>
      <c r="Q40" s="277">
        <f t="shared" si="80"/>
        <v>3469631151.5346098</v>
      </c>
      <c r="R40" s="281">
        <f t="shared" si="9"/>
        <v>19445693431.948662</v>
      </c>
      <c r="S40" s="277">
        <f t="shared" ref="S40:Z40" si="81">+S39*69.7845456%</f>
        <v>3282981497.9382963</v>
      </c>
      <c r="T40" s="277">
        <f t="shared" si="81"/>
        <v>3670136456.875258</v>
      </c>
      <c r="U40" s="277">
        <f t="shared" si="81"/>
        <v>3717614163.1205812</v>
      </c>
      <c r="V40" s="277">
        <f t="shared" si="81"/>
        <v>3240163724.5099587</v>
      </c>
      <c r="W40" s="277">
        <f t="shared" si="81"/>
        <v>3506427984.1531248</v>
      </c>
      <c r="X40" s="277">
        <f t="shared" si="81"/>
        <v>4471768210.6888561</v>
      </c>
      <c r="Y40" s="277">
        <f t="shared" si="81"/>
        <v>0</v>
      </c>
      <c r="Z40" s="277">
        <f t="shared" si="81"/>
        <v>0</v>
      </c>
      <c r="AA40" s="281">
        <f t="shared" si="24"/>
        <v>21889092037.286072</v>
      </c>
      <c r="AB40" s="403">
        <f t="shared" si="12"/>
        <v>41334785469.234734</v>
      </c>
      <c r="AC40" s="326">
        <f t="shared" si="13"/>
        <v>1.2021189069064193</v>
      </c>
    </row>
    <row r="41" spans="1:29" ht="14.25" x14ac:dyDescent="0.2">
      <c r="B41" s="323" t="s">
        <v>418</v>
      </c>
      <c r="C41" s="206" t="s">
        <v>126</v>
      </c>
      <c r="D41" s="324">
        <f>+D39*7.992%</f>
        <v>3884112000.0000005</v>
      </c>
      <c r="E41" s="325">
        <f>SUM('ADICIONES  2021'!C41:N41)</f>
        <v>53786160</v>
      </c>
      <c r="F41" s="277">
        <f>+F39*7.992%</f>
        <v>0</v>
      </c>
      <c r="G41" s="277">
        <f t="shared" ref="G41:J41" si="82">+G39*7.992%</f>
        <v>0</v>
      </c>
      <c r="H41" s="277">
        <f t="shared" si="82"/>
        <v>0</v>
      </c>
      <c r="I41" s="277">
        <f t="shared" si="82"/>
        <v>0</v>
      </c>
      <c r="J41" s="277">
        <f t="shared" si="82"/>
        <v>0</v>
      </c>
      <c r="K41" s="281">
        <f t="shared" si="1"/>
        <v>3937898160.0000005</v>
      </c>
      <c r="L41" s="277">
        <f t="shared" ref="L41:Q41" si="83">+L39*7.992%</f>
        <v>333694787.18400002</v>
      </c>
      <c r="M41" s="277">
        <f t="shared" si="83"/>
        <v>364603167.86400002</v>
      </c>
      <c r="N41" s="277">
        <f t="shared" si="83"/>
        <v>442989918.648</v>
      </c>
      <c r="O41" s="277">
        <f t="shared" si="83"/>
        <v>371612871.14399999</v>
      </c>
      <c r="P41" s="277">
        <f t="shared" si="83"/>
        <v>316740598.34400004</v>
      </c>
      <c r="Q41" s="277">
        <f t="shared" si="83"/>
        <v>397355774.472</v>
      </c>
      <c r="R41" s="281">
        <f t="shared" si="9"/>
        <v>2226997117.6560001</v>
      </c>
      <c r="S41" s="277">
        <f t="shared" ref="S41:Z41" si="84">+S39*7.992%</f>
        <v>375979923.72000003</v>
      </c>
      <c r="T41" s="277">
        <f t="shared" si="84"/>
        <v>420318428.83200002</v>
      </c>
      <c r="U41" s="277">
        <f t="shared" si="84"/>
        <v>425755762.05600005</v>
      </c>
      <c r="V41" s="277">
        <f t="shared" si="84"/>
        <v>371076264.28800005</v>
      </c>
      <c r="W41" s="277">
        <f t="shared" si="84"/>
        <v>401569892.13600004</v>
      </c>
      <c r="X41" s="277">
        <f t="shared" si="84"/>
        <v>512124442.92000002</v>
      </c>
      <c r="Y41" s="277">
        <f t="shared" si="84"/>
        <v>0</v>
      </c>
      <c r="Z41" s="277">
        <f t="shared" si="84"/>
        <v>0</v>
      </c>
      <c r="AA41" s="281">
        <f t="shared" si="24"/>
        <v>2506824713.9520001</v>
      </c>
      <c r="AB41" s="403">
        <f t="shared" si="12"/>
        <v>4733821831.6079998</v>
      </c>
      <c r="AC41" s="326">
        <f t="shared" si="13"/>
        <v>1.2021189069064191</v>
      </c>
    </row>
    <row r="42" spans="1:29" ht="14.25" x14ac:dyDescent="0.2">
      <c r="B42" s="323" t="s">
        <v>419</v>
      </c>
      <c r="C42" s="206" t="s">
        <v>127</v>
      </c>
      <c r="D42" s="324">
        <f>+D39*20%</f>
        <v>9720000000</v>
      </c>
      <c r="E42" s="325">
        <f>SUM('ADICIONES  2021'!C42:N42)</f>
        <v>134600000</v>
      </c>
      <c r="F42" s="277">
        <f>+F39*20%</f>
        <v>0</v>
      </c>
      <c r="G42" s="277">
        <f t="shared" ref="G42:J42" si="85">+G39*20%</f>
        <v>0</v>
      </c>
      <c r="H42" s="277">
        <f t="shared" si="85"/>
        <v>0</v>
      </c>
      <c r="I42" s="277">
        <f t="shared" si="85"/>
        <v>0</v>
      </c>
      <c r="J42" s="277">
        <f t="shared" si="85"/>
        <v>0</v>
      </c>
      <c r="K42" s="281">
        <f t="shared" si="1"/>
        <v>9854600000</v>
      </c>
      <c r="L42" s="277">
        <f t="shared" ref="L42:Q42" si="86">+L39*20%</f>
        <v>835072040</v>
      </c>
      <c r="M42" s="277">
        <f t="shared" si="86"/>
        <v>912420340</v>
      </c>
      <c r="N42" s="277">
        <f t="shared" si="86"/>
        <v>1108583380</v>
      </c>
      <c r="O42" s="277">
        <f t="shared" si="86"/>
        <v>929962140</v>
      </c>
      <c r="P42" s="277">
        <f t="shared" si="86"/>
        <v>792644140</v>
      </c>
      <c r="Q42" s="277">
        <f t="shared" si="86"/>
        <v>994383820</v>
      </c>
      <c r="R42" s="281">
        <f t="shared" si="9"/>
        <v>5573065860</v>
      </c>
      <c r="S42" s="277">
        <f t="shared" ref="S42:Z42" si="87">+S39*20%</f>
        <v>940890700</v>
      </c>
      <c r="T42" s="277">
        <f t="shared" si="87"/>
        <v>1051847920</v>
      </c>
      <c r="U42" s="277">
        <f t="shared" si="87"/>
        <v>1065454860</v>
      </c>
      <c r="V42" s="277">
        <f t="shared" si="87"/>
        <v>928619280</v>
      </c>
      <c r="W42" s="277">
        <f t="shared" si="87"/>
        <v>1004929660</v>
      </c>
      <c r="X42" s="277">
        <f t="shared" si="87"/>
        <v>1281592700</v>
      </c>
      <c r="Y42" s="277">
        <f t="shared" si="87"/>
        <v>0</v>
      </c>
      <c r="Z42" s="277">
        <f t="shared" si="87"/>
        <v>0</v>
      </c>
      <c r="AA42" s="281">
        <f t="shared" si="24"/>
        <v>6273335120</v>
      </c>
      <c r="AB42" s="403">
        <f t="shared" si="12"/>
        <v>11846400980</v>
      </c>
      <c r="AC42" s="326">
        <f t="shared" si="13"/>
        <v>1.2021189069064193</v>
      </c>
    </row>
    <row r="43" spans="1:29" ht="14.25" x14ac:dyDescent="0.2">
      <c r="B43" s="323" t="s">
        <v>420</v>
      </c>
      <c r="C43" s="206" t="s">
        <v>128</v>
      </c>
      <c r="D43" s="324">
        <f>+D39*0.08%</f>
        <v>38880000</v>
      </c>
      <c r="E43" s="325">
        <f>SUM('ADICIONES  2021'!C43:N43)</f>
        <v>538400</v>
      </c>
      <c r="F43" s="277">
        <f>+F39*0.08%</f>
        <v>0</v>
      </c>
      <c r="G43" s="277">
        <f t="shared" ref="G43:J43" si="88">+G39*0.08%</f>
        <v>0</v>
      </c>
      <c r="H43" s="277">
        <f t="shared" si="88"/>
        <v>0</v>
      </c>
      <c r="I43" s="277">
        <f t="shared" si="88"/>
        <v>0</v>
      </c>
      <c r="J43" s="277">
        <f t="shared" si="88"/>
        <v>0</v>
      </c>
      <c r="K43" s="281">
        <f t="shared" si="1"/>
        <v>39418400</v>
      </c>
      <c r="L43" s="277">
        <f t="shared" ref="L43:Q43" si="89">+L39*0.08%</f>
        <v>3340288.16</v>
      </c>
      <c r="M43" s="277">
        <f t="shared" si="89"/>
        <v>3649681.3600000003</v>
      </c>
      <c r="N43" s="277">
        <f t="shared" si="89"/>
        <v>4434333.5200000005</v>
      </c>
      <c r="O43" s="277">
        <f t="shared" si="89"/>
        <v>3719848.56</v>
      </c>
      <c r="P43" s="277">
        <f t="shared" si="89"/>
        <v>3170576.56</v>
      </c>
      <c r="Q43" s="277">
        <f t="shared" si="89"/>
        <v>3977535.2800000003</v>
      </c>
      <c r="R43" s="281">
        <f t="shared" si="9"/>
        <v>22292263.440000001</v>
      </c>
      <c r="S43" s="277">
        <f t="shared" ref="S43:Z43" si="90">+S39*0.08%</f>
        <v>3763562.8000000003</v>
      </c>
      <c r="T43" s="277">
        <f t="shared" si="90"/>
        <v>4207391.6800000006</v>
      </c>
      <c r="U43" s="277">
        <f t="shared" si="90"/>
        <v>4261819.4400000004</v>
      </c>
      <c r="V43" s="277">
        <f t="shared" si="90"/>
        <v>3714477.12</v>
      </c>
      <c r="W43" s="277">
        <f t="shared" si="90"/>
        <v>4019718.64</v>
      </c>
      <c r="X43" s="277">
        <f t="shared" si="90"/>
        <v>5126370.8</v>
      </c>
      <c r="Y43" s="277">
        <f t="shared" si="90"/>
        <v>0</v>
      </c>
      <c r="Z43" s="277">
        <f t="shared" si="90"/>
        <v>0</v>
      </c>
      <c r="AA43" s="281">
        <f t="shared" si="24"/>
        <v>25093340.480000004</v>
      </c>
      <c r="AB43" s="403">
        <f t="shared" si="12"/>
        <v>47385603.920000002</v>
      </c>
      <c r="AC43" s="326">
        <f t="shared" si="13"/>
        <v>1.2021189069064193</v>
      </c>
    </row>
    <row r="44" spans="1:29" ht="14.25" x14ac:dyDescent="0.2">
      <c r="B44" s="323" t="s">
        <v>421</v>
      </c>
      <c r="C44" s="206" t="s">
        <v>129</v>
      </c>
      <c r="D44" s="324">
        <f>+D39*1.43856%</f>
        <v>699140160</v>
      </c>
      <c r="E44" s="325">
        <f>SUM('ADICIONES  2021'!C44:N44)</f>
        <v>9681508.8000000007</v>
      </c>
      <c r="F44" s="277">
        <f>+F39*1.43856%</f>
        <v>0</v>
      </c>
      <c r="G44" s="277">
        <f t="shared" ref="G44:J44" si="91">+G39*1.43856%</f>
        <v>0</v>
      </c>
      <c r="H44" s="277">
        <f t="shared" si="91"/>
        <v>0</v>
      </c>
      <c r="I44" s="277">
        <f t="shared" si="91"/>
        <v>0</v>
      </c>
      <c r="J44" s="277">
        <f t="shared" si="91"/>
        <v>0</v>
      </c>
      <c r="K44" s="281">
        <f t="shared" si="1"/>
        <v>708821668.79999995</v>
      </c>
      <c r="L44" s="277">
        <f t="shared" ref="L44:Q44" si="92">+L39*1.43856%</f>
        <v>60065061.693120003</v>
      </c>
      <c r="M44" s="277">
        <f t="shared" si="92"/>
        <v>65628570.215520002</v>
      </c>
      <c r="N44" s="277">
        <f t="shared" si="92"/>
        <v>79738185.356639996</v>
      </c>
      <c r="O44" s="277">
        <f t="shared" si="92"/>
        <v>66890316.805919997</v>
      </c>
      <c r="P44" s="277">
        <f t="shared" si="92"/>
        <v>57013307.701920003</v>
      </c>
      <c r="Q44" s="277">
        <f t="shared" si="92"/>
        <v>71524039.404960006</v>
      </c>
      <c r="R44" s="281">
        <f t="shared" si="9"/>
        <v>400859481.17808008</v>
      </c>
      <c r="S44" s="277">
        <f t="shared" ref="S44:Z44" si="93">+S39*1.43856%</f>
        <v>67676386.269600004</v>
      </c>
      <c r="T44" s="277">
        <f t="shared" si="93"/>
        <v>75657317.18976</v>
      </c>
      <c r="U44" s="277">
        <f t="shared" si="93"/>
        <v>76636037.170080006</v>
      </c>
      <c r="V44" s="277">
        <f t="shared" si="93"/>
        <v>66793727.571840003</v>
      </c>
      <c r="W44" s="277">
        <f t="shared" si="93"/>
        <v>72282580.584480003</v>
      </c>
      <c r="X44" s="277">
        <f t="shared" si="93"/>
        <v>92182399.725600004</v>
      </c>
      <c r="Y44" s="277">
        <f t="shared" si="93"/>
        <v>0</v>
      </c>
      <c r="Z44" s="277">
        <f t="shared" si="93"/>
        <v>0</v>
      </c>
      <c r="AA44" s="281">
        <f t="shared" si="24"/>
        <v>451228448.51135999</v>
      </c>
      <c r="AB44" s="403">
        <f t="shared" si="12"/>
        <v>852087929.68944001</v>
      </c>
      <c r="AC44" s="326">
        <f t="shared" si="13"/>
        <v>1.2021189069064195</v>
      </c>
    </row>
    <row r="45" spans="1:29" ht="25.5" x14ac:dyDescent="0.2">
      <c r="B45" s="323" t="s">
        <v>422</v>
      </c>
      <c r="C45" s="206" t="s">
        <v>130</v>
      </c>
      <c r="D45" s="324">
        <f>+D39*0.7048944%</f>
        <v>342578678.40000004</v>
      </c>
      <c r="E45" s="325">
        <f>SUM('ADICIONES  2021'!C45:N45)</f>
        <v>4743939.3119999999</v>
      </c>
      <c r="F45" s="277">
        <f>+F39*0.7048944%</f>
        <v>0</v>
      </c>
      <c r="G45" s="277">
        <f t="shared" ref="G45:J45" si="94">+G39*0.7048944%</f>
        <v>0</v>
      </c>
      <c r="H45" s="277">
        <f t="shared" si="94"/>
        <v>0</v>
      </c>
      <c r="I45" s="277">
        <f t="shared" si="94"/>
        <v>0</v>
      </c>
      <c r="J45" s="277">
        <f t="shared" si="94"/>
        <v>0</v>
      </c>
      <c r="K45" s="281">
        <f t="shared" si="1"/>
        <v>347322617.71200001</v>
      </c>
      <c r="L45" s="277">
        <f t="shared" ref="L45:Q45" si="95">+L39*0.7048944%</f>
        <v>29431880.229628801</v>
      </c>
      <c r="M45" s="277">
        <f t="shared" si="95"/>
        <v>32157999.405604802</v>
      </c>
      <c r="N45" s="277">
        <f t="shared" si="95"/>
        <v>39071710.824753605</v>
      </c>
      <c r="O45" s="277">
        <f t="shared" si="95"/>
        <v>32776255.234900802</v>
      </c>
      <c r="P45" s="277">
        <f t="shared" si="95"/>
        <v>27936520.773940802</v>
      </c>
      <c r="Q45" s="277">
        <f t="shared" si="95"/>
        <v>35046779.308430403</v>
      </c>
      <c r="R45" s="281">
        <f t="shared" si="9"/>
        <v>196421145.7772592</v>
      </c>
      <c r="S45" s="277">
        <f t="shared" ref="S45:Z45" si="96">+S39*0.7048944%</f>
        <v>33161429.272104003</v>
      </c>
      <c r="T45" s="277">
        <f t="shared" si="96"/>
        <v>37072085.422982402</v>
      </c>
      <c r="U45" s="277">
        <f t="shared" si="96"/>
        <v>37551658.213339202</v>
      </c>
      <c r="V45" s="277">
        <f t="shared" si="96"/>
        <v>32728926.510201603</v>
      </c>
      <c r="W45" s="277">
        <f t="shared" si="96"/>
        <v>35418464.486395203</v>
      </c>
      <c r="X45" s="277">
        <f t="shared" si="96"/>
        <v>45169375.865544006</v>
      </c>
      <c r="Y45" s="277">
        <f t="shared" si="96"/>
        <v>0</v>
      </c>
      <c r="Z45" s="277">
        <f t="shared" si="96"/>
        <v>0</v>
      </c>
      <c r="AA45" s="281">
        <f t="shared" si="24"/>
        <v>221101939.7705664</v>
      </c>
      <c r="AB45" s="403">
        <f t="shared" si="12"/>
        <v>417523085.54782557</v>
      </c>
      <c r="AC45" s="326">
        <f t="shared" si="13"/>
        <v>1.2021189069064193</v>
      </c>
    </row>
    <row r="46" spans="1:29" s="61" customFormat="1" ht="15.75" x14ac:dyDescent="0.2">
      <c r="A46" s="421">
        <v>1</v>
      </c>
      <c r="B46" s="318" t="s">
        <v>423</v>
      </c>
      <c r="C46" s="319" t="s">
        <v>424</v>
      </c>
      <c r="D46" s="283">
        <v>3000000000</v>
      </c>
      <c r="E46" s="322">
        <f>SUM('ADICIONES  2021'!C46:N46)</f>
        <v>1592400000</v>
      </c>
      <c r="F46" s="279"/>
      <c r="G46" s="279"/>
      <c r="H46" s="279"/>
      <c r="I46" s="279"/>
      <c r="J46" s="279"/>
      <c r="K46" s="276">
        <f t="shared" si="1"/>
        <v>4592400000</v>
      </c>
      <c r="L46" s="279">
        <v>387155350</v>
      </c>
      <c r="M46" s="279">
        <v>385510900</v>
      </c>
      <c r="N46" s="279">
        <v>421700300</v>
      </c>
      <c r="O46" s="279">
        <v>434859000</v>
      </c>
      <c r="P46" s="279">
        <v>385099700</v>
      </c>
      <c r="Q46" s="279">
        <v>276530900</v>
      </c>
      <c r="R46" s="276">
        <f t="shared" si="9"/>
        <v>2290856150</v>
      </c>
      <c r="S46" s="279">
        <v>448945900</v>
      </c>
      <c r="T46" s="279">
        <v>435991400</v>
      </c>
      <c r="U46" s="279">
        <v>435734200</v>
      </c>
      <c r="V46" s="279">
        <v>422015700</v>
      </c>
      <c r="W46" s="279">
        <v>416961300</v>
      </c>
      <c r="X46" s="279">
        <v>394353600</v>
      </c>
      <c r="Y46" s="279"/>
      <c r="Z46" s="279"/>
      <c r="AA46" s="276">
        <f t="shared" si="24"/>
        <v>2554002100</v>
      </c>
      <c r="AB46" s="402">
        <f t="shared" si="12"/>
        <v>4844858250</v>
      </c>
      <c r="AC46" s="321">
        <f t="shared" si="13"/>
        <v>1.0549730533054611</v>
      </c>
    </row>
    <row r="47" spans="1:29" ht="25.5" x14ac:dyDescent="0.2">
      <c r="B47" s="323" t="s">
        <v>425</v>
      </c>
      <c r="C47" s="206" t="s">
        <v>181</v>
      </c>
      <c r="D47" s="324">
        <f>+D46*87.230682%</f>
        <v>2616920460</v>
      </c>
      <c r="E47" s="325">
        <f>SUM('ADICIONES  2021'!C47:N47)</f>
        <v>1389061380.168</v>
      </c>
      <c r="F47" s="277">
        <f t="shared" ref="F47:J47" si="97">+F46*87.230682%</f>
        <v>0</v>
      </c>
      <c r="G47" s="277">
        <f t="shared" si="97"/>
        <v>0</v>
      </c>
      <c r="H47" s="277">
        <f t="shared" si="97"/>
        <v>0</v>
      </c>
      <c r="I47" s="277">
        <f t="shared" si="97"/>
        <v>0</v>
      </c>
      <c r="J47" s="277">
        <f t="shared" si="97"/>
        <v>0</v>
      </c>
      <c r="K47" s="281">
        <f t="shared" si="1"/>
        <v>4005981840.1680002</v>
      </c>
      <c r="L47" s="277">
        <f t="shared" ref="L47:Q47" si="98">+L46*87.230682%</f>
        <v>337718252.20448703</v>
      </c>
      <c r="M47" s="277">
        <f t="shared" si="98"/>
        <v>336283787.25433803</v>
      </c>
      <c r="N47" s="277">
        <f t="shared" si="98"/>
        <v>367852047.686046</v>
      </c>
      <c r="O47" s="277">
        <f t="shared" si="98"/>
        <v>379330471.43838</v>
      </c>
      <c r="P47" s="277">
        <f t="shared" si="98"/>
        <v>335925094.68995404</v>
      </c>
      <c r="Q47" s="277">
        <f t="shared" si="98"/>
        <v>241219790.01073802</v>
      </c>
      <c r="R47" s="281">
        <f t="shared" si="9"/>
        <v>1998329443.2839432</v>
      </c>
      <c r="S47" s="277">
        <f t="shared" ref="S47:Z47" si="99">+S46*87.230682%</f>
        <v>391618570.38103801</v>
      </c>
      <c r="T47" s="277">
        <f t="shared" si="99"/>
        <v>380318271.68134803</v>
      </c>
      <c r="U47" s="277">
        <f t="shared" si="99"/>
        <v>380093914.36724401</v>
      </c>
      <c r="V47" s="277">
        <f t="shared" si="99"/>
        <v>368127173.257074</v>
      </c>
      <c r="W47" s="277">
        <f t="shared" si="99"/>
        <v>363718185.66606599</v>
      </c>
      <c r="X47" s="277">
        <f t="shared" si="99"/>
        <v>343997334.77155203</v>
      </c>
      <c r="Y47" s="277">
        <f t="shared" si="99"/>
        <v>0</v>
      </c>
      <c r="Z47" s="277">
        <f t="shared" si="99"/>
        <v>0</v>
      </c>
      <c r="AA47" s="281">
        <f t="shared" si="24"/>
        <v>2227873450.1243219</v>
      </c>
      <c r="AB47" s="403">
        <f t="shared" si="12"/>
        <v>4226202893.4082651</v>
      </c>
      <c r="AC47" s="326">
        <f t="shared" si="13"/>
        <v>1.0549730533054611</v>
      </c>
    </row>
    <row r="48" spans="1:29" ht="14.25" x14ac:dyDescent="0.2">
      <c r="B48" s="323" t="s">
        <v>426</v>
      </c>
      <c r="C48" s="206" t="s">
        <v>182</v>
      </c>
      <c r="D48" s="324">
        <f>+D46*0.1%</f>
        <v>3000000</v>
      </c>
      <c r="E48" s="325">
        <f>SUM('ADICIONES  2021'!C48:N48)</f>
        <v>1592400</v>
      </c>
      <c r="F48" s="277">
        <f t="shared" ref="F48:J48" si="100">+F46*0.1%</f>
        <v>0</v>
      </c>
      <c r="G48" s="277">
        <f t="shared" si="100"/>
        <v>0</v>
      </c>
      <c r="H48" s="277">
        <f t="shared" si="100"/>
        <v>0</v>
      </c>
      <c r="I48" s="277">
        <f t="shared" si="100"/>
        <v>0</v>
      </c>
      <c r="J48" s="277">
        <f t="shared" si="100"/>
        <v>0</v>
      </c>
      <c r="K48" s="281">
        <f t="shared" si="1"/>
        <v>4592400</v>
      </c>
      <c r="L48" s="277">
        <f t="shared" ref="L48:Q48" si="101">+L46*0.1%</f>
        <v>387155.35000000003</v>
      </c>
      <c r="M48" s="277">
        <f t="shared" si="101"/>
        <v>385510.9</v>
      </c>
      <c r="N48" s="277">
        <f t="shared" si="101"/>
        <v>421700.3</v>
      </c>
      <c r="O48" s="277">
        <f t="shared" si="101"/>
        <v>434859</v>
      </c>
      <c r="P48" s="277">
        <f t="shared" si="101"/>
        <v>385099.7</v>
      </c>
      <c r="Q48" s="277">
        <f t="shared" si="101"/>
        <v>276530.90000000002</v>
      </c>
      <c r="R48" s="281">
        <f t="shared" si="9"/>
        <v>2290856.15</v>
      </c>
      <c r="S48" s="277">
        <f t="shared" ref="S48:Z48" si="102">+S46*0.1%</f>
        <v>448945.9</v>
      </c>
      <c r="T48" s="277">
        <f t="shared" si="102"/>
        <v>435991.4</v>
      </c>
      <c r="U48" s="277">
        <f t="shared" si="102"/>
        <v>435734.2</v>
      </c>
      <c r="V48" s="277">
        <f t="shared" si="102"/>
        <v>422015.7</v>
      </c>
      <c r="W48" s="277">
        <f t="shared" si="102"/>
        <v>416961.3</v>
      </c>
      <c r="X48" s="277">
        <f t="shared" si="102"/>
        <v>394353.60000000003</v>
      </c>
      <c r="Y48" s="277">
        <f t="shared" si="102"/>
        <v>0</v>
      </c>
      <c r="Z48" s="277">
        <f t="shared" si="102"/>
        <v>0</v>
      </c>
      <c r="AA48" s="281">
        <f t="shared" si="24"/>
        <v>2554002.1</v>
      </c>
      <c r="AB48" s="403">
        <f t="shared" si="12"/>
        <v>4844858.25</v>
      </c>
      <c r="AC48" s="326">
        <f t="shared" si="13"/>
        <v>1.0549730533054611</v>
      </c>
    </row>
    <row r="49" spans="1:29" ht="14.25" x14ac:dyDescent="0.2">
      <c r="B49" s="323" t="s">
        <v>427</v>
      </c>
      <c r="C49" s="329" t="s">
        <v>183</v>
      </c>
      <c r="D49" s="324">
        <f>+D46*9.99%</f>
        <v>299700000</v>
      </c>
      <c r="E49" s="325">
        <f>SUM('ADICIONES  2021'!C49:N49)</f>
        <v>159080760</v>
      </c>
      <c r="F49" s="277">
        <f t="shared" ref="F49:J49" si="103">+F46*9.99%</f>
        <v>0</v>
      </c>
      <c r="G49" s="277">
        <f t="shared" si="103"/>
        <v>0</v>
      </c>
      <c r="H49" s="277">
        <f t="shared" si="103"/>
        <v>0</v>
      </c>
      <c r="I49" s="277">
        <f t="shared" si="103"/>
        <v>0</v>
      </c>
      <c r="J49" s="277">
        <f t="shared" si="103"/>
        <v>0</v>
      </c>
      <c r="K49" s="281">
        <f t="shared" si="1"/>
        <v>458780760</v>
      </c>
      <c r="L49" s="277">
        <f t="shared" ref="L49:Q49" si="104">+L46*9.99%</f>
        <v>38676819.465000004</v>
      </c>
      <c r="M49" s="277">
        <f t="shared" si="104"/>
        <v>38512538.910000004</v>
      </c>
      <c r="N49" s="277">
        <f t="shared" si="104"/>
        <v>42127859.969999999</v>
      </c>
      <c r="O49" s="277">
        <f t="shared" si="104"/>
        <v>43442414.100000001</v>
      </c>
      <c r="P49" s="277">
        <f t="shared" si="104"/>
        <v>38471460.030000001</v>
      </c>
      <c r="Q49" s="277">
        <f t="shared" si="104"/>
        <v>27625436.91</v>
      </c>
      <c r="R49" s="281">
        <f t="shared" si="9"/>
        <v>228856529.38499999</v>
      </c>
      <c r="S49" s="277">
        <f t="shared" ref="S49:Z49" si="105">+S46*9.99%</f>
        <v>44849695.410000004</v>
      </c>
      <c r="T49" s="277">
        <f t="shared" si="105"/>
        <v>43555540.859999999</v>
      </c>
      <c r="U49" s="277">
        <f t="shared" si="105"/>
        <v>43529846.579999998</v>
      </c>
      <c r="V49" s="277">
        <f t="shared" si="105"/>
        <v>42159368.43</v>
      </c>
      <c r="W49" s="277">
        <f t="shared" si="105"/>
        <v>41654433.870000005</v>
      </c>
      <c r="X49" s="277">
        <f t="shared" si="105"/>
        <v>39395924.640000001</v>
      </c>
      <c r="Y49" s="277">
        <f t="shared" si="105"/>
        <v>0</v>
      </c>
      <c r="Z49" s="277">
        <f t="shared" si="105"/>
        <v>0</v>
      </c>
      <c r="AA49" s="281">
        <f t="shared" si="24"/>
        <v>255144809.79000002</v>
      </c>
      <c r="AB49" s="403">
        <f t="shared" si="12"/>
        <v>484001339.17500001</v>
      </c>
      <c r="AC49" s="326">
        <f t="shared" si="13"/>
        <v>1.0549730533054613</v>
      </c>
    </row>
    <row r="50" spans="1:29" ht="14.25" x14ac:dyDescent="0.2">
      <c r="B50" s="323" t="s">
        <v>428</v>
      </c>
      <c r="C50" s="206" t="s">
        <v>184</v>
      </c>
      <c r="D50" s="324">
        <f>+D46*1.7982%</f>
        <v>53946000.000000007</v>
      </c>
      <c r="E50" s="325">
        <f>SUM('ADICIONES  2021'!C50:N50)</f>
        <v>28634536.800000001</v>
      </c>
      <c r="F50" s="277">
        <f t="shared" ref="F50:J50" si="106">+F46*1.7982%</f>
        <v>0</v>
      </c>
      <c r="G50" s="277">
        <f t="shared" si="106"/>
        <v>0</v>
      </c>
      <c r="H50" s="277">
        <f t="shared" si="106"/>
        <v>0</v>
      </c>
      <c r="I50" s="277">
        <f t="shared" si="106"/>
        <v>0</v>
      </c>
      <c r="J50" s="277">
        <f t="shared" si="106"/>
        <v>0</v>
      </c>
      <c r="K50" s="281">
        <f t="shared" si="1"/>
        <v>82580536.800000012</v>
      </c>
      <c r="L50" s="277">
        <f t="shared" ref="L50:Q50" si="107">+L46*1.7982%</f>
        <v>6961827.5037000002</v>
      </c>
      <c r="M50" s="277">
        <f t="shared" si="107"/>
        <v>6932257.003800001</v>
      </c>
      <c r="N50" s="277">
        <f t="shared" si="107"/>
        <v>7583014.7946000006</v>
      </c>
      <c r="O50" s="277">
        <f t="shared" si="107"/>
        <v>7819634.5380000006</v>
      </c>
      <c r="P50" s="277">
        <f t="shared" si="107"/>
        <v>6924862.8054000009</v>
      </c>
      <c r="Q50" s="277">
        <f t="shared" si="107"/>
        <v>4972578.6438000007</v>
      </c>
      <c r="R50" s="281">
        <f t="shared" si="9"/>
        <v>41194175.289300002</v>
      </c>
      <c r="S50" s="277">
        <f t="shared" ref="S50:Z50" si="108">+S46*1.7982%</f>
        <v>8072945.1738000009</v>
      </c>
      <c r="T50" s="277">
        <f t="shared" si="108"/>
        <v>7839997.3548000008</v>
      </c>
      <c r="U50" s="277">
        <f t="shared" si="108"/>
        <v>7835372.3844000008</v>
      </c>
      <c r="V50" s="277">
        <f t="shared" si="108"/>
        <v>7588686.317400001</v>
      </c>
      <c r="W50" s="277">
        <f t="shared" si="108"/>
        <v>7497798.0966000007</v>
      </c>
      <c r="X50" s="277">
        <f t="shared" si="108"/>
        <v>7091266.4352000002</v>
      </c>
      <c r="Y50" s="277">
        <f t="shared" si="108"/>
        <v>0</v>
      </c>
      <c r="Z50" s="277">
        <f t="shared" si="108"/>
        <v>0</v>
      </c>
      <c r="AA50" s="281">
        <f t="shared" si="24"/>
        <v>45926065.762200005</v>
      </c>
      <c r="AB50" s="403">
        <f t="shared" si="12"/>
        <v>87120241.051500008</v>
      </c>
      <c r="AC50" s="326">
        <f t="shared" si="13"/>
        <v>1.0549730533054611</v>
      </c>
    </row>
    <row r="51" spans="1:29" ht="25.5" x14ac:dyDescent="0.2">
      <c r="B51" s="323" t="s">
        <v>429</v>
      </c>
      <c r="C51" s="206" t="s">
        <v>185</v>
      </c>
      <c r="D51" s="324">
        <f>+D46*0.881118%</f>
        <v>26433540</v>
      </c>
      <c r="E51" s="325">
        <f>SUM('ADICIONES  2021'!C51:N51)</f>
        <v>14030923.032</v>
      </c>
      <c r="F51" s="277">
        <f t="shared" ref="F51:J51" si="109">+F46*0.881118%</f>
        <v>0</v>
      </c>
      <c r="G51" s="277">
        <f t="shared" si="109"/>
        <v>0</v>
      </c>
      <c r="H51" s="277">
        <f t="shared" si="109"/>
        <v>0</v>
      </c>
      <c r="I51" s="277">
        <f t="shared" si="109"/>
        <v>0</v>
      </c>
      <c r="J51" s="277">
        <f t="shared" si="109"/>
        <v>0</v>
      </c>
      <c r="K51" s="281">
        <f t="shared" si="1"/>
        <v>40464463.031999998</v>
      </c>
      <c r="L51" s="277">
        <f t="shared" ref="L51:Q51" si="110">+L46*0.881118%</f>
        <v>3411295.4768130002</v>
      </c>
      <c r="M51" s="277">
        <f t="shared" si="110"/>
        <v>3396805.9318619999</v>
      </c>
      <c r="N51" s="277">
        <f t="shared" si="110"/>
        <v>3715677.2493540002</v>
      </c>
      <c r="O51" s="277">
        <f t="shared" si="110"/>
        <v>3831620.92362</v>
      </c>
      <c r="P51" s="277">
        <f t="shared" si="110"/>
        <v>3393182.774646</v>
      </c>
      <c r="Q51" s="277">
        <f t="shared" si="110"/>
        <v>2436563.5354619999</v>
      </c>
      <c r="R51" s="281">
        <f t="shared" si="9"/>
        <v>20185145.891757</v>
      </c>
      <c r="S51" s="277">
        <f t="shared" ref="S51:Z51" si="111">+S46*0.881118%</f>
        <v>3955743.1351620001</v>
      </c>
      <c r="T51" s="277">
        <f t="shared" si="111"/>
        <v>3841598.7038520002</v>
      </c>
      <c r="U51" s="277">
        <f t="shared" si="111"/>
        <v>3839332.4683559998</v>
      </c>
      <c r="V51" s="277">
        <f t="shared" si="111"/>
        <v>3718456.2955260002</v>
      </c>
      <c r="W51" s="277">
        <f t="shared" si="111"/>
        <v>3673921.067334</v>
      </c>
      <c r="X51" s="277">
        <f t="shared" si="111"/>
        <v>3474720.5532479999</v>
      </c>
      <c r="Y51" s="277">
        <f t="shared" si="111"/>
        <v>0</v>
      </c>
      <c r="Z51" s="277">
        <f t="shared" si="111"/>
        <v>0</v>
      </c>
      <c r="AA51" s="281">
        <f t="shared" si="24"/>
        <v>22503772.223478001</v>
      </c>
      <c r="AB51" s="403">
        <f t="shared" si="12"/>
        <v>42688918.115235001</v>
      </c>
      <c r="AC51" s="326">
        <f t="shared" si="13"/>
        <v>1.0549730533054613</v>
      </c>
    </row>
    <row r="52" spans="1:29" s="61" customFormat="1" ht="25.5" x14ac:dyDescent="0.2">
      <c r="A52" s="421"/>
      <c r="B52" s="318" t="s">
        <v>430</v>
      </c>
      <c r="C52" s="319" t="s">
        <v>431</v>
      </c>
      <c r="D52" s="283">
        <f>+D53+D66</f>
        <v>11210000000</v>
      </c>
      <c r="E52" s="322">
        <f>SUM('ADICIONES  2021'!C52:N52)</f>
        <v>7806000000</v>
      </c>
      <c r="F52" s="275">
        <f t="shared" ref="F52:J52" si="112">+F53+F66</f>
        <v>0</v>
      </c>
      <c r="G52" s="275">
        <f t="shared" si="112"/>
        <v>0</v>
      </c>
      <c r="H52" s="275">
        <f t="shared" si="112"/>
        <v>0</v>
      </c>
      <c r="I52" s="275">
        <f t="shared" si="112"/>
        <v>0</v>
      </c>
      <c r="J52" s="275">
        <f t="shared" si="112"/>
        <v>0</v>
      </c>
      <c r="K52" s="276">
        <f t="shared" si="1"/>
        <v>19016000000</v>
      </c>
      <c r="L52" s="275">
        <f t="shared" ref="L52:Q52" si="113">+L53+L66</f>
        <v>2320488617</v>
      </c>
      <c r="M52" s="275">
        <f t="shared" si="113"/>
        <v>795897270</v>
      </c>
      <c r="N52" s="275">
        <f t="shared" si="113"/>
        <v>1526197728</v>
      </c>
      <c r="O52" s="275">
        <f t="shared" si="113"/>
        <v>1066083240</v>
      </c>
      <c r="P52" s="275">
        <f t="shared" si="113"/>
        <v>1066021600</v>
      </c>
      <c r="Q52" s="275">
        <f t="shared" si="113"/>
        <v>992006400</v>
      </c>
      <c r="R52" s="276">
        <f t="shared" si="9"/>
        <v>7766694855</v>
      </c>
      <c r="S52" s="275">
        <f t="shared" ref="S52:Z52" si="114">+S53+S66</f>
        <v>1459532200</v>
      </c>
      <c r="T52" s="275">
        <f t="shared" si="114"/>
        <v>680629973</v>
      </c>
      <c r="U52" s="275">
        <f t="shared" si="114"/>
        <v>2910250461</v>
      </c>
      <c r="V52" s="275">
        <f t="shared" si="114"/>
        <v>2994058000</v>
      </c>
      <c r="W52" s="275">
        <f t="shared" si="114"/>
        <v>2344720204</v>
      </c>
      <c r="X52" s="275">
        <f t="shared" si="114"/>
        <v>3445426771</v>
      </c>
      <c r="Y52" s="275">
        <f t="shared" si="114"/>
        <v>0</v>
      </c>
      <c r="Z52" s="275">
        <f t="shared" si="114"/>
        <v>0</v>
      </c>
      <c r="AA52" s="276">
        <f t="shared" si="24"/>
        <v>13834617609</v>
      </c>
      <c r="AB52" s="402">
        <f t="shared" si="12"/>
        <v>21601312464</v>
      </c>
      <c r="AC52" s="321">
        <f t="shared" si="13"/>
        <v>1.135954588977703</v>
      </c>
    </row>
    <row r="53" spans="1:29" s="61" customFormat="1" ht="15.75" x14ac:dyDescent="0.2">
      <c r="A53" s="421">
        <v>1</v>
      </c>
      <c r="B53" s="318" t="s">
        <v>432</v>
      </c>
      <c r="C53" s="319" t="s">
        <v>433</v>
      </c>
      <c r="D53" s="283">
        <f>+D54+D60</f>
        <v>7010000000</v>
      </c>
      <c r="E53" s="322">
        <f>SUM('ADICIONES  2021'!C53:N53)</f>
        <v>3850000000</v>
      </c>
      <c r="F53" s="275">
        <f t="shared" ref="F53:J53" si="115">+F54+F60</f>
        <v>0</v>
      </c>
      <c r="G53" s="275">
        <f t="shared" si="115"/>
        <v>0</v>
      </c>
      <c r="H53" s="275">
        <f t="shared" si="115"/>
        <v>0</v>
      </c>
      <c r="I53" s="275">
        <f t="shared" si="115"/>
        <v>0</v>
      </c>
      <c r="J53" s="275">
        <f t="shared" si="115"/>
        <v>0</v>
      </c>
      <c r="K53" s="276">
        <f t="shared" si="1"/>
        <v>10860000000</v>
      </c>
      <c r="L53" s="275">
        <f t="shared" ref="L53:Q53" si="116">+L54+L60</f>
        <v>1438428374</v>
      </c>
      <c r="M53" s="275">
        <f t="shared" si="116"/>
        <v>531566428</v>
      </c>
      <c r="N53" s="275">
        <f t="shared" si="116"/>
        <v>1022861813</v>
      </c>
      <c r="O53" s="275">
        <f t="shared" si="116"/>
        <v>695531310</v>
      </c>
      <c r="P53" s="275">
        <f t="shared" si="116"/>
        <v>694761809</v>
      </c>
      <c r="Q53" s="275">
        <f t="shared" si="116"/>
        <v>569638842</v>
      </c>
      <c r="R53" s="276">
        <f t="shared" si="9"/>
        <v>4952788576</v>
      </c>
      <c r="S53" s="275">
        <f t="shared" ref="S53:Z53" si="117">+S54+S60</f>
        <v>975943549</v>
      </c>
      <c r="T53" s="275">
        <f t="shared" si="117"/>
        <v>281021182</v>
      </c>
      <c r="U53" s="275">
        <f t="shared" si="117"/>
        <v>1720647166</v>
      </c>
      <c r="V53" s="275">
        <f t="shared" si="117"/>
        <v>1623408919</v>
      </c>
      <c r="W53" s="275">
        <f t="shared" si="117"/>
        <v>947940927</v>
      </c>
      <c r="X53" s="275">
        <f t="shared" si="117"/>
        <v>1960549939</v>
      </c>
      <c r="Y53" s="275">
        <f t="shared" si="117"/>
        <v>0</v>
      </c>
      <c r="Z53" s="275">
        <f t="shared" si="117"/>
        <v>0</v>
      </c>
      <c r="AA53" s="276">
        <f t="shared" si="24"/>
        <v>7509511682</v>
      </c>
      <c r="AB53" s="402">
        <f t="shared" si="12"/>
        <v>12462300258</v>
      </c>
      <c r="AC53" s="321">
        <f t="shared" si="13"/>
        <v>1.1475414602209946</v>
      </c>
    </row>
    <row r="54" spans="1:29" s="61" customFormat="1" ht="15.75" x14ac:dyDescent="0.2">
      <c r="A54" s="421">
        <v>1</v>
      </c>
      <c r="B54" s="318" t="s">
        <v>434</v>
      </c>
      <c r="C54" s="319" t="s">
        <v>435</v>
      </c>
      <c r="D54" s="330">
        <v>10000000</v>
      </c>
      <c r="E54" s="322">
        <f>SUM('ADICIONES  2021'!C54:N54)</f>
        <v>0</v>
      </c>
      <c r="F54" s="279"/>
      <c r="G54" s="279"/>
      <c r="H54" s="279"/>
      <c r="I54" s="279"/>
      <c r="J54" s="279"/>
      <c r="K54" s="276">
        <f t="shared" si="1"/>
        <v>10000000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6">
        <f t="shared" si="9"/>
        <v>0</v>
      </c>
      <c r="S54" s="279">
        <v>0</v>
      </c>
      <c r="T54" s="279">
        <v>0</v>
      </c>
      <c r="U54" s="279">
        <v>0</v>
      </c>
      <c r="V54" s="279">
        <v>0</v>
      </c>
      <c r="W54" s="279"/>
      <c r="X54" s="279">
        <v>0</v>
      </c>
      <c r="Y54" s="279"/>
      <c r="Z54" s="279"/>
      <c r="AA54" s="276">
        <f t="shared" si="24"/>
        <v>0</v>
      </c>
      <c r="AB54" s="402">
        <f t="shared" si="12"/>
        <v>0</v>
      </c>
      <c r="AC54" s="321">
        <f t="shared" si="13"/>
        <v>0</v>
      </c>
    </row>
    <row r="55" spans="1:29" ht="25.5" x14ac:dyDescent="0.2">
      <c r="B55" s="323" t="s">
        <v>436</v>
      </c>
      <c r="C55" s="206" t="s">
        <v>131</v>
      </c>
      <c r="D55" s="324">
        <f>+D54*87.230682%</f>
        <v>8723068.2000000011</v>
      </c>
      <c r="E55" s="325">
        <f>SUM('ADICIONES  2021'!C55:N55)</f>
        <v>0</v>
      </c>
      <c r="F55" s="277">
        <f t="shared" ref="F55:J55" si="118">+F54*87.230682%</f>
        <v>0</v>
      </c>
      <c r="G55" s="277">
        <f t="shared" si="118"/>
        <v>0</v>
      </c>
      <c r="H55" s="277">
        <f t="shared" si="118"/>
        <v>0</v>
      </c>
      <c r="I55" s="277">
        <f t="shared" si="118"/>
        <v>0</v>
      </c>
      <c r="J55" s="277">
        <f t="shared" si="118"/>
        <v>0</v>
      </c>
      <c r="K55" s="281">
        <f t="shared" si="1"/>
        <v>8723068.2000000011</v>
      </c>
      <c r="L55" s="277">
        <f t="shared" ref="L55:Q55" si="119">+L54*87.230682%</f>
        <v>0</v>
      </c>
      <c r="M55" s="277">
        <f t="shared" si="119"/>
        <v>0</v>
      </c>
      <c r="N55" s="277">
        <f t="shared" si="119"/>
        <v>0</v>
      </c>
      <c r="O55" s="277">
        <f t="shared" si="119"/>
        <v>0</v>
      </c>
      <c r="P55" s="277">
        <f t="shared" si="119"/>
        <v>0</v>
      </c>
      <c r="Q55" s="277">
        <f t="shared" si="119"/>
        <v>0</v>
      </c>
      <c r="R55" s="281">
        <f t="shared" si="9"/>
        <v>0</v>
      </c>
      <c r="S55" s="277">
        <f t="shared" ref="S55:Z55" si="120">+S54*87.230682%</f>
        <v>0</v>
      </c>
      <c r="T55" s="277">
        <f t="shared" si="120"/>
        <v>0</v>
      </c>
      <c r="U55" s="277">
        <f t="shared" si="120"/>
        <v>0</v>
      </c>
      <c r="V55" s="277">
        <f t="shared" si="120"/>
        <v>0</v>
      </c>
      <c r="W55" s="277">
        <f t="shared" si="120"/>
        <v>0</v>
      </c>
      <c r="X55" s="277">
        <f t="shared" si="120"/>
        <v>0</v>
      </c>
      <c r="Y55" s="277">
        <f t="shared" si="120"/>
        <v>0</v>
      </c>
      <c r="Z55" s="277">
        <f t="shared" si="120"/>
        <v>0</v>
      </c>
      <c r="AA55" s="281">
        <f t="shared" si="24"/>
        <v>0</v>
      </c>
      <c r="AB55" s="403">
        <f t="shared" si="12"/>
        <v>0</v>
      </c>
      <c r="AC55" s="326">
        <f t="shared" si="13"/>
        <v>0</v>
      </c>
    </row>
    <row r="56" spans="1:29" ht="25.5" x14ac:dyDescent="0.2">
      <c r="B56" s="323" t="s">
        <v>437</v>
      </c>
      <c r="C56" s="329" t="s">
        <v>132</v>
      </c>
      <c r="D56" s="324">
        <f>+D54*0.1%</f>
        <v>10000</v>
      </c>
      <c r="E56" s="325">
        <f>SUM('ADICIONES  2021'!C56:N56)</f>
        <v>0</v>
      </c>
      <c r="F56" s="277">
        <f t="shared" ref="F56:J56" si="121">+F54*0.1%</f>
        <v>0</v>
      </c>
      <c r="G56" s="277">
        <f t="shared" si="121"/>
        <v>0</v>
      </c>
      <c r="H56" s="277">
        <f t="shared" si="121"/>
        <v>0</v>
      </c>
      <c r="I56" s="277">
        <f t="shared" si="121"/>
        <v>0</v>
      </c>
      <c r="J56" s="277">
        <f t="shared" si="121"/>
        <v>0</v>
      </c>
      <c r="K56" s="281">
        <f t="shared" si="1"/>
        <v>10000</v>
      </c>
      <c r="L56" s="277">
        <f t="shared" ref="L56:Q56" si="122">+L54*0.1%</f>
        <v>0</v>
      </c>
      <c r="M56" s="277">
        <f t="shared" si="122"/>
        <v>0</v>
      </c>
      <c r="N56" s="277">
        <f t="shared" si="122"/>
        <v>0</v>
      </c>
      <c r="O56" s="277">
        <f t="shared" si="122"/>
        <v>0</v>
      </c>
      <c r="P56" s="277">
        <f t="shared" si="122"/>
        <v>0</v>
      </c>
      <c r="Q56" s="277">
        <f t="shared" si="122"/>
        <v>0</v>
      </c>
      <c r="R56" s="281">
        <f t="shared" si="9"/>
        <v>0</v>
      </c>
      <c r="S56" s="277">
        <f t="shared" ref="S56:Z56" si="123">+S54*0.1%</f>
        <v>0</v>
      </c>
      <c r="T56" s="277">
        <f t="shared" si="123"/>
        <v>0</v>
      </c>
      <c r="U56" s="277">
        <f t="shared" si="123"/>
        <v>0</v>
      </c>
      <c r="V56" s="277">
        <f t="shared" si="123"/>
        <v>0</v>
      </c>
      <c r="W56" s="277">
        <f t="shared" si="123"/>
        <v>0</v>
      </c>
      <c r="X56" s="277">
        <f t="shared" si="123"/>
        <v>0</v>
      </c>
      <c r="Y56" s="277">
        <f t="shared" si="123"/>
        <v>0</v>
      </c>
      <c r="Z56" s="277">
        <f t="shared" si="123"/>
        <v>0</v>
      </c>
      <c r="AA56" s="281">
        <f t="shared" si="24"/>
        <v>0</v>
      </c>
      <c r="AB56" s="403">
        <f t="shared" si="12"/>
        <v>0</v>
      </c>
      <c r="AC56" s="326">
        <f t="shared" si="13"/>
        <v>0</v>
      </c>
    </row>
    <row r="57" spans="1:29" ht="25.5" x14ac:dyDescent="0.2">
      <c r="B57" s="323" t="s">
        <v>438</v>
      </c>
      <c r="C57" s="206" t="s">
        <v>133</v>
      </c>
      <c r="D57" s="324">
        <f>+D54*9.99%</f>
        <v>999000</v>
      </c>
      <c r="E57" s="325">
        <f>SUM('ADICIONES  2021'!C57:N57)</f>
        <v>0</v>
      </c>
      <c r="F57" s="277">
        <f t="shared" ref="F57:J57" si="124">+F54*9.99%</f>
        <v>0</v>
      </c>
      <c r="G57" s="277">
        <f t="shared" si="124"/>
        <v>0</v>
      </c>
      <c r="H57" s="277">
        <f t="shared" si="124"/>
        <v>0</v>
      </c>
      <c r="I57" s="277">
        <f t="shared" si="124"/>
        <v>0</v>
      </c>
      <c r="J57" s="277">
        <f t="shared" si="124"/>
        <v>0</v>
      </c>
      <c r="K57" s="281">
        <f t="shared" si="1"/>
        <v>999000</v>
      </c>
      <c r="L57" s="277">
        <f t="shared" ref="L57:Q57" si="125">+L54*9.99%</f>
        <v>0</v>
      </c>
      <c r="M57" s="277">
        <f t="shared" si="125"/>
        <v>0</v>
      </c>
      <c r="N57" s="277">
        <f t="shared" si="125"/>
        <v>0</v>
      </c>
      <c r="O57" s="277">
        <f t="shared" si="125"/>
        <v>0</v>
      </c>
      <c r="P57" s="277">
        <f t="shared" si="125"/>
        <v>0</v>
      </c>
      <c r="Q57" s="277">
        <f t="shared" si="125"/>
        <v>0</v>
      </c>
      <c r="R57" s="281">
        <f t="shared" si="9"/>
        <v>0</v>
      </c>
      <c r="S57" s="277">
        <f t="shared" ref="S57:Z57" si="126">+S54*9.99%</f>
        <v>0</v>
      </c>
      <c r="T57" s="277">
        <f t="shared" si="126"/>
        <v>0</v>
      </c>
      <c r="U57" s="277">
        <f t="shared" si="126"/>
        <v>0</v>
      </c>
      <c r="V57" s="277">
        <f t="shared" si="126"/>
        <v>0</v>
      </c>
      <c r="W57" s="277">
        <f t="shared" si="126"/>
        <v>0</v>
      </c>
      <c r="X57" s="277">
        <f t="shared" si="126"/>
        <v>0</v>
      </c>
      <c r="Y57" s="277">
        <f t="shared" si="126"/>
        <v>0</v>
      </c>
      <c r="Z57" s="277">
        <f t="shared" si="126"/>
        <v>0</v>
      </c>
      <c r="AA57" s="281">
        <f t="shared" si="24"/>
        <v>0</v>
      </c>
      <c r="AB57" s="403">
        <f t="shared" si="12"/>
        <v>0</v>
      </c>
      <c r="AC57" s="326">
        <f t="shared" si="13"/>
        <v>0</v>
      </c>
    </row>
    <row r="58" spans="1:29" ht="25.5" x14ac:dyDescent="0.2">
      <c r="B58" s="323" t="s">
        <v>439</v>
      </c>
      <c r="C58" s="206" t="s">
        <v>134</v>
      </c>
      <c r="D58" s="324">
        <f>+D54*1.7982%</f>
        <v>179820</v>
      </c>
      <c r="E58" s="325">
        <f>SUM('ADICIONES  2021'!C58:N58)</f>
        <v>0</v>
      </c>
      <c r="F58" s="277">
        <f t="shared" ref="F58:J58" si="127">+F54*1.7982%</f>
        <v>0</v>
      </c>
      <c r="G58" s="277">
        <f t="shared" si="127"/>
        <v>0</v>
      </c>
      <c r="H58" s="277">
        <f t="shared" si="127"/>
        <v>0</v>
      </c>
      <c r="I58" s="277">
        <f t="shared" si="127"/>
        <v>0</v>
      </c>
      <c r="J58" s="277">
        <f t="shared" si="127"/>
        <v>0</v>
      </c>
      <c r="K58" s="281">
        <f t="shared" si="1"/>
        <v>179820</v>
      </c>
      <c r="L58" s="277">
        <f t="shared" ref="L58:Q58" si="128">+L54*1.7982%</f>
        <v>0</v>
      </c>
      <c r="M58" s="277">
        <f t="shared" si="128"/>
        <v>0</v>
      </c>
      <c r="N58" s="277">
        <f t="shared" si="128"/>
        <v>0</v>
      </c>
      <c r="O58" s="277">
        <f t="shared" si="128"/>
        <v>0</v>
      </c>
      <c r="P58" s="277">
        <f t="shared" si="128"/>
        <v>0</v>
      </c>
      <c r="Q58" s="277">
        <f t="shared" si="128"/>
        <v>0</v>
      </c>
      <c r="R58" s="281">
        <f t="shared" si="9"/>
        <v>0</v>
      </c>
      <c r="S58" s="277">
        <f t="shared" ref="S58:Z58" si="129">+S54*1.7982%</f>
        <v>0</v>
      </c>
      <c r="T58" s="277">
        <f t="shared" si="129"/>
        <v>0</v>
      </c>
      <c r="U58" s="277">
        <f t="shared" si="129"/>
        <v>0</v>
      </c>
      <c r="V58" s="277">
        <f t="shared" si="129"/>
        <v>0</v>
      </c>
      <c r="W58" s="277">
        <f t="shared" si="129"/>
        <v>0</v>
      </c>
      <c r="X58" s="277">
        <f t="shared" si="129"/>
        <v>0</v>
      </c>
      <c r="Y58" s="277">
        <f t="shared" si="129"/>
        <v>0</v>
      </c>
      <c r="Z58" s="277">
        <f t="shared" si="129"/>
        <v>0</v>
      </c>
      <c r="AA58" s="281">
        <f t="shared" si="24"/>
        <v>0</v>
      </c>
      <c r="AB58" s="403">
        <f t="shared" si="12"/>
        <v>0</v>
      </c>
      <c r="AC58" s="326">
        <f t="shared" si="13"/>
        <v>0</v>
      </c>
    </row>
    <row r="59" spans="1:29" ht="38.25" x14ac:dyDescent="0.2">
      <c r="B59" s="323" t="s">
        <v>440</v>
      </c>
      <c r="C59" s="206" t="s">
        <v>135</v>
      </c>
      <c r="D59" s="324">
        <f>+D54*0.881118%</f>
        <v>88111.8</v>
      </c>
      <c r="E59" s="325">
        <f>SUM('ADICIONES  2021'!C59:N59)</f>
        <v>0</v>
      </c>
      <c r="F59" s="277">
        <f t="shared" ref="F59:J59" si="130">+F54*0.881118%</f>
        <v>0</v>
      </c>
      <c r="G59" s="277">
        <f t="shared" si="130"/>
        <v>0</v>
      </c>
      <c r="H59" s="277">
        <f t="shared" si="130"/>
        <v>0</v>
      </c>
      <c r="I59" s="277">
        <f t="shared" si="130"/>
        <v>0</v>
      </c>
      <c r="J59" s="277">
        <f t="shared" si="130"/>
        <v>0</v>
      </c>
      <c r="K59" s="281">
        <f t="shared" si="1"/>
        <v>88111.8</v>
      </c>
      <c r="L59" s="277">
        <f t="shared" ref="L59:Q59" si="131">+L54*0.881118%</f>
        <v>0</v>
      </c>
      <c r="M59" s="277">
        <f t="shared" si="131"/>
        <v>0</v>
      </c>
      <c r="N59" s="277">
        <f t="shared" si="131"/>
        <v>0</v>
      </c>
      <c r="O59" s="277">
        <f t="shared" si="131"/>
        <v>0</v>
      </c>
      <c r="P59" s="277">
        <f t="shared" si="131"/>
        <v>0</v>
      </c>
      <c r="Q59" s="277">
        <f t="shared" si="131"/>
        <v>0</v>
      </c>
      <c r="R59" s="281">
        <f t="shared" si="9"/>
        <v>0</v>
      </c>
      <c r="S59" s="277">
        <f t="shared" ref="S59:Z59" si="132">+S54*0.881118%</f>
        <v>0</v>
      </c>
      <c r="T59" s="277">
        <f t="shared" si="132"/>
        <v>0</v>
      </c>
      <c r="U59" s="277">
        <f t="shared" si="132"/>
        <v>0</v>
      </c>
      <c r="V59" s="277">
        <f t="shared" si="132"/>
        <v>0</v>
      </c>
      <c r="W59" s="277">
        <f t="shared" si="132"/>
        <v>0</v>
      </c>
      <c r="X59" s="277">
        <f t="shared" si="132"/>
        <v>0</v>
      </c>
      <c r="Y59" s="277">
        <f t="shared" si="132"/>
        <v>0</v>
      </c>
      <c r="Z59" s="277">
        <f t="shared" si="132"/>
        <v>0</v>
      </c>
      <c r="AA59" s="281">
        <f t="shared" si="24"/>
        <v>0</v>
      </c>
      <c r="AB59" s="403">
        <f t="shared" si="12"/>
        <v>0</v>
      </c>
      <c r="AC59" s="326">
        <f t="shared" si="13"/>
        <v>0</v>
      </c>
    </row>
    <row r="60" spans="1:29" s="61" customFormat="1" ht="15.75" x14ac:dyDescent="0.2">
      <c r="A60" s="421">
        <v>1</v>
      </c>
      <c r="B60" s="318" t="s">
        <v>441</v>
      </c>
      <c r="C60" s="319" t="s">
        <v>442</v>
      </c>
      <c r="D60" s="331">
        <v>7000000000</v>
      </c>
      <c r="E60" s="322">
        <f>SUM('ADICIONES  2021'!C60:N60)</f>
        <v>3850000000</v>
      </c>
      <c r="F60" s="276"/>
      <c r="G60" s="276"/>
      <c r="H60" s="276"/>
      <c r="I60" s="276"/>
      <c r="J60" s="276"/>
      <c r="K60" s="276">
        <f t="shared" si="1"/>
        <v>10850000000</v>
      </c>
      <c r="L60" s="276">
        <v>1438428374</v>
      </c>
      <c r="M60" s="276">
        <v>531566428</v>
      </c>
      <c r="N60" s="276">
        <v>1022861813</v>
      </c>
      <c r="O60" s="276">
        <v>695531310</v>
      </c>
      <c r="P60" s="276">
        <v>694761809</v>
      </c>
      <c r="Q60" s="276">
        <v>569638842</v>
      </c>
      <c r="R60" s="276">
        <f t="shared" si="9"/>
        <v>4952788576</v>
      </c>
      <c r="S60" s="276">
        <v>975943549</v>
      </c>
      <c r="T60" s="276">
        <v>281021182</v>
      </c>
      <c r="U60" s="276">
        <v>1720647166</v>
      </c>
      <c r="V60" s="276">
        <v>1623408919</v>
      </c>
      <c r="W60" s="276">
        <v>947940927</v>
      </c>
      <c r="X60" s="276">
        <v>1960549939</v>
      </c>
      <c r="Y60" s="276"/>
      <c r="Z60" s="276"/>
      <c r="AA60" s="276">
        <f t="shared" si="24"/>
        <v>7509511682</v>
      </c>
      <c r="AB60" s="402">
        <f t="shared" si="12"/>
        <v>12462300258</v>
      </c>
      <c r="AC60" s="321">
        <f t="shared" si="13"/>
        <v>1.1485991021198156</v>
      </c>
    </row>
    <row r="61" spans="1:29" ht="25.5" x14ac:dyDescent="0.2">
      <c r="B61" s="323" t="s">
        <v>443</v>
      </c>
      <c r="C61" s="206" t="s">
        <v>136</v>
      </c>
      <c r="D61" s="324">
        <f>+D60*87.230682%</f>
        <v>6106147740</v>
      </c>
      <c r="E61" s="325">
        <f>SUM('ADICIONES  2021'!C61:N61)</f>
        <v>3358381257</v>
      </c>
      <c r="F61" s="277">
        <f t="shared" ref="F61:J61" si="133">+F60*87.230682%</f>
        <v>0</v>
      </c>
      <c r="G61" s="277">
        <f t="shared" si="133"/>
        <v>0</v>
      </c>
      <c r="H61" s="277">
        <f t="shared" si="133"/>
        <v>0</v>
      </c>
      <c r="I61" s="277">
        <f t="shared" si="133"/>
        <v>0</v>
      </c>
      <c r="J61" s="277">
        <f t="shared" si="133"/>
        <v>0</v>
      </c>
      <c r="K61" s="281">
        <f t="shared" si="1"/>
        <v>9464528997</v>
      </c>
      <c r="L61" s="277">
        <f t="shared" ref="L61:Q61" si="134">+L60*87.230682%</f>
        <v>1254750880.7217107</v>
      </c>
      <c r="M61" s="277">
        <f t="shared" si="134"/>
        <v>463689020.42743897</v>
      </c>
      <c r="N61" s="277">
        <f t="shared" si="134"/>
        <v>892249335.39746475</v>
      </c>
      <c r="O61" s="277">
        <f t="shared" si="134"/>
        <v>606716705.23653424</v>
      </c>
      <c r="P61" s="277">
        <f t="shared" si="134"/>
        <v>606045464.26623738</v>
      </c>
      <c r="Q61" s="277">
        <f t="shared" si="134"/>
        <v>496899846.81350249</v>
      </c>
      <c r="R61" s="281">
        <f t="shared" si="9"/>
        <v>4320351252.8628883</v>
      </c>
      <c r="S61" s="277">
        <f t="shared" ref="S61:Z61" si="135">+S60*87.230682%</f>
        <v>851322213.72770417</v>
      </c>
      <c r="T61" s="277">
        <f t="shared" si="135"/>
        <v>245136693.62306124</v>
      </c>
      <c r="U61" s="277">
        <f t="shared" si="135"/>
        <v>1500932257.7154722</v>
      </c>
      <c r="V61" s="277">
        <f t="shared" si="135"/>
        <v>1416110671.6925275</v>
      </c>
      <c r="W61" s="277">
        <f t="shared" si="135"/>
        <v>826895335.5792222</v>
      </c>
      <c r="X61" s="277">
        <f t="shared" si="135"/>
        <v>1710201082.740284</v>
      </c>
      <c r="Y61" s="277">
        <f t="shared" si="135"/>
        <v>0</v>
      </c>
      <c r="Z61" s="277">
        <f t="shared" si="135"/>
        <v>0</v>
      </c>
      <c r="AA61" s="281">
        <f t="shared" si="24"/>
        <v>6550598255.0782719</v>
      </c>
      <c r="AB61" s="403">
        <f t="shared" si="12"/>
        <v>10870949507.94116</v>
      </c>
      <c r="AC61" s="326">
        <f t="shared" si="13"/>
        <v>1.1485991021198156</v>
      </c>
    </row>
    <row r="62" spans="1:29" ht="25.5" x14ac:dyDescent="0.2">
      <c r="B62" s="323" t="s">
        <v>444</v>
      </c>
      <c r="C62" s="206" t="s">
        <v>137</v>
      </c>
      <c r="D62" s="324">
        <f>+D60*0.1%</f>
        <v>7000000</v>
      </c>
      <c r="E62" s="325">
        <f>SUM('ADICIONES  2021'!C62:N62)</f>
        <v>3850000</v>
      </c>
      <c r="F62" s="277">
        <f t="shared" ref="F62:J62" si="136">+F60*0.1%</f>
        <v>0</v>
      </c>
      <c r="G62" s="277">
        <f t="shared" si="136"/>
        <v>0</v>
      </c>
      <c r="H62" s="277">
        <f t="shared" si="136"/>
        <v>0</v>
      </c>
      <c r="I62" s="277">
        <f t="shared" si="136"/>
        <v>0</v>
      </c>
      <c r="J62" s="277">
        <f t="shared" si="136"/>
        <v>0</v>
      </c>
      <c r="K62" s="281">
        <f t="shared" si="1"/>
        <v>10850000</v>
      </c>
      <c r="L62" s="277">
        <f t="shared" ref="L62:Q62" si="137">+L60*0.1%</f>
        <v>1438428.3740000001</v>
      </c>
      <c r="M62" s="277">
        <f t="shared" si="137"/>
        <v>531566.42799999996</v>
      </c>
      <c r="N62" s="277">
        <f t="shared" si="137"/>
        <v>1022861.813</v>
      </c>
      <c r="O62" s="277">
        <f t="shared" si="137"/>
        <v>695531.31</v>
      </c>
      <c r="P62" s="277">
        <f t="shared" si="137"/>
        <v>694761.80900000001</v>
      </c>
      <c r="Q62" s="277">
        <f t="shared" si="137"/>
        <v>569638.84200000006</v>
      </c>
      <c r="R62" s="281">
        <f t="shared" si="9"/>
        <v>4952788.5760000004</v>
      </c>
      <c r="S62" s="277">
        <f t="shared" ref="S62:Z62" si="138">+S60*0.1%</f>
        <v>975943.549</v>
      </c>
      <c r="T62" s="277">
        <f t="shared" si="138"/>
        <v>281021.18200000003</v>
      </c>
      <c r="U62" s="277">
        <f t="shared" si="138"/>
        <v>1720647.166</v>
      </c>
      <c r="V62" s="277">
        <f t="shared" si="138"/>
        <v>1623408.919</v>
      </c>
      <c r="W62" s="277">
        <f t="shared" si="138"/>
        <v>947940.92700000003</v>
      </c>
      <c r="X62" s="277">
        <f t="shared" si="138"/>
        <v>1960549.939</v>
      </c>
      <c r="Y62" s="277">
        <f t="shared" si="138"/>
        <v>0</v>
      </c>
      <c r="Z62" s="277">
        <f t="shared" si="138"/>
        <v>0</v>
      </c>
      <c r="AA62" s="281">
        <f t="shared" si="24"/>
        <v>7509511.682</v>
      </c>
      <c r="AB62" s="403">
        <f t="shared" si="12"/>
        <v>12462300.258000001</v>
      </c>
      <c r="AC62" s="326">
        <f t="shared" si="13"/>
        <v>1.1485991021198159</v>
      </c>
    </row>
    <row r="63" spans="1:29" ht="25.5" x14ac:dyDescent="0.2">
      <c r="B63" s="323" t="s">
        <v>445</v>
      </c>
      <c r="C63" s="206" t="s">
        <v>138</v>
      </c>
      <c r="D63" s="324">
        <f>+D60*9.99%</f>
        <v>699300000</v>
      </c>
      <c r="E63" s="325">
        <f>SUM('ADICIONES  2021'!C63:N63)</f>
        <v>384615000</v>
      </c>
      <c r="F63" s="277">
        <f t="shared" ref="F63:J63" si="139">+F60*9.99%</f>
        <v>0</v>
      </c>
      <c r="G63" s="277">
        <f t="shared" si="139"/>
        <v>0</v>
      </c>
      <c r="H63" s="277">
        <f t="shared" si="139"/>
        <v>0</v>
      </c>
      <c r="I63" s="277">
        <f t="shared" si="139"/>
        <v>0</v>
      </c>
      <c r="J63" s="277">
        <f t="shared" si="139"/>
        <v>0</v>
      </c>
      <c r="K63" s="281">
        <f t="shared" si="1"/>
        <v>1083915000</v>
      </c>
      <c r="L63" s="277">
        <f t="shared" ref="L63:Q63" si="140">+L60*9.99%</f>
        <v>143698994.56260002</v>
      </c>
      <c r="M63" s="277">
        <f t="shared" si="140"/>
        <v>53103486.157200001</v>
      </c>
      <c r="N63" s="277">
        <f t="shared" si="140"/>
        <v>102183895.1187</v>
      </c>
      <c r="O63" s="277">
        <f t="shared" si="140"/>
        <v>69483577.869000003</v>
      </c>
      <c r="P63" s="277">
        <f t="shared" si="140"/>
        <v>69406704.719099998</v>
      </c>
      <c r="Q63" s="277">
        <f t="shared" si="140"/>
        <v>56906920.315800004</v>
      </c>
      <c r="R63" s="281">
        <f t="shared" si="9"/>
        <v>494783578.74240005</v>
      </c>
      <c r="S63" s="277">
        <f t="shared" ref="S63:Z63" si="141">+S60*9.99%</f>
        <v>97496760.545100003</v>
      </c>
      <c r="T63" s="277">
        <f t="shared" si="141"/>
        <v>28074016.081800003</v>
      </c>
      <c r="U63" s="277">
        <f t="shared" si="141"/>
        <v>171892651.88339999</v>
      </c>
      <c r="V63" s="277">
        <f t="shared" si="141"/>
        <v>162178551.0081</v>
      </c>
      <c r="W63" s="277">
        <f t="shared" si="141"/>
        <v>94699298.607299998</v>
      </c>
      <c r="X63" s="277">
        <f t="shared" si="141"/>
        <v>195858938.9061</v>
      </c>
      <c r="Y63" s="277">
        <f t="shared" si="141"/>
        <v>0</v>
      </c>
      <c r="Z63" s="277">
        <f t="shared" si="141"/>
        <v>0</v>
      </c>
      <c r="AA63" s="281">
        <f t="shared" si="24"/>
        <v>750200217.03180003</v>
      </c>
      <c r="AB63" s="403">
        <f t="shared" si="12"/>
        <v>1244983795.7742</v>
      </c>
      <c r="AC63" s="326">
        <f t="shared" si="13"/>
        <v>1.1485991021198156</v>
      </c>
    </row>
    <row r="64" spans="1:29" ht="25.5" x14ac:dyDescent="0.2">
      <c r="B64" s="323" t="s">
        <v>446</v>
      </c>
      <c r="C64" s="329" t="s">
        <v>139</v>
      </c>
      <c r="D64" s="324">
        <f>+D60*1.7982%</f>
        <v>125874000.00000001</v>
      </c>
      <c r="E64" s="325">
        <f>SUM('ADICIONES  2021'!C64:N64)</f>
        <v>69230700</v>
      </c>
      <c r="F64" s="277">
        <f t="shared" ref="F64:J64" si="142">+F60*1.7982%</f>
        <v>0</v>
      </c>
      <c r="G64" s="277">
        <f t="shared" si="142"/>
        <v>0</v>
      </c>
      <c r="H64" s="277">
        <f t="shared" si="142"/>
        <v>0</v>
      </c>
      <c r="I64" s="277">
        <f t="shared" si="142"/>
        <v>0</v>
      </c>
      <c r="J64" s="277">
        <f t="shared" si="142"/>
        <v>0</v>
      </c>
      <c r="K64" s="281">
        <f t="shared" si="1"/>
        <v>195104700</v>
      </c>
      <c r="L64" s="277">
        <f t="shared" ref="L64:Q64" si="143">+L60*1.7982%</f>
        <v>25865819.021268003</v>
      </c>
      <c r="M64" s="277">
        <f t="shared" si="143"/>
        <v>9558627.5082960017</v>
      </c>
      <c r="N64" s="277">
        <f t="shared" si="143"/>
        <v>18393101.121366002</v>
      </c>
      <c r="O64" s="277">
        <f t="shared" si="143"/>
        <v>12507044.016420001</v>
      </c>
      <c r="P64" s="277">
        <f t="shared" si="143"/>
        <v>12493206.849438</v>
      </c>
      <c r="Q64" s="277">
        <f t="shared" si="143"/>
        <v>10243245.656844001</v>
      </c>
      <c r="R64" s="281">
        <f t="shared" si="9"/>
        <v>89061044.173632011</v>
      </c>
      <c r="S64" s="277">
        <f t="shared" ref="S64:Z64" si="144">+S60*1.7982%</f>
        <v>17549416.898118</v>
      </c>
      <c r="T64" s="277">
        <f t="shared" si="144"/>
        <v>5053322.8947240002</v>
      </c>
      <c r="U64" s="277">
        <f t="shared" si="144"/>
        <v>30940677.339012001</v>
      </c>
      <c r="V64" s="277">
        <f t="shared" si="144"/>
        <v>29192139.181458004</v>
      </c>
      <c r="W64" s="277">
        <f t="shared" si="144"/>
        <v>17045873.749314003</v>
      </c>
      <c r="X64" s="277">
        <f t="shared" si="144"/>
        <v>35254609.003098004</v>
      </c>
      <c r="Y64" s="277">
        <f t="shared" si="144"/>
        <v>0</v>
      </c>
      <c r="Z64" s="277">
        <f t="shared" si="144"/>
        <v>0</v>
      </c>
      <c r="AA64" s="281">
        <f t="shared" si="24"/>
        <v>135036039.06572402</v>
      </c>
      <c r="AB64" s="403">
        <f t="shared" si="12"/>
        <v>224097083.23935604</v>
      </c>
      <c r="AC64" s="326">
        <f t="shared" si="13"/>
        <v>1.1485991021198159</v>
      </c>
    </row>
    <row r="65" spans="1:29" ht="38.25" x14ac:dyDescent="0.2">
      <c r="B65" s="323" t="s">
        <v>447</v>
      </c>
      <c r="C65" s="206" t="s">
        <v>140</v>
      </c>
      <c r="D65" s="324">
        <f>+D60*0.881118%</f>
        <v>61678260</v>
      </c>
      <c r="E65" s="325">
        <f>SUM('ADICIONES  2021'!C65:N65)</f>
        <v>33923043</v>
      </c>
      <c r="F65" s="277">
        <f t="shared" ref="F65:J65" si="145">+F60*0.881118%</f>
        <v>0</v>
      </c>
      <c r="G65" s="277">
        <f t="shared" si="145"/>
        <v>0</v>
      </c>
      <c r="H65" s="277">
        <f t="shared" si="145"/>
        <v>0</v>
      </c>
      <c r="I65" s="277">
        <f t="shared" si="145"/>
        <v>0</v>
      </c>
      <c r="J65" s="277">
        <f t="shared" si="145"/>
        <v>0</v>
      </c>
      <c r="K65" s="281">
        <f t="shared" si="1"/>
        <v>95601303</v>
      </c>
      <c r="L65" s="277">
        <f t="shared" ref="L65:Q65" si="146">+L60*0.881118%</f>
        <v>12674251.320421319</v>
      </c>
      <c r="M65" s="277">
        <f t="shared" si="146"/>
        <v>4683727.4790650401</v>
      </c>
      <c r="N65" s="277">
        <f t="shared" si="146"/>
        <v>9012619.5494693406</v>
      </c>
      <c r="O65" s="277">
        <f t="shared" si="146"/>
        <v>6128451.5680457996</v>
      </c>
      <c r="P65" s="277">
        <f t="shared" si="146"/>
        <v>6121671.3562246198</v>
      </c>
      <c r="Q65" s="277">
        <f t="shared" si="146"/>
        <v>5019190.3718535602</v>
      </c>
      <c r="R65" s="281">
        <f t="shared" si="9"/>
        <v>43639911.64507968</v>
      </c>
      <c r="S65" s="277">
        <f t="shared" ref="S65:Z65" si="147">+S60*0.881118%</f>
        <v>8599214.2800778206</v>
      </c>
      <c r="T65" s="277">
        <f t="shared" si="147"/>
        <v>2476128.2184147602</v>
      </c>
      <c r="U65" s="277">
        <f t="shared" si="147"/>
        <v>15160931.89611588</v>
      </c>
      <c r="V65" s="277">
        <f t="shared" si="147"/>
        <v>14304148.19891442</v>
      </c>
      <c r="W65" s="277">
        <f t="shared" si="147"/>
        <v>8352478.1371638598</v>
      </c>
      <c r="X65" s="277">
        <f t="shared" si="147"/>
        <v>17274758.411518019</v>
      </c>
      <c r="Y65" s="277">
        <f t="shared" si="147"/>
        <v>0</v>
      </c>
      <c r="Z65" s="277">
        <f t="shared" si="147"/>
        <v>0</v>
      </c>
      <c r="AA65" s="281">
        <f t="shared" si="24"/>
        <v>66167659.142204762</v>
      </c>
      <c r="AB65" s="403">
        <f t="shared" si="12"/>
        <v>109807570.78728443</v>
      </c>
      <c r="AC65" s="326">
        <f t="shared" si="13"/>
        <v>1.1485991021198156</v>
      </c>
    </row>
    <row r="66" spans="1:29" s="61" customFormat="1" ht="25.5" x14ac:dyDescent="0.2">
      <c r="A66" s="421">
        <v>1</v>
      </c>
      <c r="B66" s="318" t="s">
        <v>448</v>
      </c>
      <c r="C66" s="319" t="s">
        <v>449</v>
      </c>
      <c r="D66" s="283">
        <f>+D67+D73</f>
        <v>4200000000</v>
      </c>
      <c r="E66" s="322">
        <f>SUM('ADICIONES  2021'!C66:N66)</f>
        <v>3956000000</v>
      </c>
      <c r="F66" s="275">
        <f t="shared" ref="F66:J66" si="148">+F67+F73</f>
        <v>0</v>
      </c>
      <c r="G66" s="275">
        <f t="shared" si="148"/>
        <v>0</v>
      </c>
      <c r="H66" s="275">
        <f t="shared" si="148"/>
        <v>0</v>
      </c>
      <c r="I66" s="275">
        <f t="shared" si="148"/>
        <v>0</v>
      </c>
      <c r="J66" s="275">
        <f t="shared" si="148"/>
        <v>0</v>
      </c>
      <c r="K66" s="276">
        <f t="shared" si="1"/>
        <v>8156000000</v>
      </c>
      <c r="L66" s="275">
        <f t="shared" ref="L66:Q66" si="149">+L67+L73</f>
        <v>882060243</v>
      </c>
      <c r="M66" s="275">
        <f t="shared" si="149"/>
        <v>264330842</v>
      </c>
      <c r="N66" s="275">
        <f t="shared" si="149"/>
        <v>503335915</v>
      </c>
      <c r="O66" s="275">
        <f t="shared" si="149"/>
        <v>370551930</v>
      </c>
      <c r="P66" s="275">
        <f t="shared" si="149"/>
        <v>371259791</v>
      </c>
      <c r="Q66" s="275">
        <f t="shared" si="149"/>
        <v>422367558</v>
      </c>
      <c r="R66" s="276">
        <f t="shared" si="9"/>
        <v>2813906279</v>
      </c>
      <c r="S66" s="275">
        <f t="shared" ref="S66:Z66" si="150">+S67+S73</f>
        <v>483588651</v>
      </c>
      <c r="T66" s="275">
        <f t="shared" si="150"/>
        <v>399608791</v>
      </c>
      <c r="U66" s="275">
        <f t="shared" si="150"/>
        <v>1189603295</v>
      </c>
      <c r="V66" s="275">
        <f t="shared" si="150"/>
        <v>1370649081</v>
      </c>
      <c r="W66" s="275">
        <f t="shared" si="150"/>
        <v>1396779277</v>
      </c>
      <c r="X66" s="275">
        <f t="shared" si="150"/>
        <v>1484876832</v>
      </c>
      <c r="Y66" s="275">
        <f t="shared" si="150"/>
        <v>0</v>
      </c>
      <c r="Z66" s="275">
        <f t="shared" si="150"/>
        <v>0</v>
      </c>
      <c r="AA66" s="276">
        <f t="shared" si="24"/>
        <v>6325105927</v>
      </c>
      <c r="AB66" s="402">
        <f t="shared" si="12"/>
        <v>9139012206</v>
      </c>
      <c r="AC66" s="321">
        <f t="shared" si="13"/>
        <v>1.1205262636096125</v>
      </c>
    </row>
    <row r="67" spans="1:29" s="61" customFormat="1" ht="25.5" x14ac:dyDescent="0.2">
      <c r="A67" s="421">
        <v>1</v>
      </c>
      <c r="B67" s="318" t="s">
        <v>450</v>
      </c>
      <c r="C67" s="319" t="s">
        <v>451</v>
      </c>
      <c r="D67" s="331">
        <v>700000000</v>
      </c>
      <c r="E67" s="322">
        <f>SUM('ADICIONES  2021'!C67:N67)</f>
        <v>2066000000</v>
      </c>
      <c r="F67" s="276"/>
      <c r="G67" s="276"/>
      <c r="H67" s="276"/>
      <c r="I67" s="276"/>
      <c r="J67" s="276"/>
      <c r="K67" s="276">
        <f t="shared" si="1"/>
        <v>2766000000</v>
      </c>
      <c r="L67" s="276">
        <v>149187000</v>
      </c>
      <c r="M67" s="276">
        <v>32551848</v>
      </c>
      <c r="N67" s="276">
        <v>106242600</v>
      </c>
      <c r="O67" s="276">
        <v>87298800</v>
      </c>
      <c r="P67" s="276">
        <v>87561600</v>
      </c>
      <c r="Q67" s="276">
        <v>47219400</v>
      </c>
      <c r="R67" s="276">
        <f t="shared" si="9"/>
        <v>510061248</v>
      </c>
      <c r="S67" s="276">
        <v>52471200</v>
      </c>
      <c r="T67" s="276">
        <v>60113400</v>
      </c>
      <c r="U67" s="276">
        <v>604737732</v>
      </c>
      <c r="V67" s="276">
        <v>589752000</v>
      </c>
      <c r="W67" s="276">
        <v>514061400</v>
      </c>
      <c r="X67" s="276">
        <v>631210800</v>
      </c>
      <c r="Y67" s="276"/>
      <c r="Z67" s="276"/>
      <c r="AA67" s="276">
        <f t="shared" si="24"/>
        <v>2452346532</v>
      </c>
      <c r="AB67" s="402">
        <f t="shared" si="12"/>
        <v>2962407780</v>
      </c>
      <c r="AC67" s="321">
        <f t="shared" si="13"/>
        <v>1.071007874186551</v>
      </c>
    </row>
    <row r="68" spans="1:29" ht="25.5" x14ac:dyDescent="0.2">
      <c r="B68" s="323" t="s">
        <v>452</v>
      </c>
      <c r="C68" s="206" t="s">
        <v>141</v>
      </c>
      <c r="D68" s="324">
        <f>+D67*87.230682%</f>
        <v>610614774</v>
      </c>
      <c r="E68" s="325">
        <f>SUM('ADICIONES  2021'!C68:N68)</f>
        <v>1802185890.1200001</v>
      </c>
      <c r="F68" s="277">
        <f t="shared" ref="F68:J68" si="151">+F67*87.230682%</f>
        <v>0</v>
      </c>
      <c r="G68" s="277">
        <f t="shared" si="151"/>
        <v>0</v>
      </c>
      <c r="H68" s="277">
        <f t="shared" si="151"/>
        <v>0</v>
      </c>
      <c r="I68" s="277">
        <f t="shared" si="151"/>
        <v>0</v>
      </c>
      <c r="J68" s="277">
        <f t="shared" si="151"/>
        <v>0</v>
      </c>
      <c r="K68" s="281">
        <f t="shared" si="1"/>
        <v>2412800664.1199999</v>
      </c>
      <c r="L68" s="277">
        <f t="shared" ref="L68:Q68" si="152">+L67*87.230682%</f>
        <v>130136837.55534001</v>
      </c>
      <c r="M68" s="277">
        <f t="shared" si="152"/>
        <v>28395199.014003363</v>
      </c>
      <c r="N68" s="277">
        <f t="shared" si="152"/>
        <v>92676144.554532006</v>
      </c>
      <c r="O68" s="277">
        <f t="shared" si="152"/>
        <v>76151338.617816001</v>
      </c>
      <c r="P68" s="277">
        <f t="shared" si="152"/>
        <v>76380580.850112006</v>
      </c>
      <c r="Q68" s="277">
        <f t="shared" si="152"/>
        <v>41189804.656308003</v>
      </c>
      <c r="R68" s="281">
        <f t="shared" si="9"/>
        <v>444929905.24811137</v>
      </c>
      <c r="S68" s="277">
        <f t="shared" ref="S68:Z68" si="153">+S67*87.230682%</f>
        <v>45770985.613584004</v>
      </c>
      <c r="T68" s="277">
        <f t="shared" si="153"/>
        <v>52437328.793388002</v>
      </c>
      <c r="U68" s="277">
        <f t="shared" si="153"/>
        <v>527516847.93493229</v>
      </c>
      <c r="V68" s="277">
        <f t="shared" si="153"/>
        <v>514444691.70864004</v>
      </c>
      <c r="W68" s="277">
        <f t="shared" si="153"/>
        <v>448419265.11874801</v>
      </c>
      <c r="X68" s="277">
        <f t="shared" si="153"/>
        <v>550609485.69765604</v>
      </c>
      <c r="Y68" s="277">
        <f t="shared" si="153"/>
        <v>0</v>
      </c>
      <c r="Z68" s="277">
        <f t="shared" si="153"/>
        <v>0</v>
      </c>
      <c r="AA68" s="281">
        <f t="shared" si="24"/>
        <v>2139198604.8669481</v>
      </c>
      <c r="AB68" s="403">
        <f t="shared" si="12"/>
        <v>2584128510.1150594</v>
      </c>
      <c r="AC68" s="326">
        <f t="shared" si="13"/>
        <v>1.071007874186551</v>
      </c>
    </row>
    <row r="69" spans="1:29" ht="25.5" x14ac:dyDescent="0.2">
      <c r="B69" s="323" t="s">
        <v>453</v>
      </c>
      <c r="C69" s="206" t="s">
        <v>142</v>
      </c>
      <c r="D69" s="324">
        <f>+D67*0.1%</f>
        <v>700000</v>
      </c>
      <c r="E69" s="325">
        <f>SUM('ADICIONES  2021'!C69:N69)</f>
        <v>2066000</v>
      </c>
      <c r="F69" s="277">
        <f t="shared" ref="F69:J69" si="154">+F67*0.1%</f>
        <v>0</v>
      </c>
      <c r="G69" s="277">
        <f t="shared" si="154"/>
        <v>0</v>
      </c>
      <c r="H69" s="277">
        <f t="shared" si="154"/>
        <v>0</v>
      </c>
      <c r="I69" s="277">
        <f t="shared" si="154"/>
        <v>0</v>
      </c>
      <c r="J69" s="277">
        <f t="shared" si="154"/>
        <v>0</v>
      </c>
      <c r="K69" s="281">
        <f t="shared" si="1"/>
        <v>2766000</v>
      </c>
      <c r="L69" s="277">
        <f t="shared" ref="L69:Q69" si="155">+L67*0.1%</f>
        <v>149187</v>
      </c>
      <c r="M69" s="277">
        <f t="shared" si="155"/>
        <v>32551.848000000002</v>
      </c>
      <c r="N69" s="277">
        <f t="shared" si="155"/>
        <v>106242.6</v>
      </c>
      <c r="O69" s="277">
        <f t="shared" si="155"/>
        <v>87298.8</v>
      </c>
      <c r="P69" s="277">
        <f t="shared" si="155"/>
        <v>87561.600000000006</v>
      </c>
      <c r="Q69" s="277">
        <f t="shared" si="155"/>
        <v>47219.4</v>
      </c>
      <c r="R69" s="281">
        <f t="shared" si="9"/>
        <v>510061.24800000002</v>
      </c>
      <c r="S69" s="277">
        <f t="shared" ref="S69:Z69" si="156">+S67*0.1%</f>
        <v>52471.200000000004</v>
      </c>
      <c r="T69" s="277">
        <f t="shared" si="156"/>
        <v>60113.4</v>
      </c>
      <c r="U69" s="277">
        <f t="shared" si="156"/>
        <v>604737.73199999996</v>
      </c>
      <c r="V69" s="277">
        <f t="shared" si="156"/>
        <v>589752</v>
      </c>
      <c r="W69" s="277">
        <f t="shared" si="156"/>
        <v>514061.4</v>
      </c>
      <c r="X69" s="277">
        <f t="shared" si="156"/>
        <v>631210.80000000005</v>
      </c>
      <c r="Y69" s="277">
        <f t="shared" si="156"/>
        <v>0</v>
      </c>
      <c r="Z69" s="277">
        <f t="shared" si="156"/>
        <v>0</v>
      </c>
      <c r="AA69" s="281">
        <f t="shared" si="24"/>
        <v>2452346.5319999997</v>
      </c>
      <c r="AB69" s="403">
        <f t="shared" si="12"/>
        <v>2962407.78</v>
      </c>
      <c r="AC69" s="326">
        <f t="shared" si="13"/>
        <v>1.071007874186551</v>
      </c>
    </row>
    <row r="70" spans="1:29" ht="25.5" x14ac:dyDescent="0.2">
      <c r="B70" s="323" t="s">
        <v>454</v>
      </c>
      <c r="C70" s="206" t="s">
        <v>143</v>
      </c>
      <c r="D70" s="324">
        <f>+D67*9.99%</f>
        <v>69930000</v>
      </c>
      <c r="E70" s="325">
        <f>SUM('ADICIONES  2021'!C70:N70)</f>
        <v>206393400</v>
      </c>
      <c r="F70" s="277">
        <f t="shared" ref="F70:J70" si="157">+F67*9.99%</f>
        <v>0</v>
      </c>
      <c r="G70" s="277">
        <f t="shared" si="157"/>
        <v>0</v>
      </c>
      <c r="H70" s="277">
        <f t="shared" si="157"/>
        <v>0</v>
      </c>
      <c r="I70" s="277">
        <f t="shared" si="157"/>
        <v>0</v>
      </c>
      <c r="J70" s="277">
        <f t="shared" si="157"/>
        <v>0</v>
      </c>
      <c r="K70" s="281">
        <f t="shared" si="1"/>
        <v>276323400</v>
      </c>
      <c r="L70" s="277">
        <f t="shared" ref="L70:Q70" si="158">+L67*9.99%</f>
        <v>14903781.300000001</v>
      </c>
      <c r="M70" s="277">
        <f t="shared" si="158"/>
        <v>3251929.6151999999</v>
      </c>
      <c r="N70" s="277">
        <f t="shared" si="158"/>
        <v>10613635.74</v>
      </c>
      <c r="O70" s="277">
        <f t="shared" si="158"/>
        <v>8721150.120000001</v>
      </c>
      <c r="P70" s="277">
        <f t="shared" si="158"/>
        <v>8747403.8399999999</v>
      </c>
      <c r="Q70" s="277">
        <f t="shared" si="158"/>
        <v>4717218.0600000005</v>
      </c>
      <c r="R70" s="281">
        <f t="shared" si="9"/>
        <v>50955118.675200015</v>
      </c>
      <c r="S70" s="277">
        <f t="shared" ref="S70:Z70" si="159">+S67*9.99%</f>
        <v>5241872.88</v>
      </c>
      <c r="T70" s="277">
        <f t="shared" si="159"/>
        <v>6005328.6600000001</v>
      </c>
      <c r="U70" s="277">
        <f t="shared" si="159"/>
        <v>60413299.426800005</v>
      </c>
      <c r="V70" s="277">
        <f t="shared" si="159"/>
        <v>58916224.800000004</v>
      </c>
      <c r="W70" s="277">
        <f t="shared" si="159"/>
        <v>51354733.859999999</v>
      </c>
      <c r="X70" s="277">
        <f t="shared" si="159"/>
        <v>63057958.920000002</v>
      </c>
      <c r="Y70" s="277">
        <f t="shared" si="159"/>
        <v>0</v>
      </c>
      <c r="Z70" s="277">
        <f t="shared" si="159"/>
        <v>0</v>
      </c>
      <c r="AA70" s="281">
        <f t="shared" si="24"/>
        <v>244989418.54680002</v>
      </c>
      <c r="AB70" s="403">
        <f t="shared" si="12"/>
        <v>295944537.222</v>
      </c>
      <c r="AC70" s="326">
        <f t="shared" si="13"/>
        <v>1.071007874186551</v>
      </c>
    </row>
    <row r="71" spans="1:29" s="112" customFormat="1" ht="25.5" x14ac:dyDescent="0.2">
      <c r="A71" s="420"/>
      <c r="B71" s="323" t="s">
        <v>455</v>
      </c>
      <c r="C71" s="329" t="s">
        <v>144</v>
      </c>
      <c r="D71" s="324">
        <f>+D67*1.7982%</f>
        <v>12587400.000000002</v>
      </c>
      <c r="E71" s="325">
        <f>SUM('ADICIONES  2021'!C71:N71)</f>
        <v>37150812</v>
      </c>
      <c r="F71" s="277">
        <f t="shared" ref="F71:J71" si="160">+F67*1.7982%</f>
        <v>0</v>
      </c>
      <c r="G71" s="277">
        <f t="shared" si="160"/>
        <v>0</v>
      </c>
      <c r="H71" s="277">
        <f t="shared" si="160"/>
        <v>0</v>
      </c>
      <c r="I71" s="277">
        <f t="shared" si="160"/>
        <v>0</v>
      </c>
      <c r="J71" s="277">
        <f t="shared" si="160"/>
        <v>0</v>
      </c>
      <c r="K71" s="281">
        <f t="shared" si="1"/>
        <v>49738212</v>
      </c>
      <c r="L71" s="277">
        <f t="shared" ref="L71:Q71" si="161">+L67*1.7982%</f>
        <v>2682680.6340000001</v>
      </c>
      <c r="M71" s="277">
        <f t="shared" si="161"/>
        <v>585347.33073600009</v>
      </c>
      <c r="N71" s="277">
        <f t="shared" si="161"/>
        <v>1910454.4332000001</v>
      </c>
      <c r="O71" s="277">
        <f t="shared" si="161"/>
        <v>1569807.0216000001</v>
      </c>
      <c r="P71" s="277">
        <f t="shared" si="161"/>
        <v>1574532.6912000002</v>
      </c>
      <c r="Q71" s="277">
        <f t="shared" si="161"/>
        <v>849099.25080000004</v>
      </c>
      <c r="R71" s="281">
        <f t="shared" si="9"/>
        <v>9171921.3615359999</v>
      </c>
      <c r="S71" s="277">
        <f t="shared" ref="S71:Z71" si="162">+S67*1.7982%</f>
        <v>943537.11840000004</v>
      </c>
      <c r="T71" s="277">
        <f t="shared" si="162"/>
        <v>1080959.1588000001</v>
      </c>
      <c r="U71" s="277">
        <f t="shared" si="162"/>
        <v>10874393.896824</v>
      </c>
      <c r="V71" s="277">
        <f t="shared" si="162"/>
        <v>10604920.464000002</v>
      </c>
      <c r="W71" s="277">
        <f t="shared" si="162"/>
        <v>9243852.094800001</v>
      </c>
      <c r="X71" s="277">
        <f t="shared" si="162"/>
        <v>11350432.605600001</v>
      </c>
      <c r="Y71" s="277">
        <f t="shared" si="162"/>
        <v>0</v>
      </c>
      <c r="Z71" s="277">
        <f t="shared" si="162"/>
        <v>0</v>
      </c>
      <c r="AA71" s="281">
        <f t="shared" si="24"/>
        <v>44098095.338424005</v>
      </c>
      <c r="AB71" s="403">
        <f t="shared" si="12"/>
        <v>53270016.699960008</v>
      </c>
      <c r="AC71" s="326">
        <f t="shared" si="13"/>
        <v>1.0710078741865512</v>
      </c>
    </row>
    <row r="72" spans="1:29" ht="38.25" x14ac:dyDescent="0.2">
      <c r="B72" s="323" t="s">
        <v>456</v>
      </c>
      <c r="C72" s="206" t="s">
        <v>145</v>
      </c>
      <c r="D72" s="324">
        <f>+D67*0.881118%</f>
        <v>6167826</v>
      </c>
      <c r="E72" s="325">
        <f>SUM('ADICIONES  2021'!C72:N72)</f>
        <v>18203897.879999999</v>
      </c>
      <c r="F72" s="277">
        <f t="shared" ref="F72:J72" si="163">+F67*0.881118%</f>
        <v>0</v>
      </c>
      <c r="G72" s="277">
        <f t="shared" si="163"/>
        <v>0</v>
      </c>
      <c r="H72" s="277">
        <f t="shared" si="163"/>
        <v>0</v>
      </c>
      <c r="I72" s="277">
        <f t="shared" si="163"/>
        <v>0</v>
      </c>
      <c r="J72" s="277">
        <f t="shared" si="163"/>
        <v>0</v>
      </c>
      <c r="K72" s="281">
        <f t="shared" si="1"/>
        <v>24371723.879999999</v>
      </c>
      <c r="L72" s="277">
        <f t="shared" ref="L72:Q72" si="164">+L67*0.881118%</f>
        <v>1314513.5106599999</v>
      </c>
      <c r="M72" s="277">
        <f t="shared" si="164"/>
        <v>286820.19206064002</v>
      </c>
      <c r="N72" s="277">
        <f t="shared" si="164"/>
        <v>936122.67226799997</v>
      </c>
      <c r="O72" s="277">
        <f t="shared" si="164"/>
        <v>769205.44058399997</v>
      </c>
      <c r="P72" s="277">
        <f t="shared" si="164"/>
        <v>771521.01868800004</v>
      </c>
      <c r="Q72" s="277">
        <f t="shared" si="164"/>
        <v>416058.63289200002</v>
      </c>
      <c r="R72" s="281">
        <f t="shared" si="9"/>
        <v>4494241.4671526402</v>
      </c>
      <c r="S72" s="277">
        <f t="shared" ref="S72:Z72" si="165">+S67*0.881118%</f>
        <v>462333.18801600003</v>
      </c>
      <c r="T72" s="277">
        <f t="shared" si="165"/>
        <v>529669.98781199998</v>
      </c>
      <c r="U72" s="277">
        <f t="shared" si="165"/>
        <v>5328453.0094437599</v>
      </c>
      <c r="V72" s="277">
        <f t="shared" si="165"/>
        <v>5196411.0273599997</v>
      </c>
      <c r="W72" s="277">
        <f t="shared" si="165"/>
        <v>4529487.5264520003</v>
      </c>
      <c r="X72" s="277">
        <f t="shared" si="165"/>
        <v>5561711.9767439999</v>
      </c>
      <c r="Y72" s="277">
        <f t="shared" si="165"/>
        <v>0</v>
      </c>
      <c r="Z72" s="277">
        <f t="shared" si="165"/>
        <v>0</v>
      </c>
      <c r="AA72" s="281">
        <f t="shared" si="24"/>
        <v>21608066.715827759</v>
      </c>
      <c r="AB72" s="403">
        <f t="shared" si="12"/>
        <v>26102308.1829804</v>
      </c>
      <c r="AC72" s="326">
        <f t="shared" si="13"/>
        <v>1.071007874186551</v>
      </c>
    </row>
    <row r="73" spans="1:29" s="61" customFormat="1" ht="25.5" x14ac:dyDescent="0.2">
      <c r="A73" s="421">
        <v>1</v>
      </c>
      <c r="B73" s="318" t="s">
        <v>457</v>
      </c>
      <c r="C73" s="319" t="s">
        <v>458</v>
      </c>
      <c r="D73" s="330">
        <v>3500000000</v>
      </c>
      <c r="E73" s="322">
        <f>SUM('ADICIONES  2021'!C73:N73)</f>
        <v>1890000000</v>
      </c>
      <c r="F73" s="279"/>
      <c r="G73" s="279"/>
      <c r="H73" s="279"/>
      <c r="I73" s="279"/>
      <c r="J73" s="279"/>
      <c r="K73" s="276">
        <f t="shared" si="1"/>
        <v>5390000000</v>
      </c>
      <c r="L73" s="279">
        <v>732873243</v>
      </c>
      <c r="M73" s="279">
        <v>231778994</v>
      </c>
      <c r="N73" s="279">
        <v>397093315</v>
      </c>
      <c r="O73" s="279">
        <v>283253130</v>
      </c>
      <c r="P73" s="279">
        <v>283698191</v>
      </c>
      <c r="Q73" s="279">
        <v>375148158</v>
      </c>
      <c r="R73" s="276">
        <f t="shared" si="9"/>
        <v>2303845031</v>
      </c>
      <c r="S73" s="279">
        <v>431117451</v>
      </c>
      <c r="T73" s="279">
        <v>339495391</v>
      </c>
      <c r="U73" s="279">
        <v>584865563</v>
      </c>
      <c r="V73" s="279">
        <v>780897081</v>
      </c>
      <c r="W73" s="279">
        <v>882717877</v>
      </c>
      <c r="X73" s="279">
        <v>853666032</v>
      </c>
      <c r="Y73" s="279"/>
      <c r="Z73" s="279"/>
      <c r="AA73" s="276">
        <f t="shared" si="24"/>
        <v>3872759395</v>
      </c>
      <c r="AB73" s="402">
        <f t="shared" si="12"/>
        <v>6176604426</v>
      </c>
      <c r="AC73" s="321">
        <f t="shared" si="13"/>
        <v>1.1459377413729128</v>
      </c>
    </row>
    <row r="74" spans="1:29" ht="25.5" x14ac:dyDescent="0.2">
      <c r="B74" s="323" t="s">
        <v>459</v>
      </c>
      <c r="C74" s="206" t="s">
        <v>146</v>
      </c>
      <c r="D74" s="324">
        <f>+D73*87.230682%</f>
        <v>3053073870</v>
      </c>
      <c r="E74" s="325">
        <f>SUM('ADICIONES  2021'!C74:N74)</f>
        <v>1500000000</v>
      </c>
      <c r="F74" s="277">
        <f t="shared" ref="F74:J74" si="166">+F73*87.230682%</f>
        <v>0</v>
      </c>
      <c r="G74" s="277">
        <f t="shared" si="166"/>
        <v>0</v>
      </c>
      <c r="H74" s="277">
        <f t="shared" si="166"/>
        <v>0</v>
      </c>
      <c r="I74" s="277">
        <f t="shared" si="166"/>
        <v>0</v>
      </c>
      <c r="J74" s="277">
        <f t="shared" si="166"/>
        <v>0</v>
      </c>
      <c r="K74" s="281">
        <f t="shared" si="1"/>
        <v>4553073870</v>
      </c>
      <c r="L74" s="277">
        <f t="shared" ref="L74:Q74" si="167">+L73*87.230682%</f>
        <v>639290328.06441724</v>
      </c>
      <c r="M74" s="277">
        <f t="shared" si="167"/>
        <v>202182397.19893909</v>
      </c>
      <c r="N74" s="277">
        <f t="shared" si="167"/>
        <v>346387206.85090834</v>
      </c>
      <c r="O74" s="277">
        <f t="shared" si="167"/>
        <v>247083637.08534661</v>
      </c>
      <c r="P74" s="277">
        <f t="shared" si="167"/>
        <v>247471866.83096263</v>
      </c>
      <c r="Q74" s="277">
        <f t="shared" si="167"/>
        <v>327244296.73383754</v>
      </c>
      <c r="R74" s="281">
        <f t="shared" si="9"/>
        <v>2009659732.7644117</v>
      </c>
      <c r="S74" s="277">
        <f t="shared" ref="S74:Z74" si="168">+S73*87.230682%</f>
        <v>376066692.72831583</v>
      </c>
      <c r="T74" s="277">
        <f t="shared" si="168"/>
        <v>296144144.92786664</v>
      </c>
      <c r="U74" s="277">
        <f t="shared" si="168"/>
        <v>510182219.38803971</v>
      </c>
      <c r="V74" s="277">
        <f t="shared" si="168"/>
        <v>681181849.47439241</v>
      </c>
      <c r="W74" s="277">
        <f t="shared" si="168"/>
        <v>770000824.24302113</v>
      </c>
      <c r="X74" s="277">
        <f t="shared" si="168"/>
        <v>744658701.71593833</v>
      </c>
      <c r="Y74" s="277">
        <f t="shared" si="168"/>
        <v>0</v>
      </c>
      <c r="Z74" s="277">
        <f t="shared" si="168"/>
        <v>0</v>
      </c>
      <c r="AA74" s="281">
        <f t="shared" si="24"/>
        <v>3378234432.4775743</v>
      </c>
      <c r="AB74" s="403">
        <f t="shared" si="12"/>
        <v>5387894165.2419863</v>
      </c>
      <c r="AC74" s="326">
        <f t="shared" si="13"/>
        <v>1.1833531190307673</v>
      </c>
    </row>
    <row r="75" spans="1:29" ht="25.5" x14ac:dyDescent="0.2">
      <c r="B75" s="323" t="s">
        <v>460</v>
      </c>
      <c r="C75" s="206" t="s">
        <v>147</v>
      </c>
      <c r="D75" s="324">
        <f>+D73*0.1%</f>
        <v>3500000</v>
      </c>
      <c r="E75" s="325">
        <f>SUM('ADICIONES  2021'!C75:N75)</f>
        <v>1890000</v>
      </c>
      <c r="F75" s="277">
        <f t="shared" ref="F75:J75" si="169">+F73*0.1%</f>
        <v>0</v>
      </c>
      <c r="G75" s="277">
        <f t="shared" si="169"/>
        <v>0</v>
      </c>
      <c r="H75" s="277">
        <f t="shared" si="169"/>
        <v>0</v>
      </c>
      <c r="I75" s="277">
        <f t="shared" si="169"/>
        <v>0</v>
      </c>
      <c r="J75" s="277">
        <f t="shared" si="169"/>
        <v>0</v>
      </c>
      <c r="K75" s="281">
        <f t="shared" ref="K75:K139" si="170">+D75+E75-F75+G75-H75</f>
        <v>5390000</v>
      </c>
      <c r="L75" s="277">
        <f t="shared" ref="L75:Q75" si="171">+L73*0.1%</f>
        <v>732873.24300000002</v>
      </c>
      <c r="M75" s="277">
        <f t="shared" si="171"/>
        <v>231778.99400000001</v>
      </c>
      <c r="N75" s="277">
        <f t="shared" si="171"/>
        <v>397093.315</v>
      </c>
      <c r="O75" s="277">
        <f t="shared" si="171"/>
        <v>283253.13</v>
      </c>
      <c r="P75" s="277">
        <f t="shared" si="171"/>
        <v>283698.19099999999</v>
      </c>
      <c r="Q75" s="277">
        <f t="shared" si="171"/>
        <v>375148.158</v>
      </c>
      <c r="R75" s="281">
        <f t="shared" si="9"/>
        <v>2303845.031</v>
      </c>
      <c r="S75" s="277">
        <f t="shared" ref="S75:Z75" si="172">+S73*0.1%</f>
        <v>431117.451</v>
      </c>
      <c r="T75" s="277">
        <f t="shared" si="172"/>
        <v>339495.391</v>
      </c>
      <c r="U75" s="277">
        <f t="shared" si="172"/>
        <v>584865.56299999997</v>
      </c>
      <c r="V75" s="277">
        <f t="shared" si="172"/>
        <v>780897.08100000001</v>
      </c>
      <c r="W75" s="277">
        <f t="shared" si="172"/>
        <v>882717.87699999998</v>
      </c>
      <c r="X75" s="277">
        <f t="shared" si="172"/>
        <v>853666.03200000001</v>
      </c>
      <c r="Y75" s="277">
        <f t="shared" si="172"/>
        <v>0</v>
      </c>
      <c r="Z75" s="277">
        <f t="shared" si="172"/>
        <v>0</v>
      </c>
      <c r="AA75" s="281">
        <f t="shared" si="24"/>
        <v>3872759.3949999996</v>
      </c>
      <c r="AB75" s="403">
        <f t="shared" si="12"/>
        <v>6176604.425999999</v>
      </c>
      <c r="AC75" s="326">
        <f t="shared" si="13"/>
        <v>1.1459377413729126</v>
      </c>
    </row>
    <row r="76" spans="1:29" ht="25.5" x14ac:dyDescent="0.2">
      <c r="B76" s="323" t="s">
        <v>461</v>
      </c>
      <c r="C76" s="206" t="s">
        <v>148</v>
      </c>
      <c r="D76" s="324">
        <f>+D73*9.99%</f>
        <v>349650000</v>
      </c>
      <c r="E76" s="325">
        <f>SUM('ADICIONES  2021'!C76:N76)</f>
        <v>188811000</v>
      </c>
      <c r="F76" s="277">
        <f t="shared" ref="F76:J76" si="173">+F73*9.99%</f>
        <v>0</v>
      </c>
      <c r="G76" s="277">
        <f t="shared" si="173"/>
        <v>0</v>
      </c>
      <c r="H76" s="277">
        <f t="shared" si="173"/>
        <v>0</v>
      </c>
      <c r="I76" s="277">
        <f t="shared" si="173"/>
        <v>0</v>
      </c>
      <c r="J76" s="277">
        <f t="shared" si="173"/>
        <v>0</v>
      </c>
      <c r="K76" s="281">
        <f t="shared" si="170"/>
        <v>538461000</v>
      </c>
      <c r="L76" s="277">
        <f t="shared" ref="L76:Q76" si="174">+L73*9.99%</f>
        <v>73214036.975700006</v>
      </c>
      <c r="M76" s="277">
        <f t="shared" si="174"/>
        <v>23154721.500599999</v>
      </c>
      <c r="N76" s="277">
        <f t="shared" si="174"/>
        <v>39669622.168499999</v>
      </c>
      <c r="O76" s="277">
        <f t="shared" si="174"/>
        <v>28296987.686999999</v>
      </c>
      <c r="P76" s="277">
        <f t="shared" si="174"/>
        <v>28341449.280900002</v>
      </c>
      <c r="Q76" s="277">
        <f t="shared" si="174"/>
        <v>37477300.984200001</v>
      </c>
      <c r="R76" s="281">
        <f t="shared" si="9"/>
        <v>230154118.59690002</v>
      </c>
      <c r="S76" s="277">
        <f t="shared" ref="S76:Z76" si="175">+S73*9.99%</f>
        <v>43068633.354900002</v>
      </c>
      <c r="T76" s="277">
        <f t="shared" si="175"/>
        <v>33915589.560900003</v>
      </c>
      <c r="U76" s="277">
        <f t="shared" si="175"/>
        <v>58428069.743700005</v>
      </c>
      <c r="V76" s="277">
        <f t="shared" si="175"/>
        <v>78011618.391900003</v>
      </c>
      <c r="W76" s="277">
        <f t="shared" si="175"/>
        <v>88183515.912300006</v>
      </c>
      <c r="X76" s="277">
        <f t="shared" si="175"/>
        <v>85281236.596799999</v>
      </c>
      <c r="Y76" s="277">
        <f t="shared" si="175"/>
        <v>0</v>
      </c>
      <c r="Z76" s="277">
        <f t="shared" si="175"/>
        <v>0</v>
      </c>
      <c r="AA76" s="281">
        <f t="shared" si="24"/>
        <v>386888663.56050003</v>
      </c>
      <c r="AB76" s="403">
        <f t="shared" si="12"/>
        <v>617042782.15740001</v>
      </c>
      <c r="AC76" s="326">
        <f t="shared" si="13"/>
        <v>1.1459377413729128</v>
      </c>
    </row>
    <row r="77" spans="1:29" ht="25.5" x14ac:dyDescent="0.2">
      <c r="B77" s="323" t="s">
        <v>462</v>
      </c>
      <c r="C77" s="206" t="s">
        <v>149</v>
      </c>
      <c r="D77" s="324">
        <f>+D73*1.7982%</f>
        <v>62937000.000000007</v>
      </c>
      <c r="E77" s="325">
        <f>SUM('ADICIONES  2021'!C77:N77)</f>
        <v>33985980</v>
      </c>
      <c r="F77" s="277">
        <f t="shared" ref="F77:J77" si="176">+F73*1.7982%</f>
        <v>0</v>
      </c>
      <c r="G77" s="277">
        <f t="shared" si="176"/>
        <v>0</v>
      </c>
      <c r="H77" s="277">
        <f t="shared" si="176"/>
        <v>0</v>
      </c>
      <c r="I77" s="277">
        <f t="shared" si="176"/>
        <v>0</v>
      </c>
      <c r="J77" s="277">
        <f t="shared" si="176"/>
        <v>0</v>
      </c>
      <c r="K77" s="281">
        <f t="shared" si="170"/>
        <v>96922980</v>
      </c>
      <c r="L77" s="277">
        <f t="shared" ref="L77:Q77" si="177">+L73*1.7982%</f>
        <v>13178526.655626001</v>
      </c>
      <c r="M77" s="277">
        <f t="shared" si="177"/>
        <v>4167849.8701080005</v>
      </c>
      <c r="N77" s="277">
        <f t="shared" si="177"/>
        <v>7140531.9903300004</v>
      </c>
      <c r="O77" s="277">
        <f t="shared" si="177"/>
        <v>5093457.7836600002</v>
      </c>
      <c r="P77" s="277">
        <f t="shared" si="177"/>
        <v>5101460.8705620002</v>
      </c>
      <c r="Q77" s="277">
        <f t="shared" si="177"/>
        <v>6745914.1771560004</v>
      </c>
      <c r="R77" s="281">
        <f t="shared" ref="R77:R141" si="178">SUM(L77:Q77)</f>
        <v>41427741.347442001</v>
      </c>
      <c r="S77" s="277">
        <f t="shared" ref="S77:Z77" si="179">+S73*1.7982%</f>
        <v>7752354.0038820002</v>
      </c>
      <c r="T77" s="277">
        <f t="shared" si="179"/>
        <v>6104806.1209620005</v>
      </c>
      <c r="U77" s="277">
        <f t="shared" si="179"/>
        <v>10517052.553866001</v>
      </c>
      <c r="V77" s="277">
        <f t="shared" si="179"/>
        <v>14042091.310542</v>
      </c>
      <c r="W77" s="277">
        <f t="shared" si="179"/>
        <v>15873032.864214001</v>
      </c>
      <c r="X77" s="277">
        <f t="shared" si="179"/>
        <v>15350622.587424001</v>
      </c>
      <c r="Y77" s="277">
        <f t="shared" si="179"/>
        <v>0</v>
      </c>
      <c r="Z77" s="277">
        <f t="shared" si="179"/>
        <v>0</v>
      </c>
      <c r="AA77" s="281">
        <f t="shared" si="24"/>
        <v>69639959.440889999</v>
      </c>
      <c r="AB77" s="403">
        <f t="shared" ref="AB77:AB141" si="180">+R77+AA77</f>
        <v>111067700.788332</v>
      </c>
      <c r="AC77" s="326">
        <f t="shared" ref="AC77:AC141" si="181">+AB77/K77</f>
        <v>1.1459377413729128</v>
      </c>
    </row>
    <row r="78" spans="1:29" ht="38.25" x14ac:dyDescent="0.2">
      <c r="B78" s="323" t="s">
        <v>463</v>
      </c>
      <c r="C78" s="206" t="s">
        <v>150</v>
      </c>
      <c r="D78" s="324">
        <f>+D73*0.881118%</f>
        <v>30839130</v>
      </c>
      <c r="E78" s="325">
        <f>SUM('ADICIONES  2021'!C78:N78)</f>
        <v>16653130.199999999</v>
      </c>
      <c r="F78" s="277">
        <f t="shared" ref="F78:J78" si="182">+F73*0.881118%</f>
        <v>0</v>
      </c>
      <c r="G78" s="277">
        <f t="shared" si="182"/>
        <v>0</v>
      </c>
      <c r="H78" s="277">
        <f t="shared" si="182"/>
        <v>0</v>
      </c>
      <c r="I78" s="277">
        <f t="shared" si="182"/>
        <v>0</v>
      </c>
      <c r="J78" s="277">
        <f t="shared" si="182"/>
        <v>0</v>
      </c>
      <c r="K78" s="281">
        <f t="shared" si="170"/>
        <v>47492260.200000003</v>
      </c>
      <c r="L78" s="277">
        <f t="shared" ref="L78:Q78" si="183">+L73*0.881118%</f>
        <v>6457478.0612567402</v>
      </c>
      <c r="M78" s="277">
        <f t="shared" si="183"/>
        <v>2042246.43635292</v>
      </c>
      <c r="N78" s="277">
        <f t="shared" si="183"/>
        <v>3498860.6752617001</v>
      </c>
      <c r="O78" s="277">
        <f t="shared" si="183"/>
        <v>2495794.3139934</v>
      </c>
      <c r="P78" s="277">
        <f t="shared" si="183"/>
        <v>2499715.8265753798</v>
      </c>
      <c r="Q78" s="277">
        <f t="shared" si="183"/>
        <v>3305497.9468064401</v>
      </c>
      <c r="R78" s="281">
        <f t="shared" si="178"/>
        <v>20299593.260246582</v>
      </c>
      <c r="S78" s="277">
        <f t="shared" ref="S78:Z78" si="184">+S73*0.881118%</f>
        <v>3798653.4619021802</v>
      </c>
      <c r="T78" s="277">
        <f t="shared" si="184"/>
        <v>2991354.9992713802</v>
      </c>
      <c r="U78" s="277">
        <f t="shared" si="184"/>
        <v>5153355.7513943398</v>
      </c>
      <c r="V78" s="277">
        <f t="shared" si="184"/>
        <v>6880624.7421655804</v>
      </c>
      <c r="W78" s="277">
        <f t="shared" si="184"/>
        <v>7777786.1034648605</v>
      </c>
      <c r="X78" s="277">
        <f t="shared" si="184"/>
        <v>7521805.0678377599</v>
      </c>
      <c r="Y78" s="277">
        <f t="shared" si="184"/>
        <v>0</v>
      </c>
      <c r="Z78" s="277">
        <f t="shared" si="184"/>
        <v>0</v>
      </c>
      <c r="AA78" s="281">
        <f t="shared" si="24"/>
        <v>34123580.1260361</v>
      </c>
      <c r="AB78" s="403">
        <f t="shared" si="180"/>
        <v>54423173.386282682</v>
      </c>
      <c r="AC78" s="326">
        <f t="shared" si="181"/>
        <v>1.1459377413729128</v>
      </c>
    </row>
    <row r="79" spans="1:29" s="61" customFormat="1" ht="25.5" x14ac:dyDescent="0.2">
      <c r="A79" s="421">
        <v>1</v>
      </c>
      <c r="B79" s="318" t="s">
        <v>464</v>
      </c>
      <c r="C79" s="319" t="s">
        <v>465</v>
      </c>
      <c r="D79" s="283">
        <f>+D80+D87</f>
        <v>121699200000</v>
      </c>
      <c r="E79" s="322">
        <f>SUM('ADICIONES  2021'!C79:N79)</f>
        <v>2355000000</v>
      </c>
      <c r="F79" s="275">
        <f t="shared" ref="F79:J79" si="185">+F80+F87</f>
        <v>0</v>
      </c>
      <c r="G79" s="275">
        <f t="shared" si="185"/>
        <v>350000000</v>
      </c>
      <c r="H79" s="275">
        <f t="shared" si="185"/>
        <v>1559810323.22</v>
      </c>
      <c r="I79" s="275">
        <f t="shared" si="185"/>
        <v>0</v>
      </c>
      <c r="J79" s="275">
        <f t="shared" si="185"/>
        <v>0</v>
      </c>
      <c r="K79" s="276">
        <f t="shared" si="170"/>
        <v>122844389676.78</v>
      </c>
      <c r="L79" s="275">
        <f t="shared" ref="L79:Q79" si="186">+L80+L87</f>
        <v>14313551440.780798</v>
      </c>
      <c r="M79" s="275">
        <f t="shared" si="186"/>
        <v>12509345161.062401</v>
      </c>
      <c r="N79" s="275">
        <f t="shared" si="186"/>
        <v>9970196546.1247997</v>
      </c>
      <c r="O79" s="275">
        <f t="shared" si="186"/>
        <v>10331226345.958399</v>
      </c>
      <c r="P79" s="275">
        <f t="shared" si="186"/>
        <v>10668352261.235199</v>
      </c>
      <c r="Q79" s="275">
        <f t="shared" si="186"/>
        <v>9916741233.6767998</v>
      </c>
      <c r="R79" s="276">
        <f t="shared" si="178"/>
        <v>67709412988.838394</v>
      </c>
      <c r="S79" s="275">
        <f t="shared" ref="S79:Z79" si="187">+S80+S87</f>
        <v>8991385598.5791988</v>
      </c>
      <c r="T79" s="275">
        <f t="shared" si="187"/>
        <v>9352865642.8927994</v>
      </c>
      <c r="U79" s="275">
        <f t="shared" si="187"/>
        <v>11881615005.567999</v>
      </c>
      <c r="V79" s="275">
        <f t="shared" si="187"/>
        <v>11284242433.433598</v>
      </c>
      <c r="W79" s="275">
        <f t="shared" si="187"/>
        <v>12385412457.843199</v>
      </c>
      <c r="X79" s="275">
        <f>+X80+X87</f>
        <v>12350815462.1056</v>
      </c>
      <c r="Y79" s="275">
        <f t="shared" si="187"/>
        <v>-1796154912.4765136</v>
      </c>
      <c r="Z79" s="275">
        <f t="shared" si="187"/>
        <v>0</v>
      </c>
      <c r="AA79" s="276">
        <f t="shared" si="24"/>
        <v>64450181687.945885</v>
      </c>
      <c r="AB79" s="402">
        <f t="shared" si="180"/>
        <v>132159594676.78427</v>
      </c>
      <c r="AC79" s="321">
        <f t="shared" si="181"/>
        <v>1.0758293075045089</v>
      </c>
    </row>
    <row r="80" spans="1:29" s="61" customFormat="1" ht="25.5" x14ac:dyDescent="0.2">
      <c r="A80" s="421">
        <v>1</v>
      </c>
      <c r="B80" s="318" t="s">
        <v>952</v>
      </c>
      <c r="C80" s="319" t="s">
        <v>953</v>
      </c>
      <c r="D80" s="283">
        <f>SUM(D81:D86)</f>
        <v>117699200000</v>
      </c>
      <c r="E80" s="322">
        <f>SUM('ADICIONES  2021'!C80:N80)</f>
        <v>2355000000</v>
      </c>
      <c r="F80" s="279"/>
      <c r="G80" s="279">
        <f>SUM(G81:G86)</f>
        <v>350000000</v>
      </c>
      <c r="H80" s="279">
        <f>SUM(H81:H86)</f>
        <v>1559810323.22</v>
      </c>
      <c r="I80" s="279"/>
      <c r="J80" s="279"/>
      <c r="K80" s="276">
        <f t="shared" si="170"/>
        <v>118844389676.78</v>
      </c>
      <c r="L80" s="279">
        <f t="shared" ref="L80:P80" si="188">SUM(L81:L86)</f>
        <v>14180402440.780798</v>
      </c>
      <c r="M80" s="279">
        <f t="shared" si="188"/>
        <v>12378033161.062401</v>
      </c>
      <c r="N80" s="279">
        <f t="shared" si="188"/>
        <v>9716462546.1247997</v>
      </c>
      <c r="O80" s="279">
        <f t="shared" si="188"/>
        <v>10243426345.958399</v>
      </c>
      <c r="P80" s="279">
        <f t="shared" si="188"/>
        <v>10564969261.235199</v>
      </c>
      <c r="Q80" s="279">
        <f>SUM(Q81:Q86)</f>
        <v>9823046233.6767998</v>
      </c>
      <c r="R80" s="276">
        <f t="shared" si="178"/>
        <v>66906339988.838394</v>
      </c>
      <c r="S80" s="279">
        <f t="shared" ref="S80:W80" si="189">SUM(S81:S86)</f>
        <v>8935814598.5791988</v>
      </c>
      <c r="T80" s="279">
        <f t="shared" si="189"/>
        <v>9188468642.8927994</v>
      </c>
      <c r="U80" s="279">
        <f t="shared" si="189"/>
        <v>11814415005.567999</v>
      </c>
      <c r="V80" s="279">
        <f t="shared" si="189"/>
        <v>11114948433.433598</v>
      </c>
      <c r="W80" s="279">
        <f t="shared" si="189"/>
        <v>12235031457.843199</v>
      </c>
      <c r="X80" s="279">
        <f>SUM(X81:X86)</f>
        <v>12233580462.1056</v>
      </c>
      <c r="Y80" s="279">
        <f>SUM(Y81:Y86)</f>
        <v>-1796154912.4765136</v>
      </c>
      <c r="Z80" s="279"/>
      <c r="AA80" s="276">
        <f t="shared" si="24"/>
        <v>63726103687.945885</v>
      </c>
      <c r="AB80" s="402">
        <f t="shared" si="180"/>
        <v>130632443676.78427</v>
      </c>
      <c r="AC80" s="321">
        <f t="shared" si="181"/>
        <v>1.099188981760638</v>
      </c>
    </row>
    <row r="81" spans="1:29" ht="25.5" x14ac:dyDescent="0.2">
      <c r="B81" s="323" t="s">
        <v>954</v>
      </c>
      <c r="C81" s="206" t="s">
        <v>955</v>
      </c>
      <c r="D81" s="324">
        <v>101737552500</v>
      </c>
      <c r="E81" s="325">
        <f>SUM('ADICIONES  2021'!C81:N81)</f>
        <v>1862742791.0999999</v>
      </c>
      <c r="F81" s="277">
        <f>+F80*81.390042%</f>
        <v>0</v>
      </c>
      <c r="G81" s="277">
        <v>350000000</v>
      </c>
      <c r="H81" s="277">
        <v>1559810323.22</v>
      </c>
      <c r="I81" s="277">
        <f t="shared" ref="I81:J81" si="190">+I80*81.390042%</f>
        <v>0</v>
      </c>
      <c r="J81" s="277">
        <f t="shared" si="190"/>
        <v>0</v>
      </c>
      <c r="K81" s="281">
        <f t="shared" si="170"/>
        <v>102390484967.88</v>
      </c>
      <c r="L81" s="277">
        <f>15060003000*81.390042%</f>
        <v>12257342766.901258</v>
      </c>
      <c r="M81" s="277">
        <f>13145834000*81.390042%</f>
        <v>10699399813.850279</v>
      </c>
      <c r="N81" s="277">
        <f>10319168000*81.390042%</f>
        <v>8398775169.2505598</v>
      </c>
      <c r="O81" s="277">
        <f>10878819000*81.390042%</f>
        <v>8854275353.2039795</v>
      </c>
      <c r="P81" s="277">
        <f>11220307000*81.390042%</f>
        <v>9132212579.8289394</v>
      </c>
      <c r="Q81" s="277">
        <f>10432363000*81.390042%</f>
        <v>8490904627.2924595</v>
      </c>
      <c r="R81" s="281">
        <f t="shared" si="178"/>
        <v>57832910310.327477</v>
      </c>
      <c r="S81" s="277">
        <f>9490097000*81.390042%</f>
        <v>7723993934.1407394</v>
      </c>
      <c r="T81" s="277">
        <f>9758423000*81.390042%</f>
        <v>7942384578.2376595</v>
      </c>
      <c r="U81" s="277">
        <f>12547255000*81.390042%</f>
        <v>10212216114.347099</v>
      </c>
      <c r="V81" s="277">
        <f>11804401000*81.390042%</f>
        <v>9607606931.7484188</v>
      </c>
      <c r="W81" s="277">
        <f>12993962000*81.390042%</f>
        <v>10575791129.26404</v>
      </c>
      <c r="X81" s="277">
        <f>12992421000*81.390042%</f>
        <v>10574536908.71682</v>
      </c>
      <c r="Y81" s="277">
        <v>-1796155040.169693</v>
      </c>
      <c r="Z81" s="277">
        <f t="shared" ref="Z81" si="191">+Z80*81.390042%</f>
        <v>0</v>
      </c>
      <c r="AA81" s="281">
        <f t="shared" si="24"/>
        <v>54840374556.28508</v>
      </c>
      <c r="AB81" s="403">
        <f t="shared" si="180"/>
        <v>112673284866.61255</v>
      </c>
      <c r="AC81" s="326">
        <f t="shared" si="181"/>
        <v>1.1004272994893838</v>
      </c>
    </row>
    <row r="82" spans="1:29" ht="25.5" hidden="1" x14ac:dyDescent="0.2">
      <c r="B82" s="323" t="s">
        <v>954</v>
      </c>
      <c r="C82" s="206" t="s">
        <v>955</v>
      </c>
      <c r="D82" s="324"/>
      <c r="E82" s="325">
        <f>SUM('ADICIONES  2021'!C82:N82)</f>
        <v>0</v>
      </c>
      <c r="F82" s="277"/>
      <c r="G82" s="277"/>
      <c r="H82" s="277"/>
      <c r="I82" s="277"/>
      <c r="J82" s="277"/>
      <c r="K82" s="281">
        <f t="shared" si="170"/>
        <v>0</v>
      </c>
      <c r="L82" s="277"/>
      <c r="M82" s="277"/>
      <c r="N82" s="277"/>
      <c r="O82" s="277"/>
      <c r="P82" s="277"/>
      <c r="Q82" s="277"/>
      <c r="R82" s="281">
        <f t="shared" si="178"/>
        <v>0</v>
      </c>
      <c r="S82" s="277"/>
      <c r="T82" s="277"/>
      <c r="U82" s="277"/>
      <c r="V82" s="277"/>
      <c r="W82" s="277"/>
      <c r="X82" s="277"/>
      <c r="Y82" s="277"/>
      <c r="Z82" s="277"/>
      <c r="AA82" s="281">
        <f t="shared" ref="AA82" si="192">SUM(S82:Z82)</f>
        <v>0</v>
      </c>
      <c r="AB82" s="403">
        <f t="shared" si="180"/>
        <v>0</v>
      </c>
      <c r="AC82" s="326" t="e">
        <f t="shared" si="181"/>
        <v>#DIV/0!</v>
      </c>
    </row>
    <row r="83" spans="1:29" ht="25.5" x14ac:dyDescent="0.2">
      <c r="B83" s="323" t="s">
        <v>956</v>
      </c>
      <c r="C83" s="206" t="s">
        <v>957</v>
      </c>
      <c r="D83" s="324">
        <v>125000000</v>
      </c>
      <c r="E83" s="325">
        <f>SUM('ADICIONES  2021'!C83:N83)</f>
        <v>3855000</v>
      </c>
      <c r="F83" s="277">
        <f t="shared" ref="F83:J83" si="193">+F80*0.1%</f>
        <v>0</v>
      </c>
      <c r="G83" s="277">
        <v>0</v>
      </c>
      <c r="H83" s="277"/>
      <c r="I83" s="277">
        <f t="shared" si="193"/>
        <v>0</v>
      </c>
      <c r="J83" s="277">
        <f t="shared" si="193"/>
        <v>0</v>
      </c>
      <c r="K83" s="281">
        <f t="shared" si="170"/>
        <v>128855000</v>
      </c>
      <c r="L83" s="277">
        <f>15060003000*0.1%</f>
        <v>15060003</v>
      </c>
      <c r="M83" s="277">
        <f>13145834000*0.1%</f>
        <v>13145834</v>
      </c>
      <c r="N83" s="277">
        <f>10319168000*0.1%</f>
        <v>10319168</v>
      </c>
      <c r="O83" s="277">
        <f>10878819000*0.1%</f>
        <v>10878819</v>
      </c>
      <c r="P83" s="277">
        <f>11220307000*0.1%</f>
        <v>11220307</v>
      </c>
      <c r="Q83" s="277">
        <f>10432363000*0.1%</f>
        <v>10432363</v>
      </c>
      <c r="R83" s="281">
        <f t="shared" si="178"/>
        <v>71056494</v>
      </c>
      <c r="S83" s="277">
        <f>9490097000*0.1%</f>
        <v>9490097</v>
      </c>
      <c r="T83" s="277">
        <f>9758423000*0.1%</f>
        <v>9758423</v>
      </c>
      <c r="U83" s="277">
        <f>12547255000*0.1%</f>
        <v>12547255</v>
      </c>
      <c r="V83" s="277">
        <f>11804401000*0.1%</f>
        <v>11804401</v>
      </c>
      <c r="W83" s="277">
        <f>12993962000*0.1%</f>
        <v>12993962</v>
      </c>
      <c r="X83" s="277">
        <f>12992421000*0.1%</f>
        <v>12992421</v>
      </c>
      <c r="Y83" s="277">
        <v>1</v>
      </c>
      <c r="Z83" s="277">
        <f t="shared" ref="Z83" si="194">+Z80*0.1%</f>
        <v>0</v>
      </c>
      <c r="AA83" s="281">
        <f t="shared" ref="AA83:AA146" si="195">SUM(S83:Z83)</f>
        <v>69586560</v>
      </c>
      <c r="AB83" s="403">
        <f t="shared" si="180"/>
        <v>140643054</v>
      </c>
      <c r="AC83" s="326">
        <f t="shared" si="181"/>
        <v>1.0914830933995576</v>
      </c>
    </row>
    <row r="84" spans="1:29" ht="14.25" x14ac:dyDescent="0.2">
      <c r="B84" s="323" t="s">
        <v>958</v>
      </c>
      <c r="C84" s="206" t="s">
        <v>959</v>
      </c>
      <c r="D84" s="324">
        <v>12487500000</v>
      </c>
      <c r="E84" s="325">
        <f>SUM('ADICIONES  2021'!C84:N84)</f>
        <v>385114500</v>
      </c>
      <c r="F84" s="277">
        <f t="shared" ref="F84:J84" si="196">+F80*9.99%</f>
        <v>0</v>
      </c>
      <c r="G84" s="277">
        <v>0</v>
      </c>
      <c r="H84" s="277"/>
      <c r="I84" s="277">
        <f t="shared" si="196"/>
        <v>0</v>
      </c>
      <c r="J84" s="277">
        <f t="shared" si="196"/>
        <v>0</v>
      </c>
      <c r="K84" s="281">
        <f t="shared" si="170"/>
        <v>12872614500</v>
      </c>
      <c r="L84" s="277">
        <f>15060003000*9.99%</f>
        <v>1504494299.7</v>
      </c>
      <c r="M84" s="277">
        <f>13145834000*9.99%</f>
        <v>1313268816.6000001</v>
      </c>
      <c r="N84" s="277">
        <f>10319168000*9.99%</f>
        <v>1030884883.2</v>
      </c>
      <c r="O84" s="277">
        <f>10878819000*9.99%</f>
        <v>1086794018.1000001</v>
      </c>
      <c r="P84" s="277">
        <f>11220307000*9.99%</f>
        <v>1120908669.3</v>
      </c>
      <c r="Q84" s="277">
        <f>10432363000*9.99%</f>
        <v>1042193063.7</v>
      </c>
      <c r="R84" s="281">
        <f t="shared" si="178"/>
        <v>7098543750.6000004</v>
      </c>
      <c r="S84" s="277">
        <f>9490097000*9.99%</f>
        <v>948060690.30000007</v>
      </c>
      <c r="T84" s="277">
        <f>9758423000*9.99%</f>
        <v>974866457.70000005</v>
      </c>
      <c r="U84" s="277">
        <f>12547255000*9.99%</f>
        <v>1253470774.5</v>
      </c>
      <c r="V84" s="277">
        <f>11804401000*9.99%</f>
        <v>1179259659.9000001</v>
      </c>
      <c r="W84" s="277">
        <f>12993962000*9.99%</f>
        <v>1298096803.8</v>
      </c>
      <c r="X84" s="277">
        <f>12992421000*9.99%</f>
        <v>1297942857.9000001</v>
      </c>
      <c r="Y84" s="277">
        <v>99.899999618530273</v>
      </c>
      <c r="Z84" s="277">
        <f t="shared" ref="Z84" si="197">+Z80*9.99%</f>
        <v>0</v>
      </c>
      <c r="AA84" s="281">
        <f t="shared" si="195"/>
        <v>6951697344</v>
      </c>
      <c r="AB84" s="403">
        <f t="shared" si="180"/>
        <v>14050241094.6</v>
      </c>
      <c r="AC84" s="326">
        <f t="shared" si="181"/>
        <v>1.0914830933995576</v>
      </c>
    </row>
    <row r="85" spans="1:29" ht="25.5" x14ac:dyDescent="0.2">
      <c r="B85" s="323" t="s">
        <v>960</v>
      </c>
      <c r="C85" s="206" t="s">
        <v>961</v>
      </c>
      <c r="D85" s="332">
        <v>2247750000</v>
      </c>
      <c r="E85" s="325">
        <f>SUM('ADICIONES  2021'!C85:N85)</f>
        <v>69320610</v>
      </c>
      <c r="F85" s="277">
        <f t="shared" ref="F85:J85" si="198">+F80*1.7982%</f>
        <v>0</v>
      </c>
      <c r="G85" s="277">
        <v>0</v>
      </c>
      <c r="H85" s="277"/>
      <c r="I85" s="277">
        <f t="shared" si="198"/>
        <v>0</v>
      </c>
      <c r="J85" s="277">
        <f t="shared" si="198"/>
        <v>0</v>
      </c>
      <c r="K85" s="281">
        <f t="shared" si="170"/>
        <v>2317070610</v>
      </c>
      <c r="L85" s="277">
        <f>15060003000*1.7982%</f>
        <v>270808973.94600004</v>
      </c>
      <c r="M85" s="277">
        <f>13145834000*1.7982%</f>
        <v>236388386.98800001</v>
      </c>
      <c r="N85" s="277">
        <f>10319168000*1.7982%</f>
        <v>185559278.97600001</v>
      </c>
      <c r="O85" s="277">
        <f>10878819000*1.7982%</f>
        <v>195622923.25800002</v>
      </c>
      <c r="P85" s="277">
        <f>11220307000*1.7982%</f>
        <v>201763560.47400001</v>
      </c>
      <c r="Q85" s="277">
        <f>10432363000*1.7982%</f>
        <v>187594751.46600002</v>
      </c>
      <c r="R85" s="281">
        <f t="shared" si="178"/>
        <v>1277737875.1080003</v>
      </c>
      <c r="S85" s="277">
        <f>9490097000*1.7982%</f>
        <v>170650924.25400001</v>
      </c>
      <c r="T85" s="277">
        <f>9758423000*1.7982%</f>
        <v>175475962.38600001</v>
      </c>
      <c r="U85" s="277">
        <f>12547255000*1.7982%</f>
        <v>225624739.41000003</v>
      </c>
      <c r="V85" s="277">
        <f>11804401000*1.7982%</f>
        <v>212266738.78200001</v>
      </c>
      <c r="W85" s="277">
        <f>12993962000*1.7982%</f>
        <v>233657424.68400002</v>
      </c>
      <c r="X85" s="277">
        <f>12992421000*1.7982%</f>
        <v>233629714.42200002</v>
      </c>
      <c r="Y85" s="277">
        <v>17.98199987411499</v>
      </c>
      <c r="Z85" s="277">
        <f t="shared" ref="Z85" si="199">+Z80*1.7982%</f>
        <v>0</v>
      </c>
      <c r="AA85" s="281">
        <f t="shared" si="195"/>
        <v>1251305521.9199998</v>
      </c>
      <c r="AB85" s="403">
        <f t="shared" si="180"/>
        <v>2529043397.0279999</v>
      </c>
      <c r="AC85" s="326">
        <f t="shared" si="181"/>
        <v>1.0914830933995576</v>
      </c>
    </row>
    <row r="86" spans="1:29" ht="38.25" x14ac:dyDescent="0.2">
      <c r="B86" s="323" t="s">
        <v>962</v>
      </c>
      <c r="C86" s="206" t="s">
        <v>963</v>
      </c>
      <c r="D86" s="324">
        <v>1101397500</v>
      </c>
      <c r="E86" s="325">
        <f>SUM('ADICIONES  2021'!C86:N86)</f>
        <v>33967098.899999999</v>
      </c>
      <c r="F86" s="277">
        <f t="shared" ref="F86:J86" si="200">+F80*0.881118%</f>
        <v>0</v>
      </c>
      <c r="G86" s="277">
        <v>0</v>
      </c>
      <c r="H86" s="277"/>
      <c r="I86" s="277">
        <f t="shared" si="200"/>
        <v>0</v>
      </c>
      <c r="J86" s="277">
        <f t="shared" si="200"/>
        <v>0</v>
      </c>
      <c r="K86" s="281">
        <f t="shared" si="170"/>
        <v>1135364598.9000001</v>
      </c>
      <c r="L86" s="277">
        <f>15060003000*0.881118%</f>
        <v>132696397.23354</v>
      </c>
      <c r="M86" s="277">
        <f>13145834000*0.881118%</f>
        <v>115830309.62412</v>
      </c>
      <c r="N86" s="277">
        <f>10319168000*0.881118%</f>
        <v>90924046.698239997</v>
      </c>
      <c r="O86" s="277">
        <f>10878819000*0.881118%</f>
        <v>95855232.396420002</v>
      </c>
      <c r="P86" s="277">
        <f>11220307000*0.881118%</f>
        <v>98864144.632259995</v>
      </c>
      <c r="Q86" s="277">
        <f>10432363000*0.881118%</f>
        <v>91921428.218339995</v>
      </c>
      <c r="R86" s="281">
        <f t="shared" si="178"/>
        <v>626091558.80291998</v>
      </c>
      <c r="S86" s="277">
        <f>9490097000*0.881118%</f>
        <v>83618952.884460002</v>
      </c>
      <c r="T86" s="277">
        <f>9758423000*0.881118%</f>
        <v>85983221.569140002</v>
      </c>
      <c r="U86" s="277">
        <f>12547255000*0.881118%</f>
        <v>110556122.3109</v>
      </c>
      <c r="V86" s="277">
        <f>11804401000*0.881118%</f>
        <v>104010702.00318</v>
      </c>
      <c r="W86" s="277">
        <f>12993962000*0.881118%</f>
        <v>114492138.09516001</v>
      </c>
      <c r="X86" s="277">
        <f>12992421000*0.881118%</f>
        <v>114478560.06678</v>
      </c>
      <c r="Y86" s="277">
        <v>8.8111798763275146</v>
      </c>
      <c r="Z86" s="277">
        <f t="shared" ref="Z86" si="201">+Z80*0.881118%</f>
        <v>0</v>
      </c>
      <c r="AA86" s="281">
        <f t="shared" si="195"/>
        <v>613139705.7407999</v>
      </c>
      <c r="AB86" s="403">
        <f t="shared" si="180"/>
        <v>1239231264.5437198</v>
      </c>
      <c r="AC86" s="326">
        <f t="shared" si="181"/>
        <v>1.0914830933995574</v>
      </c>
    </row>
    <row r="87" spans="1:29" s="61" customFormat="1" ht="25.5" x14ac:dyDescent="0.2">
      <c r="A87" s="421">
        <v>1</v>
      </c>
      <c r="B87" s="318" t="s">
        <v>466</v>
      </c>
      <c r="C87" s="319" t="s">
        <v>467</v>
      </c>
      <c r="D87" s="283">
        <v>4000000000</v>
      </c>
      <c r="E87" s="322">
        <f>SUM('ADICIONES  2021'!C87:N87)</f>
        <v>0</v>
      </c>
      <c r="F87" s="279"/>
      <c r="G87" s="279"/>
      <c r="H87" s="279"/>
      <c r="I87" s="279"/>
      <c r="J87" s="279"/>
      <c r="K87" s="276">
        <f t="shared" si="170"/>
        <v>4000000000</v>
      </c>
      <c r="L87" s="279">
        <v>133149000</v>
      </c>
      <c r="M87" s="279">
        <v>131312000</v>
      </c>
      <c r="N87" s="279">
        <v>253734000</v>
      </c>
      <c r="O87" s="279">
        <v>87800000</v>
      </c>
      <c r="P87" s="279">
        <v>103383000</v>
      </c>
      <c r="Q87" s="279">
        <v>93695000</v>
      </c>
      <c r="R87" s="276">
        <f t="shared" si="178"/>
        <v>803073000</v>
      </c>
      <c r="S87" s="279">
        <v>55571000</v>
      </c>
      <c r="T87" s="279">
        <v>164397000</v>
      </c>
      <c r="U87" s="279">
        <v>67200000</v>
      </c>
      <c r="V87" s="279">
        <v>169294000</v>
      </c>
      <c r="W87" s="279">
        <v>150381000</v>
      </c>
      <c r="X87" s="279">
        <v>117235000</v>
      </c>
      <c r="Y87" s="279"/>
      <c r="Z87" s="279"/>
      <c r="AA87" s="276">
        <f t="shared" si="195"/>
        <v>724078000</v>
      </c>
      <c r="AB87" s="402">
        <f t="shared" si="180"/>
        <v>1527151000</v>
      </c>
      <c r="AC87" s="321">
        <f t="shared" si="181"/>
        <v>0.38178774999999998</v>
      </c>
    </row>
    <row r="88" spans="1:29" ht="25.5" x14ac:dyDescent="0.2">
      <c r="B88" s="323" t="s">
        <v>468</v>
      </c>
      <c r="C88" s="206" t="s">
        <v>151</v>
      </c>
      <c r="D88" s="324">
        <f>+D87*87.230682%</f>
        <v>3489227280</v>
      </c>
      <c r="E88" s="325">
        <f>SUM('ADICIONES  2021'!C88:N88)</f>
        <v>0</v>
      </c>
      <c r="F88" s="277">
        <f t="shared" ref="F88:J88" si="202">+F87*87.230682%</f>
        <v>0</v>
      </c>
      <c r="G88" s="277">
        <f t="shared" si="202"/>
        <v>0</v>
      </c>
      <c r="H88" s="277">
        <f t="shared" si="202"/>
        <v>0</v>
      </c>
      <c r="I88" s="277">
        <f t="shared" si="202"/>
        <v>0</v>
      </c>
      <c r="J88" s="277">
        <f t="shared" si="202"/>
        <v>0</v>
      </c>
      <c r="K88" s="281">
        <f t="shared" si="170"/>
        <v>3489227280</v>
      </c>
      <c r="L88" s="277">
        <f t="shared" ref="L88:Q88" si="203">+L87*87.230682%</f>
        <v>116146780.77618</v>
      </c>
      <c r="M88" s="277">
        <f t="shared" si="203"/>
        <v>114544353.14784001</v>
      </c>
      <c r="N88" s="277">
        <f t="shared" si="203"/>
        <v>221333898.66588002</v>
      </c>
      <c r="O88" s="277">
        <f t="shared" si="203"/>
        <v>76588538.796000004</v>
      </c>
      <c r="P88" s="277">
        <f t="shared" si="203"/>
        <v>90181695.97206001</v>
      </c>
      <c r="Q88" s="277">
        <f t="shared" si="203"/>
        <v>81730787.499899998</v>
      </c>
      <c r="R88" s="281">
        <f t="shared" si="178"/>
        <v>700526054.85785997</v>
      </c>
      <c r="S88" s="277">
        <f t="shared" ref="S88:Z88" si="204">+S87*87.230682%</f>
        <v>48474962.294220001</v>
      </c>
      <c r="T88" s="277">
        <f t="shared" si="204"/>
        <v>143404624.28754002</v>
      </c>
      <c r="U88" s="277">
        <f t="shared" si="204"/>
        <v>58619018.304000005</v>
      </c>
      <c r="V88" s="277">
        <f t="shared" si="204"/>
        <v>147676310.78508002</v>
      </c>
      <c r="W88" s="277">
        <f t="shared" si="204"/>
        <v>131178371.89842001</v>
      </c>
      <c r="X88" s="277">
        <f t="shared" si="204"/>
        <v>102264890.04270001</v>
      </c>
      <c r="Y88" s="277">
        <f t="shared" si="204"/>
        <v>0</v>
      </c>
      <c r="Z88" s="277">
        <f t="shared" si="204"/>
        <v>0</v>
      </c>
      <c r="AA88" s="281">
        <f t="shared" si="195"/>
        <v>631618177.61196005</v>
      </c>
      <c r="AB88" s="403">
        <f t="shared" si="180"/>
        <v>1332144232.46982</v>
      </c>
      <c r="AC88" s="326">
        <f t="shared" si="181"/>
        <v>0.38178774999999998</v>
      </c>
    </row>
    <row r="89" spans="1:29" ht="25.5" x14ac:dyDescent="0.2">
      <c r="B89" s="323" t="s">
        <v>469</v>
      </c>
      <c r="C89" s="206" t="s">
        <v>152</v>
      </c>
      <c r="D89" s="324">
        <f>+D87*0.1%</f>
        <v>4000000</v>
      </c>
      <c r="E89" s="325">
        <f>SUM('ADICIONES  2021'!C89:N89)</f>
        <v>0</v>
      </c>
      <c r="F89" s="277">
        <f t="shared" ref="F89:J89" si="205">+F87*0.1%</f>
        <v>0</v>
      </c>
      <c r="G89" s="277">
        <f t="shared" si="205"/>
        <v>0</v>
      </c>
      <c r="H89" s="277">
        <f t="shared" si="205"/>
        <v>0</v>
      </c>
      <c r="I89" s="277">
        <f t="shared" si="205"/>
        <v>0</v>
      </c>
      <c r="J89" s="277">
        <f t="shared" si="205"/>
        <v>0</v>
      </c>
      <c r="K89" s="281">
        <f t="shared" si="170"/>
        <v>4000000</v>
      </c>
      <c r="L89" s="277">
        <f t="shared" ref="L89:Q89" si="206">+L87*0.1%</f>
        <v>133149</v>
      </c>
      <c r="M89" s="277">
        <f t="shared" si="206"/>
        <v>131312</v>
      </c>
      <c r="N89" s="277">
        <f t="shared" si="206"/>
        <v>253734</v>
      </c>
      <c r="O89" s="277">
        <f t="shared" si="206"/>
        <v>87800</v>
      </c>
      <c r="P89" s="277">
        <f t="shared" si="206"/>
        <v>103383</v>
      </c>
      <c r="Q89" s="277">
        <f t="shared" si="206"/>
        <v>93695</v>
      </c>
      <c r="R89" s="281">
        <f t="shared" si="178"/>
        <v>803073</v>
      </c>
      <c r="S89" s="277">
        <f t="shared" ref="S89:Z89" si="207">+S87*0.1%</f>
        <v>55571</v>
      </c>
      <c r="T89" s="277">
        <f t="shared" si="207"/>
        <v>164397</v>
      </c>
      <c r="U89" s="277">
        <f t="shared" si="207"/>
        <v>67200</v>
      </c>
      <c r="V89" s="277">
        <f t="shared" si="207"/>
        <v>169294</v>
      </c>
      <c r="W89" s="277">
        <f t="shared" si="207"/>
        <v>150381</v>
      </c>
      <c r="X89" s="277">
        <f t="shared" si="207"/>
        <v>117235</v>
      </c>
      <c r="Y89" s="277">
        <f t="shared" si="207"/>
        <v>0</v>
      </c>
      <c r="Z89" s="277">
        <f t="shared" si="207"/>
        <v>0</v>
      </c>
      <c r="AA89" s="281">
        <f t="shared" si="195"/>
        <v>724078</v>
      </c>
      <c r="AB89" s="403">
        <f t="shared" si="180"/>
        <v>1527151</v>
      </c>
      <c r="AC89" s="326">
        <f t="shared" si="181"/>
        <v>0.38178774999999998</v>
      </c>
    </row>
    <row r="90" spans="1:29" ht="25.5" x14ac:dyDescent="0.2">
      <c r="B90" s="323" t="s">
        <v>470</v>
      </c>
      <c r="C90" s="329" t="s">
        <v>153</v>
      </c>
      <c r="D90" s="324">
        <f>+D87*9.99%</f>
        <v>399600000</v>
      </c>
      <c r="E90" s="325">
        <f>SUM('ADICIONES  2021'!C90:N90)</f>
        <v>0</v>
      </c>
      <c r="F90" s="277">
        <f t="shared" ref="F90:J90" si="208">+F87*9.99%</f>
        <v>0</v>
      </c>
      <c r="G90" s="277">
        <f t="shared" si="208"/>
        <v>0</v>
      </c>
      <c r="H90" s="277">
        <f t="shared" si="208"/>
        <v>0</v>
      </c>
      <c r="I90" s="277">
        <f t="shared" si="208"/>
        <v>0</v>
      </c>
      <c r="J90" s="277">
        <f t="shared" si="208"/>
        <v>0</v>
      </c>
      <c r="K90" s="281">
        <f t="shared" si="170"/>
        <v>399600000</v>
      </c>
      <c r="L90" s="277">
        <f t="shared" ref="L90:Q90" si="209">+L87*9.99%</f>
        <v>13301585.1</v>
      </c>
      <c r="M90" s="277">
        <f t="shared" si="209"/>
        <v>13118068.800000001</v>
      </c>
      <c r="N90" s="277">
        <f t="shared" si="209"/>
        <v>25348026.600000001</v>
      </c>
      <c r="O90" s="277">
        <f t="shared" si="209"/>
        <v>8771220</v>
      </c>
      <c r="P90" s="277">
        <f t="shared" si="209"/>
        <v>10327961.700000001</v>
      </c>
      <c r="Q90" s="277">
        <f t="shared" si="209"/>
        <v>9360130.5</v>
      </c>
      <c r="R90" s="281">
        <f t="shared" si="178"/>
        <v>80226992.700000003</v>
      </c>
      <c r="S90" s="277">
        <f t="shared" ref="S90:Z90" si="210">+S87*9.99%</f>
        <v>5551542.9000000004</v>
      </c>
      <c r="T90" s="277">
        <f t="shared" si="210"/>
        <v>16423260.300000001</v>
      </c>
      <c r="U90" s="277">
        <f t="shared" si="210"/>
        <v>6713280</v>
      </c>
      <c r="V90" s="277">
        <f t="shared" si="210"/>
        <v>16912470.600000001</v>
      </c>
      <c r="W90" s="277">
        <f t="shared" si="210"/>
        <v>15023061.9</v>
      </c>
      <c r="X90" s="277">
        <f t="shared" si="210"/>
        <v>11711776.5</v>
      </c>
      <c r="Y90" s="277">
        <f t="shared" si="210"/>
        <v>0</v>
      </c>
      <c r="Z90" s="277">
        <f t="shared" si="210"/>
        <v>0</v>
      </c>
      <c r="AA90" s="281">
        <f t="shared" si="195"/>
        <v>72335392.200000003</v>
      </c>
      <c r="AB90" s="403">
        <f t="shared" si="180"/>
        <v>152562384.90000001</v>
      </c>
      <c r="AC90" s="326">
        <f t="shared" si="181"/>
        <v>0.38178775000000004</v>
      </c>
    </row>
    <row r="91" spans="1:29" ht="25.5" x14ac:dyDescent="0.2">
      <c r="B91" s="323" t="s">
        <v>471</v>
      </c>
      <c r="C91" s="206" t="s">
        <v>154</v>
      </c>
      <c r="D91" s="324">
        <f>+D87*1.7982%</f>
        <v>71928000</v>
      </c>
      <c r="E91" s="325">
        <f>SUM('ADICIONES  2021'!C91:N91)</f>
        <v>0</v>
      </c>
      <c r="F91" s="277">
        <f t="shared" ref="F91:J91" si="211">+F87*1.7982%</f>
        <v>0</v>
      </c>
      <c r="G91" s="277">
        <f t="shared" si="211"/>
        <v>0</v>
      </c>
      <c r="H91" s="277">
        <f t="shared" si="211"/>
        <v>0</v>
      </c>
      <c r="I91" s="277">
        <f t="shared" si="211"/>
        <v>0</v>
      </c>
      <c r="J91" s="277">
        <f t="shared" si="211"/>
        <v>0</v>
      </c>
      <c r="K91" s="281">
        <f t="shared" si="170"/>
        <v>71928000</v>
      </c>
      <c r="L91" s="277">
        <f t="shared" ref="L91:Q91" si="212">+L87*1.7982%</f>
        <v>2394285.318</v>
      </c>
      <c r="M91" s="277">
        <f t="shared" si="212"/>
        <v>2361252.3840000001</v>
      </c>
      <c r="N91" s="277">
        <f t="shared" si="212"/>
        <v>4562644.7880000006</v>
      </c>
      <c r="O91" s="277">
        <f t="shared" si="212"/>
        <v>1578819.6</v>
      </c>
      <c r="P91" s="277">
        <f t="shared" si="212"/>
        <v>1859033.1060000001</v>
      </c>
      <c r="Q91" s="277">
        <f t="shared" si="212"/>
        <v>1684823.4900000002</v>
      </c>
      <c r="R91" s="281">
        <f t="shared" si="178"/>
        <v>14440858.686000001</v>
      </c>
      <c r="S91" s="277">
        <f t="shared" ref="S91:Z91" si="213">+S87*1.7982%</f>
        <v>999277.72200000007</v>
      </c>
      <c r="T91" s="277">
        <f t="shared" si="213"/>
        <v>2956186.8540000003</v>
      </c>
      <c r="U91" s="277">
        <f t="shared" si="213"/>
        <v>1208390.4000000001</v>
      </c>
      <c r="V91" s="277">
        <f t="shared" si="213"/>
        <v>3044244.7080000001</v>
      </c>
      <c r="W91" s="277">
        <f t="shared" si="213"/>
        <v>2704151.142</v>
      </c>
      <c r="X91" s="277">
        <f t="shared" si="213"/>
        <v>2108119.77</v>
      </c>
      <c r="Y91" s="277">
        <f t="shared" si="213"/>
        <v>0</v>
      </c>
      <c r="Z91" s="277">
        <f t="shared" si="213"/>
        <v>0</v>
      </c>
      <c r="AA91" s="281">
        <f t="shared" si="195"/>
        <v>13020370.596000001</v>
      </c>
      <c r="AB91" s="403">
        <f t="shared" si="180"/>
        <v>27461229.282000002</v>
      </c>
      <c r="AC91" s="326">
        <f t="shared" si="181"/>
        <v>0.38178775000000004</v>
      </c>
    </row>
    <row r="92" spans="1:29" ht="38.25" x14ac:dyDescent="0.2">
      <c r="B92" s="323" t="s">
        <v>472</v>
      </c>
      <c r="C92" s="206" t="s">
        <v>155</v>
      </c>
      <c r="D92" s="324">
        <f>+D87*0.881118%</f>
        <v>35244720</v>
      </c>
      <c r="E92" s="325">
        <f>SUM('ADICIONES  2021'!C92:N92)</f>
        <v>0</v>
      </c>
      <c r="F92" s="277">
        <f t="shared" ref="F92:J92" si="214">+F87*0.881118%</f>
        <v>0</v>
      </c>
      <c r="G92" s="277">
        <f t="shared" si="214"/>
        <v>0</v>
      </c>
      <c r="H92" s="277">
        <f t="shared" si="214"/>
        <v>0</v>
      </c>
      <c r="I92" s="277">
        <f t="shared" si="214"/>
        <v>0</v>
      </c>
      <c r="J92" s="277">
        <f t="shared" si="214"/>
        <v>0</v>
      </c>
      <c r="K92" s="281">
        <f t="shared" si="170"/>
        <v>35244720</v>
      </c>
      <c r="L92" s="277">
        <f t="shared" ref="L92:Q92" si="215">+L87*0.881118%</f>
        <v>1173199.8058199999</v>
      </c>
      <c r="M92" s="277">
        <f t="shared" si="215"/>
        <v>1157013.6681600001</v>
      </c>
      <c r="N92" s="277">
        <f t="shared" si="215"/>
        <v>2235695.94612</v>
      </c>
      <c r="O92" s="277">
        <f t="shared" si="215"/>
        <v>773621.60400000005</v>
      </c>
      <c r="P92" s="277">
        <f t="shared" si="215"/>
        <v>910926.22193999996</v>
      </c>
      <c r="Q92" s="277">
        <f t="shared" si="215"/>
        <v>825563.51009999996</v>
      </c>
      <c r="R92" s="281">
        <f t="shared" si="178"/>
        <v>7076020.7561399993</v>
      </c>
      <c r="S92" s="277">
        <f t="shared" ref="S92:Z92" si="216">+S87*0.881118%</f>
        <v>489646.08377999999</v>
      </c>
      <c r="T92" s="277">
        <f t="shared" si="216"/>
        <v>1448531.55846</v>
      </c>
      <c r="U92" s="277">
        <f t="shared" si="216"/>
        <v>592111.29599999997</v>
      </c>
      <c r="V92" s="277">
        <f t="shared" si="216"/>
        <v>1491679.90692</v>
      </c>
      <c r="W92" s="277">
        <f t="shared" si="216"/>
        <v>1325034.0595800001</v>
      </c>
      <c r="X92" s="277">
        <f t="shared" si="216"/>
        <v>1032978.6873</v>
      </c>
      <c r="Y92" s="277">
        <f t="shared" si="216"/>
        <v>0</v>
      </c>
      <c r="Z92" s="277">
        <f t="shared" si="216"/>
        <v>0</v>
      </c>
      <c r="AA92" s="281">
        <f t="shared" si="195"/>
        <v>6379981.5920400005</v>
      </c>
      <c r="AB92" s="403">
        <f t="shared" si="180"/>
        <v>13456002.34818</v>
      </c>
      <c r="AC92" s="326">
        <f t="shared" si="181"/>
        <v>0.38178774999999998</v>
      </c>
    </row>
    <row r="93" spans="1:29" s="61" customFormat="1" ht="15.75" x14ac:dyDescent="0.2">
      <c r="A93" s="421"/>
      <c r="B93" s="318" t="s">
        <v>473</v>
      </c>
      <c r="C93" s="319" t="s">
        <v>474</v>
      </c>
      <c r="D93" s="283">
        <f>+D94</f>
        <v>16000000000</v>
      </c>
      <c r="E93" s="322">
        <f>SUM('ADICIONES  2021'!C93:N93)</f>
        <v>0</v>
      </c>
      <c r="F93" s="275">
        <f t="shared" ref="F93:Z93" si="217">+F94</f>
        <v>0</v>
      </c>
      <c r="G93" s="275">
        <f t="shared" si="217"/>
        <v>0</v>
      </c>
      <c r="H93" s="275">
        <f t="shared" si="217"/>
        <v>0</v>
      </c>
      <c r="I93" s="275">
        <f t="shared" si="217"/>
        <v>0</v>
      </c>
      <c r="J93" s="275">
        <f t="shared" si="217"/>
        <v>0</v>
      </c>
      <c r="K93" s="276">
        <f t="shared" si="170"/>
        <v>16000000000</v>
      </c>
      <c r="L93" s="275">
        <f t="shared" si="217"/>
        <v>2256310592</v>
      </c>
      <c r="M93" s="275">
        <f t="shared" si="217"/>
        <v>501577217</v>
      </c>
      <c r="N93" s="275">
        <f t="shared" si="217"/>
        <v>1172862674</v>
      </c>
      <c r="O93" s="275">
        <f t="shared" si="217"/>
        <v>1313844793</v>
      </c>
      <c r="P93" s="275">
        <f t="shared" si="217"/>
        <v>1447433120</v>
      </c>
      <c r="Q93" s="275">
        <f t="shared" si="217"/>
        <v>1215837824</v>
      </c>
      <c r="R93" s="276">
        <f t="shared" si="178"/>
        <v>7907866220</v>
      </c>
      <c r="S93" s="275">
        <f t="shared" si="217"/>
        <v>1045183945</v>
      </c>
      <c r="T93" s="275">
        <f t="shared" si="217"/>
        <v>1197661255</v>
      </c>
      <c r="U93" s="275">
        <f t="shared" si="217"/>
        <v>1908985568</v>
      </c>
      <c r="V93" s="275">
        <f t="shared" si="217"/>
        <v>1253732511</v>
      </c>
      <c r="W93" s="275">
        <f t="shared" si="217"/>
        <v>1437718960</v>
      </c>
      <c r="X93" s="275">
        <f t="shared" si="217"/>
        <v>1299091424</v>
      </c>
      <c r="Y93" s="275">
        <f t="shared" si="217"/>
        <v>0</v>
      </c>
      <c r="Z93" s="275">
        <f t="shared" si="217"/>
        <v>0</v>
      </c>
      <c r="AA93" s="276">
        <f t="shared" si="195"/>
        <v>8142373663</v>
      </c>
      <c r="AB93" s="402">
        <f t="shared" si="180"/>
        <v>16050239883</v>
      </c>
      <c r="AC93" s="321">
        <f t="shared" si="181"/>
        <v>1.0031399926875</v>
      </c>
    </row>
    <row r="94" spans="1:29" s="61" customFormat="1" ht="25.5" x14ac:dyDescent="0.2">
      <c r="A94" s="421">
        <v>1</v>
      </c>
      <c r="B94" s="318" t="s">
        <v>475</v>
      </c>
      <c r="C94" s="319" t="s">
        <v>476</v>
      </c>
      <c r="D94" s="283">
        <f>+D95+D102</f>
        <v>16000000000</v>
      </c>
      <c r="E94" s="322">
        <f>SUM('ADICIONES  2021'!C94:N94)</f>
        <v>0</v>
      </c>
      <c r="F94" s="275">
        <f t="shared" ref="F94:J94" si="218">+F95+F102</f>
        <v>0</v>
      </c>
      <c r="G94" s="275">
        <f t="shared" si="218"/>
        <v>0</v>
      </c>
      <c r="H94" s="275">
        <f t="shared" si="218"/>
        <v>0</v>
      </c>
      <c r="I94" s="275">
        <f t="shared" si="218"/>
        <v>0</v>
      </c>
      <c r="J94" s="275">
        <f t="shared" si="218"/>
        <v>0</v>
      </c>
      <c r="K94" s="276">
        <f t="shared" si="170"/>
        <v>16000000000</v>
      </c>
      <c r="L94" s="275">
        <f t="shared" ref="L94:Q94" si="219">+L95+L102</f>
        <v>2256310592</v>
      </c>
      <c r="M94" s="275">
        <f t="shared" si="219"/>
        <v>501577217</v>
      </c>
      <c r="N94" s="275">
        <f t="shared" si="219"/>
        <v>1172862674</v>
      </c>
      <c r="O94" s="275">
        <f t="shared" si="219"/>
        <v>1313844793</v>
      </c>
      <c r="P94" s="275">
        <f t="shared" si="219"/>
        <v>1447433120</v>
      </c>
      <c r="Q94" s="275">
        <f t="shared" si="219"/>
        <v>1215837824</v>
      </c>
      <c r="R94" s="276">
        <f t="shared" si="178"/>
        <v>7907866220</v>
      </c>
      <c r="S94" s="275">
        <f t="shared" ref="S94:Z94" si="220">+S95+S102</f>
        <v>1045183945</v>
      </c>
      <c r="T94" s="275">
        <f t="shared" si="220"/>
        <v>1197661255</v>
      </c>
      <c r="U94" s="275">
        <f t="shared" si="220"/>
        <v>1908985568</v>
      </c>
      <c r="V94" s="275">
        <f t="shared" si="220"/>
        <v>1253732511</v>
      </c>
      <c r="W94" s="275">
        <f t="shared" si="220"/>
        <v>1437718960</v>
      </c>
      <c r="X94" s="275">
        <f t="shared" si="220"/>
        <v>1299091424</v>
      </c>
      <c r="Y94" s="275">
        <f t="shared" si="220"/>
        <v>0</v>
      </c>
      <c r="Z94" s="275">
        <f t="shared" si="220"/>
        <v>0</v>
      </c>
      <c r="AA94" s="276">
        <f t="shared" si="195"/>
        <v>8142373663</v>
      </c>
      <c r="AB94" s="402">
        <f t="shared" si="180"/>
        <v>16050239883</v>
      </c>
      <c r="AC94" s="321">
        <f t="shared" si="181"/>
        <v>1.0031399926875</v>
      </c>
    </row>
    <row r="95" spans="1:29" s="61" customFormat="1" ht="25.5" x14ac:dyDescent="0.2">
      <c r="A95" s="421">
        <v>1</v>
      </c>
      <c r="B95" s="318" t="s">
        <v>477</v>
      </c>
      <c r="C95" s="319" t="s">
        <v>478</v>
      </c>
      <c r="D95" s="331">
        <v>0</v>
      </c>
      <c r="E95" s="322">
        <f>SUM('ADICIONES  2021'!C95:N95)</f>
        <v>0</v>
      </c>
      <c r="F95" s="276"/>
      <c r="G95" s="276"/>
      <c r="H95" s="276"/>
      <c r="I95" s="276"/>
      <c r="J95" s="276"/>
      <c r="K95" s="276">
        <f t="shared" si="170"/>
        <v>0</v>
      </c>
      <c r="L95" s="276">
        <v>0</v>
      </c>
      <c r="M95" s="276">
        <v>0</v>
      </c>
      <c r="N95" s="276">
        <v>0</v>
      </c>
      <c r="O95" s="276">
        <v>0</v>
      </c>
      <c r="P95" s="276">
        <v>0</v>
      </c>
      <c r="Q95" s="276">
        <v>0</v>
      </c>
      <c r="R95" s="276">
        <f t="shared" si="178"/>
        <v>0</v>
      </c>
      <c r="S95" s="276">
        <v>0</v>
      </c>
      <c r="T95" s="276">
        <v>0</v>
      </c>
      <c r="U95" s="276">
        <v>0</v>
      </c>
      <c r="V95" s="276">
        <v>0</v>
      </c>
      <c r="W95" s="276">
        <v>0</v>
      </c>
      <c r="X95" s="276">
        <v>0</v>
      </c>
      <c r="Y95" s="276"/>
      <c r="Z95" s="276"/>
      <c r="AA95" s="276">
        <f t="shared" si="195"/>
        <v>0</v>
      </c>
      <c r="AB95" s="402">
        <f t="shared" si="180"/>
        <v>0</v>
      </c>
      <c r="AC95" s="321">
        <v>0</v>
      </c>
    </row>
    <row r="96" spans="1:29" ht="25.5" x14ac:dyDescent="0.2">
      <c r="B96" s="323" t="s">
        <v>479</v>
      </c>
      <c r="C96" s="206" t="s">
        <v>156</v>
      </c>
      <c r="D96" s="324">
        <f>+D95*82.8691479%</f>
        <v>0</v>
      </c>
      <c r="E96" s="325">
        <f>SUM('ADICIONES  2021'!C96:N96)</f>
        <v>0</v>
      </c>
      <c r="F96" s="277">
        <f t="shared" ref="F96:J96" si="221">+F95*82.8691479%</f>
        <v>0</v>
      </c>
      <c r="G96" s="277">
        <f t="shared" si="221"/>
        <v>0</v>
      </c>
      <c r="H96" s="277">
        <f t="shared" si="221"/>
        <v>0</v>
      </c>
      <c r="I96" s="277">
        <f t="shared" si="221"/>
        <v>0</v>
      </c>
      <c r="J96" s="277">
        <f t="shared" si="221"/>
        <v>0</v>
      </c>
      <c r="K96" s="281">
        <f t="shared" si="170"/>
        <v>0</v>
      </c>
      <c r="L96" s="277">
        <f t="shared" ref="L96:Q96" si="222">+L95*82.8691479%</f>
        <v>0</v>
      </c>
      <c r="M96" s="277">
        <f t="shared" si="222"/>
        <v>0</v>
      </c>
      <c r="N96" s="277">
        <f t="shared" si="222"/>
        <v>0</v>
      </c>
      <c r="O96" s="277">
        <f t="shared" si="222"/>
        <v>0</v>
      </c>
      <c r="P96" s="277">
        <f t="shared" si="222"/>
        <v>0</v>
      </c>
      <c r="Q96" s="277">
        <f t="shared" si="222"/>
        <v>0</v>
      </c>
      <c r="R96" s="281">
        <f t="shared" si="178"/>
        <v>0</v>
      </c>
      <c r="S96" s="277">
        <f t="shared" ref="S96:Z96" si="223">+S95*82.8691479%</f>
        <v>0</v>
      </c>
      <c r="T96" s="277">
        <f t="shared" si="223"/>
        <v>0</v>
      </c>
      <c r="U96" s="277">
        <f t="shared" si="223"/>
        <v>0</v>
      </c>
      <c r="V96" s="277">
        <f t="shared" si="223"/>
        <v>0</v>
      </c>
      <c r="W96" s="277">
        <f t="shared" si="223"/>
        <v>0</v>
      </c>
      <c r="X96" s="277">
        <f t="shared" si="223"/>
        <v>0</v>
      </c>
      <c r="Y96" s="277">
        <f t="shared" si="223"/>
        <v>0</v>
      </c>
      <c r="Z96" s="277">
        <f t="shared" si="223"/>
        <v>0</v>
      </c>
      <c r="AA96" s="281">
        <f t="shared" si="195"/>
        <v>0</v>
      </c>
      <c r="AB96" s="403">
        <f t="shared" si="180"/>
        <v>0</v>
      </c>
      <c r="AC96" s="326">
        <v>0</v>
      </c>
    </row>
    <row r="97" spans="1:29" ht="25.5" x14ac:dyDescent="0.2">
      <c r="B97" s="323" t="s">
        <v>480</v>
      </c>
      <c r="C97" s="206" t="s">
        <v>157</v>
      </c>
      <c r="D97" s="324">
        <f>+D95*0.095%</f>
        <v>0</v>
      </c>
      <c r="E97" s="325">
        <f>SUM('ADICIONES  2021'!C97:N97)</f>
        <v>0</v>
      </c>
      <c r="F97" s="277">
        <f t="shared" ref="F97:J97" si="224">+F95*0.095%</f>
        <v>0</v>
      </c>
      <c r="G97" s="277">
        <f t="shared" si="224"/>
        <v>0</v>
      </c>
      <c r="H97" s="277">
        <f t="shared" si="224"/>
        <v>0</v>
      </c>
      <c r="I97" s="277">
        <f t="shared" si="224"/>
        <v>0</v>
      </c>
      <c r="J97" s="277">
        <f t="shared" si="224"/>
        <v>0</v>
      </c>
      <c r="K97" s="281">
        <f t="shared" si="170"/>
        <v>0</v>
      </c>
      <c r="L97" s="277">
        <f t="shared" ref="L97:Q97" si="225">+L95*0.095%</f>
        <v>0</v>
      </c>
      <c r="M97" s="277">
        <f t="shared" si="225"/>
        <v>0</v>
      </c>
      <c r="N97" s="277">
        <f t="shared" si="225"/>
        <v>0</v>
      </c>
      <c r="O97" s="277">
        <f t="shared" si="225"/>
        <v>0</v>
      </c>
      <c r="P97" s="277">
        <f t="shared" si="225"/>
        <v>0</v>
      </c>
      <c r="Q97" s="277">
        <f t="shared" si="225"/>
        <v>0</v>
      </c>
      <c r="R97" s="281">
        <f t="shared" si="178"/>
        <v>0</v>
      </c>
      <c r="S97" s="277">
        <f t="shared" ref="S97:Z97" si="226">+S95*0.095%</f>
        <v>0</v>
      </c>
      <c r="T97" s="277">
        <f t="shared" si="226"/>
        <v>0</v>
      </c>
      <c r="U97" s="277">
        <f t="shared" si="226"/>
        <v>0</v>
      </c>
      <c r="V97" s="277">
        <f t="shared" si="226"/>
        <v>0</v>
      </c>
      <c r="W97" s="277">
        <f t="shared" si="226"/>
        <v>0</v>
      </c>
      <c r="X97" s="277">
        <f t="shared" si="226"/>
        <v>0</v>
      </c>
      <c r="Y97" s="277">
        <f t="shared" si="226"/>
        <v>0</v>
      </c>
      <c r="Z97" s="277">
        <f t="shared" si="226"/>
        <v>0</v>
      </c>
      <c r="AA97" s="281">
        <f t="shared" si="195"/>
        <v>0</v>
      </c>
      <c r="AB97" s="403">
        <f t="shared" si="180"/>
        <v>0</v>
      </c>
      <c r="AC97" s="326">
        <v>0</v>
      </c>
    </row>
    <row r="98" spans="1:29" ht="25.5" x14ac:dyDescent="0.2">
      <c r="B98" s="323" t="s">
        <v>481</v>
      </c>
      <c r="C98" s="206" t="s">
        <v>158</v>
      </c>
      <c r="D98" s="324">
        <f>+D95*5%</f>
        <v>0</v>
      </c>
      <c r="E98" s="325">
        <f>SUM('ADICIONES  2021'!C98:N98)</f>
        <v>0</v>
      </c>
      <c r="F98" s="277">
        <f t="shared" ref="F98:J98" si="227">+F95*5%</f>
        <v>0</v>
      </c>
      <c r="G98" s="277">
        <f t="shared" si="227"/>
        <v>0</v>
      </c>
      <c r="H98" s="277">
        <f t="shared" si="227"/>
        <v>0</v>
      </c>
      <c r="I98" s="277">
        <f t="shared" si="227"/>
        <v>0</v>
      </c>
      <c r="J98" s="277">
        <f t="shared" si="227"/>
        <v>0</v>
      </c>
      <c r="K98" s="281">
        <f t="shared" si="170"/>
        <v>0</v>
      </c>
      <c r="L98" s="277">
        <f t="shared" ref="L98:Q98" si="228">+L95*5%</f>
        <v>0</v>
      </c>
      <c r="M98" s="277">
        <f t="shared" si="228"/>
        <v>0</v>
      </c>
      <c r="N98" s="277">
        <f t="shared" si="228"/>
        <v>0</v>
      </c>
      <c r="O98" s="277">
        <f t="shared" si="228"/>
        <v>0</v>
      </c>
      <c r="P98" s="277">
        <f t="shared" si="228"/>
        <v>0</v>
      </c>
      <c r="Q98" s="277">
        <f t="shared" si="228"/>
        <v>0</v>
      </c>
      <c r="R98" s="281">
        <f t="shared" si="178"/>
        <v>0</v>
      </c>
      <c r="S98" s="277">
        <f t="shared" ref="S98:Z98" si="229">+S95*5%</f>
        <v>0</v>
      </c>
      <c r="T98" s="277">
        <f t="shared" si="229"/>
        <v>0</v>
      </c>
      <c r="U98" s="277">
        <f t="shared" si="229"/>
        <v>0</v>
      </c>
      <c r="V98" s="277">
        <f t="shared" si="229"/>
        <v>0</v>
      </c>
      <c r="W98" s="277">
        <f t="shared" si="229"/>
        <v>0</v>
      </c>
      <c r="X98" s="277">
        <f t="shared" si="229"/>
        <v>0</v>
      </c>
      <c r="Y98" s="277">
        <f t="shared" si="229"/>
        <v>0</v>
      </c>
      <c r="Z98" s="277">
        <f t="shared" si="229"/>
        <v>0</v>
      </c>
      <c r="AA98" s="281">
        <f t="shared" si="195"/>
        <v>0</v>
      </c>
      <c r="AB98" s="403">
        <f t="shared" si="180"/>
        <v>0</v>
      </c>
      <c r="AC98" s="326">
        <v>0</v>
      </c>
    </row>
    <row r="99" spans="1:29" ht="25.5" x14ac:dyDescent="0.2">
      <c r="B99" s="323" t="s">
        <v>482</v>
      </c>
      <c r="C99" s="329" t="s">
        <v>159</v>
      </c>
      <c r="D99" s="324">
        <f>+D95*9.4905%</f>
        <v>0</v>
      </c>
      <c r="E99" s="325">
        <f>SUM('ADICIONES  2021'!C99:N99)</f>
        <v>0</v>
      </c>
      <c r="F99" s="277">
        <f t="shared" ref="F99:J99" si="230">+F95*9.4905%</f>
        <v>0</v>
      </c>
      <c r="G99" s="277">
        <f t="shared" si="230"/>
        <v>0</v>
      </c>
      <c r="H99" s="277">
        <f t="shared" si="230"/>
        <v>0</v>
      </c>
      <c r="I99" s="277">
        <f t="shared" si="230"/>
        <v>0</v>
      </c>
      <c r="J99" s="277">
        <f t="shared" si="230"/>
        <v>0</v>
      </c>
      <c r="K99" s="281">
        <f t="shared" si="170"/>
        <v>0</v>
      </c>
      <c r="L99" s="277">
        <f t="shared" ref="L99:Q99" si="231">+L95*9.4905%</f>
        <v>0</v>
      </c>
      <c r="M99" s="277">
        <f t="shared" si="231"/>
        <v>0</v>
      </c>
      <c r="N99" s="277">
        <f t="shared" si="231"/>
        <v>0</v>
      </c>
      <c r="O99" s="277">
        <f t="shared" si="231"/>
        <v>0</v>
      </c>
      <c r="P99" s="277">
        <f t="shared" si="231"/>
        <v>0</v>
      </c>
      <c r="Q99" s="277">
        <f t="shared" si="231"/>
        <v>0</v>
      </c>
      <c r="R99" s="281">
        <f t="shared" si="178"/>
        <v>0</v>
      </c>
      <c r="S99" s="277">
        <f t="shared" ref="S99:Z99" si="232">+S95*9.4905%</f>
        <v>0</v>
      </c>
      <c r="T99" s="277">
        <f t="shared" si="232"/>
        <v>0</v>
      </c>
      <c r="U99" s="277">
        <f t="shared" si="232"/>
        <v>0</v>
      </c>
      <c r="V99" s="277">
        <f t="shared" si="232"/>
        <v>0</v>
      </c>
      <c r="W99" s="277">
        <f t="shared" si="232"/>
        <v>0</v>
      </c>
      <c r="X99" s="277">
        <f t="shared" si="232"/>
        <v>0</v>
      </c>
      <c r="Y99" s="277">
        <f t="shared" si="232"/>
        <v>0</v>
      </c>
      <c r="Z99" s="277">
        <f t="shared" si="232"/>
        <v>0</v>
      </c>
      <c r="AA99" s="281">
        <f t="shared" si="195"/>
        <v>0</v>
      </c>
      <c r="AB99" s="403">
        <f t="shared" si="180"/>
        <v>0</v>
      </c>
      <c r="AC99" s="326">
        <v>0</v>
      </c>
    </row>
    <row r="100" spans="1:29" ht="25.5" x14ac:dyDescent="0.2">
      <c r="B100" s="323" t="s">
        <v>483</v>
      </c>
      <c r="C100" s="206" t="s">
        <v>160</v>
      </c>
      <c r="D100" s="324">
        <f>+D95*1.70829%</f>
        <v>0</v>
      </c>
      <c r="E100" s="325">
        <f>SUM('ADICIONES  2021'!C100:N100)</f>
        <v>0</v>
      </c>
      <c r="F100" s="277">
        <f t="shared" ref="F100:J100" si="233">+F95*1.70829%</f>
        <v>0</v>
      </c>
      <c r="G100" s="277">
        <f t="shared" si="233"/>
        <v>0</v>
      </c>
      <c r="H100" s="277">
        <f t="shared" si="233"/>
        <v>0</v>
      </c>
      <c r="I100" s="277">
        <f t="shared" si="233"/>
        <v>0</v>
      </c>
      <c r="J100" s="277">
        <f t="shared" si="233"/>
        <v>0</v>
      </c>
      <c r="K100" s="281">
        <f t="shared" si="170"/>
        <v>0</v>
      </c>
      <c r="L100" s="277">
        <f t="shared" ref="L100:Q100" si="234">+L95*1.70829%</f>
        <v>0</v>
      </c>
      <c r="M100" s="277">
        <f t="shared" si="234"/>
        <v>0</v>
      </c>
      <c r="N100" s="277">
        <f t="shared" si="234"/>
        <v>0</v>
      </c>
      <c r="O100" s="277">
        <f t="shared" si="234"/>
        <v>0</v>
      </c>
      <c r="P100" s="277">
        <f t="shared" si="234"/>
        <v>0</v>
      </c>
      <c r="Q100" s="277">
        <f t="shared" si="234"/>
        <v>0</v>
      </c>
      <c r="R100" s="281">
        <f t="shared" si="178"/>
        <v>0</v>
      </c>
      <c r="S100" s="277">
        <f t="shared" ref="S100:Z100" si="235">+S95*1.70829%</f>
        <v>0</v>
      </c>
      <c r="T100" s="277">
        <f t="shared" si="235"/>
        <v>0</v>
      </c>
      <c r="U100" s="277">
        <f t="shared" si="235"/>
        <v>0</v>
      </c>
      <c r="V100" s="277">
        <f t="shared" si="235"/>
        <v>0</v>
      </c>
      <c r="W100" s="277">
        <f t="shared" si="235"/>
        <v>0</v>
      </c>
      <c r="X100" s="277">
        <f t="shared" si="235"/>
        <v>0</v>
      </c>
      <c r="Y100" s="277">
        <f t="shared" si="235"/>
        <v>0</v>
      </c>
      <c r="Z100" s="277">
        <f t="shared" si="235"/>
        <v>0</v>
      </c>
      <c r="AA100" s="281">
        <f t="shared" si="195"/>
        <v>0</v>
      </c>
      <c r="AB100" s="403">
        <f t="shared" si="180"/>
        <v>0</v>
      </c>
      <c r="AC100" s="326">
        <v>0</v>
      </c>
    </row>
    <row r="101" spans="1:29" ht="38.25" x14ac:dyDescent="0.2">
      <c r="B101" s="323" t="s">
        <v>484</v>
      </c>
      <c r="C101" s="206" t="s">
        <v>161</v>
      </c>
      <c r="D101" s="324">
        <f>+D95*0.8370621%</f>
        <v>0</v>
      </c>
      <c r="E101" s="325">
        <f>SUM('ADICIONES  2021'!C101:N101)</f>
        <v>0</v>
      </c>
      <c r="F101" s="277">
        <f t="shared" ref="F101:J101" si="236">+F95*0.8370621%</f>
        <v>0</v>
      </c>
      <c r="G101" s="277">
        <f t="shared" si="236"/>
        <v>0</v>
      </c>
      <c r="H101" s="277">
        <f t="shared" si="236"/>
        <v>0</v>
      </c>
      <c r="I101" s="277">
        <f t="shared" si="236"/>
        <v>0</v>
      </c>
      <c r="J101" s="277">
        <f t="shared" si="236"/>
        <v>0</v>
      </c>
      <c r="K101" s="281">
        <f t="shared" si="170"/>
        <v>0</v>
      </c>
      <c r="L101" s="277">
        <f t="shared" ref="L101:Q101" si="237">+L95*0.8370621%</f>
        <v>0</v>
      </c>
      <c r="M101" s="277">
        <f t="shared" si="237"/>
        <v>0</v>
      </c>
      <c r="N101" s="277">
        <f t="shared" si="237"/>
        <v>0</v>
      </c>
      <c r="O101" s="277">
        <f t="shared" si="237"/>
        <v>0</v>
      </c>
      <c r="P101" s="277">
        <f t="shared" si="237"/>
        <v>0</v>
      </c>
      <c r="Q101" s="277">
        <f t="shared" si="237"/>
        <v>0</v>
      </c>
      <c r="R101" s="281">
        <f t="shared" si="178"/>
        <v>0</v>
      </c>
      <c r="S101" s="277">
        <f t="shared" ref="S101:Z101" si="238">+S95*0.8370621%</f>
        <v>0</v>
      </c>
      <c r="T101" s="277">
        <f t="shared" si="238"/>
        <v>0</v>
      </c>
      <c r="U101" s="277">
        <f t="shared" si="238"/>
        <v>0</v>
      </c>
      <c r="V101" s="277">
        <f t="shared" si="238"/>
        <v>0</v>
      </c>
      <c r="W101" s="277">
        <f t="shared" si="238"/>
        <v>0</v>
      </c>
      <c r="X101" s="277">
        <f t="shared" si="238"/>
        <v>0</v>
      </c>
      <c r="Y101" s="277">
        <f t="shared" si="238"/>
        <v>0</v>
      </c>
      <c r="Z101" s="277">
        <f t="shared" si="238"/>
        <v>0</v>
      </c>
      <c r="AA101" s="281">
        <f t="shared" si="195"/>
        <v>0</v>
      </c>
      <c r="AB101" s="403">
        <f t="shared" si="180"/>
        <v>0</v>
      </c>
      <c r="AC101" s="326">
        <v>0</v>
      </c>
    </row>
    <row r="102" spans="1:29" s="61" customFormat="1" ht="25.5" x14ac:dyDescent="0.2">
      <c r="A102" s="421">
        <v>1</v>
      </c>
      <c r="B102" s="318" t="s">
        <v>485</v>
      </c>
      <c r="C102" s="319" t="s">
        <v>486</v>
      </c>
      <c r="D102" s="331">
        <v>16000000000</v>
      </c>
      <c r="E102" s="322">
        <f>SUM('ADICIONES  2021'!C102:N102)</f>
        <v>0</v>
      </c>
      <c r="F102" s="276"/>
      <c r="G102" s="276"/>
      <c r="H102" s="276"/>
      <c r="I102" s="276"/>
      <c r="J102" s="276"/>
      <c r="K102" s="276">
        <f t="shared" si="170"/>
        <v>16000000000</v>
      </c>
      <c r="L102" s="276">
        <v>2256310592</v>
      </c>
      <c r="M102" s="276">
        <v>501577217</v>
      </c>
      <c r="N102" s="276">
        <v>1172862674</v>
      </c>
      <c r="O102" s="276">
        <v>1313844793</v>
      </c>
      <c r="P102" s="276">
        <v>1447433120</v>
      </c>
      <c r="Q102" s="276">
        <v>1215837824</v>
      </c>
      <c r="R102" s="276">
        <f t="shared" si="178"/>
        <v>7907866220</v>
      </c>
      <c r="S102" s="276">
        <v>1045183945</v>
      </c>
      <c r="T102" s="276">
        <v>1197661255</v>
      </c>
      <c r="U102" s="276">
        <v>1908985568</v>
      </c>
      <c r="V102" s="276">
        <v>1253732511</v>
      </c>
      <c r="W102" s="276">
        <v>1437718960</v>
      </c>
      <c r="X102" s="276">
        <v>1299091424</v>
      </c>
      <c r="Y102" s="276"/>
      <c r="Z102" s="276"/>
      <c r="AA102" s="276">
        <f t="shared" si="195"/>
        <v>8142373663</v>
      </c>
      <c r="AB102" s="402">
        <f t="shared" si="180"/>
        <v>16050239883</v>
      </c>
      <c r="AC102" s="321">
        <f t="shared" si="181"/>
        <v>1.0031399926875</v>
      </c>
    </row>
    <row r="103" spans="1:29" ht="25.5" x14ac:dyDescent="0.2">
      <c r="B103" s="323" t="s">
        <v>487</v>
      </c>
      <c r="C103" s="206" t="s">
        <v>162</v>
      </c>
      <c r="D103" s="324">
        <f>+D102*82.8691479%</f>
        <v>13259063664.000002</v>
      </c>
      <c r="E103" s="325">
        <f>SUM('ADICIONES  2021'!C103:N103)</f>
        <v>0</v>
      </c>
      <c r="F103" s="277">
        <f t="shared" ref="F103:J103" si="239">+F102*82.8691479%</f>
        <v>0</v>
      </c>
      <c r="G103" s="277">
        <f t="shared" si="239"/>
        <v>0</v>
      </c>
      <c r="H103" s="277">
        <f t="shared" si="239"/>
        <v>0</v>
      </c>
      <c r="I103" s="277">
        <f t="shared" si="239"/>
        <v>0</v>
      </c>
      <c r="J103" s="277">
        <f t="shared" si="239"/>
        <v>0</v>
      </c>
      <c r="K103" s="281">
        <f t="shared" si="170"/>
        <v>13259063664.000002</v>
      </c>
      <c r="L103" s="277">
        <f t="shared" ref="L103:Q103" si="240">+L102*82.8691479%</f>
        <v>1869785361.5678458</v>
      </c>
      <c r="M103" s="277">
        <f t="shared" si="240"/>
        <v>415652765.78843397</v>
      </c>
      <c r="N103" s="277">
        <f t="shared" si="240"/>
        <v>971941303.98095489</v>
      </c>
      <c r="O103" s="277">
        <f t="shared" si="240"/>
        <v>1088771984.687619</v>
      </c>
      <c r="P103" s="277">
        <f t="shared" si="240"/>
        <v>1199475492.9663846</v>
      </c>
      <c r="Q103" s="277">
        <f t="shared" si="240"/>
        <v>1007554444.5947018</v>
      </c>
      <c r="R103" s="281">
        <f t="shared" si="178"/>
        <v>6553181353.5859404</v>
      </c>
      <c r="S103" s="277">
        <f t="shared" ref="S103:Z103" si="241">+S102*82.8691479%</f>
        <v>866135029.20910478</v>
      </c>
      <c r="T103" s="277">
        <f t="shared" si="241"/>
        <v>992491676.74694622</v>
      </c>
      <c r="U103" s="277">
        <f t="shared" si="241"/>
        <v>1581960073.7355752</v>
      </c>
      <c r="V103" s="277">
        <f t="shared" si="241"/>
        <v>1038957448.8109739</v>
      </c>
      <c r="W103" s="277">
        <f t="shared" si="241"/>
        <v>1191425451.348742</v>
      </c>
      <c r="X103" s="277">
        <f t="shared" si="241"/>
        <v>1076545993.5107763</v>
      </c>
      <c r="Y103" s="277">
        <f t="shared" si="241"/>
        <v>0</v>
      </c>
      <c r="Z103" s="277">
        <f t="shared" si="241"/>
        <v>0</v>
      </c>
      <c r="AA103" s="281">
        <f t="shared" si="195"/>
        <v>6747515673.3621178</v>
      </c>
      <c r="AB103" s="403">
        <f t="shared" si="180"/>
        <v>13300697026.948059</v>
      </c>
      <c r="AC103" s="326">
        <f t="shared" si="181"/>
        <v>1.0031399926875</v>
      </c>
    </row>
    <row r="104" spans="1:29" ht="25.5" x14ac:dyDescent="0.2">
      <c r="B104" s="323" t="s">
        <v>488</v>
      </c>
      <c r="C104" s="206" t="s">
        <v>163</v>
      </c>
      <c r="D104" s="324">
        <f>+D102*0.095%</f>
        <v>15200000</v>
      </c>
      <c r="E104" s="325">
        <f>SUM('ADICIONES  2021'!C104:N104)</f>
        <v>0</v>
      </c>
      <c r="F104" s="277">
        <f t="shared" ref="F104:J104" si="242">+F102*0.095%</f>
        <v>0</v>
      </c>
      <c r="G104" s="277">
        <f t="shared" si="242"/>
        <v>0</v>
      </c>
      <c r="H104" s="277">
        <f t="shared" si="242"/>
        <v>0</v>
      </c>
      <c r="I104" s="277">
        <f t="shared" si="242"/>
        <v>0</v>
      </c>
      <c r="J104" s="277">
        <f t="shared" si="242"/>
        <v>0</v>
      </c>
      <c r="K104" s="281">
        <f t="shared" si="170"/>
        <v>15200000</v>
      </c>
      <c r="L104" s="277">
        <f t="shared" ref="L104:Q104" si="243">+L102*0.095%</f>
        <v>2143495.0624000002</v>
      </c>
      <c r="M104" s="277">
        <f t="shared" si="243"/>
        <v>476498.35615000001</v>
      </c>
      <c r="N104" s="277">
        <f t="shared" si="243"/>
        <v>1114219.5403</v>
      </c>
      <c r="O104" s="277">
        <f t="shared" si="243"/>
        <v>1248152.5533499999</v>
      </c>
      <c r="P104" s="277">
        <f t="shared" si="243"/>
        <v>1375061.4639999999</v>
      </c>
      <c r="Q104" s="277">
        <f t="shared" si="243"/>
        <v>1155045.9328000001</v>
      </c>
      <c r="R104" s="281">
        <f t="shared" si="178"/>
        <v>7512472.909</v>
      </c>
      <c r="S104" s="277">
        <f t="shared" ref="S104:Z104" si="244">+S102*0.095%</f>
        <v>992924.74774999998</v>
      </c>
      <c r="T104" s="277">
        <f t="shared" si="244"/>
        <v>1137778.1922500001</v>
      </c>
      <c r="U104" s="277">
        <f t="shared" si="244"/>
        <v>1813536.2896</v>
      </c>
      <c r="V104" s="277">
        <f t="shared" si="244"/>
        <v>1191045.8854499999</v>
      </c>
      <c r="W104" s="277">
        <f t="shared" si="244"/>
        <v>1365833.0120000001</v>
      </c>
      <c r="X104" s="277">
        <f t="shared" si="244"/>
        <v>1234136.8528</v>
      </c>
      <c r="Y104" s="277">
        <f t="shared" si="244"/>
        <v>0</v>
      </c>
      <c r="Z104" s="277">
        <f t="shared" si="244"/>
        <v>0</v>
      </c>
      <c r="AA104" s="281">
        <f t="shared" si="195"/>
        <v>7735254.9798499998</v>
      </c>
      <c r="AB104" s="403">
        <f t="shared" si="180"/>
        <v>15247727.88885</v>
      </c>
      <c r="AC104" s="326">
        <f t="shared" si="181"/>
        <v>1.0031399926875</v>
      </c>
    </row>
    <row r="105" spans="1:29" ht="25.5" x14ac:dyDescent="0.2">
      <c r="B105" s="323" t="s">
        <v>489</v>
      </c>
      <c r="C105" s="206" t="s">
        <v>164</v>
      </c>
      <c r="D105" s="324">
        <f>+D102*5%</f>
        <v>800000000</v>
      </c>
      <c r="E105" s="325">
        <f>SUM('ADICIONES  2021'!C105:N105)</f>
        <v>0</v>
      </c>
      <c r="F105" s="277">
        <f t="shared" ref="F105:J105" si="245">+F102*5%</f>
        <v>0</v>
      </c>
      <c r="G105" s="277">
        <f t="shared" si="245"/>
        <v>0</v>
      </c>
      <c r="H105" s="277">
        <f t="shared" si="245"/>
        <v>0</v>
      </c>
      <c r="I105" s="277">
        <f t="shared" si="245"/>
        <v>0</v>
      </c>
      <c r="J105" s="277">
        <f t="shared" si="245"/>
        <v>0</v>
      </c>
      <c r="K105" s="281">
        <f t="shared" si="170"/>
        <v>800000000</v>
      </c>
      <c r="L105" s="277">
        <f t="shared" ref="L105:Q105" si="246">+L102*5%</f>
        <v>112815529.60000001</v>
      </c>
      <c r="M105" s="277">
        <f t="shared" si="246"/>
        <v>25078860.850000001</v>
      </c>
      <c r="N105" s="277">
        <f t="shared" si="246"/>
        <v>58643133.700000003</v>
      </c>
      <c r="O105" s="277">
        <f t="shared" si="246"/>
        <v>65692239.650000006</v>
      </c>
      <c r="P105" s="277">
        <f t="shared" si="246"/>
        <v>72371656</v>
      </c>
      <c r="Q105" s="277">
        <f t="shared" si="246"/>
        <v>60791891.200000003</v>
      </c>
      <c r="R105" s="281">
        <f t="shared" si="178"/>
        <v>395393311.00000006</v>
      </c>
      <c r="S105" s="277">
        <f t="shared" ref="S105:Z105" si="247">+S102*5%</f>
        <v>52259197.25</v>
      </c>
      <c r="T105" s="277">
        <f t="shared" si="247"/>
        <v>59883062.75</v>
      </c>
      <c r="U105" s="277">
        <f t="shared" si="247"/>
        <v>95449278.400000006</v>
      </c>
      <c r="V105" s="277">
        <f t="shared" si="247"/>
        <v>62686625.550000004</v>
      </c>
      <c r="W105" s="277">
        <f t="shared" si="247"/>
        <v>71885948</v>
      </c>
      <c r="X105" s="277">
        <f t="shared" si="247"/>
        <v>64954571.200000003</v>
      </c>
      <c r="Y105" s="277">
        <f t="shared" si="247"/>
        <v>0</v>
      </c>
      <c r="Z105" s="277">
        <f t="shared" si="247"/>
        <v>0</v>
      </c>
      <c r="AA105" s="281">
        <f t="shared" si="195"/>
        <v>407118683.14999998</v>
      </c>
      <c r="AB105" s="403">
        <f t="shared" si="180"/>
        <v>802511994.1500001</v>
      </c>
      <c r="AC105" s="326">
        <f t="shared" si="181"/>
        <v>1.0031399926875002</v>
      </c>
    </row>
    <row r="106" spans="1:29" ht="25.5" x14ac:dyDescent="0.2">
      <c r="B106" s="323" t="s">
        <v>490</v>
      </c>
      <c r="C106" s="329" t="s">
        <v>165</v>
      </c>
      <c r="D106" s="324">
        <f>+D102*9.4905%</f>
        <v>1518480000</v>
      </c>
      <c r="E106" s="325">
        <f>SUM('ADICIONES  2021'!C106:N106)</f>
        <v>0</v>
      </c>
      <c r="F106" s="277">
        <f t="shared" ref="F106:J106" si="248">+F102*9.4905%</f>
        <v>0</v>
      </c>
      <c r="G106" s="277">
        <f t="shared" si="248"/>
        <v>0</v>
      </c>
      <c r="H106" s="277">
        <f t="shared" si="248"/>
        <v>0</v>
      </c>
      <c r="I106" s="277">
        <f t="shared" si="248"/>
        <v>0</v>
      </c>
      <c r="J106" s="277">
        <f t="shared" si="248"/>
        <v>0</v>
      </c>
      <c r="K106" s="281">
        <f t="shared" si="170"/>
        <v>1518480000</v>
      </c>
      <c r="L106" s="277">
        <f t="shared" ref="L106:Q106" si="249">+L102*9.4905%</f>
        <v>214135156.73376</v>
      </c>
      <c r="M106" s="277">
        <f t="shared" si="249"/>
        <v>47602185.779385</v>
      </c>
      <c r="N106" s="277">
        <f t="shared" si="249"/>
        <v>111310532.07597001</v>
      </c>
      <c r="O106" s="277">
        <f t="shared" si="249"/>
        <v>124690440.07966501</v>
      </c>
      <c r="P106" s="277">
        <f t="shared" si="249"/>
        <v>137368640.2536</v>
      </c>
      <c r="Q106" s="277">
        <f t="shared" si="249"/>
        <v>115389088.68672</v>
      </c>
      <c r="R106" s="281">
        <f t="shared" si="178"/>
        <v>750496043.60909998</v>
      </c>
      <c r="S106" s="277">
        <f t="shared" ref="S106:Z106" si="250">+S102*9.4905%</f>
        <v>99193182.300225005</v>
      </c>
      <c r="T106" s="277">
        <f t="shared" si="250"/>
        <v>113664041.40577501</v>
      </c>
      <c r="U106" s="277">
        <f t="shared" si="250"/>
        <v>181172275.33103999</v>
      </c>
      <c r="V106" s="277">
        <f t="shared" si="250"/>
        <v>118985483.95645501</v>
      </c>
      <c r="W106" s="277">
        <f t="shared" si="250"/>
        <v>136446717.89880002</v>
      </c>
      <c r="X106" s="277">
        <f t="shared" si="250"/>
        <v>123290271.59472001</v>
      </c>
      <c r="Y106" s="277">
        <f t="shared" si="250"/>
        <v>0</v>
      </c>
      <c r="Z106" s="277">
        <f t="shared" si="250"/>
        <v>0</v>
      </c>
      <c r="AA106" s="281">
        <f t="shared" si="195"/>
        <v>772751972.48701501</v>
      </c>
      <c r="AB106" s="403">
        <f t="shared" si="180"/>
        <v>1523248016.0961151</v>
      </c>
      <c r="AC106" s="326">
        <f t="shared" si="181"/>
        <v>1.0031399926875</v>
      </c>
    </row>
    <row r="107" spans="1:29" ht="25.5" x14ac:dyDescent="0.2">
      <c r="B107" s="323" t="s">
        <v>491</v>
      </c>
      <c r="C107" s="206" t="s">
        <v>166</v>
      </c>
      <c r="D107" s="324">
        <f>+D102*1.70829%</f>
        <v>273326400</v>
      </c>
      <c r="E107" s="325">
        <f>SUM('ADICIONES  2021'!C107:N107)</f>
        <v>0</v>
      </c>
      <c r="F107" s="277">
        <f t="shared" ref="F107:J107" si="251">+F102*1.70829%</f>
        <v>0</v>
      </c>
      <c r="G107" s="277">
        <f t="shared" si="251"/>
        <v>0</v>
      </c>
      <c r="H107" s="277">
        <f t="shared" si="251"/>
        <v>0</v>
      </c>
      <c r="I107" s="277">
        <f t="shared" si="251"/>
        <v>0</v>
      </c>
      <c r="J107" s="277">
        <f t="shared" si="251"/>
        <v>0</v>
      </c>
      <c r="K107" s="281">
        <f t="shared" si="170"/>
        <v>273326400</v>
      </c>
      <c r="L107" s="277">
        <f t="shared" ref="L107:Q107" si="252">+L102*1.70829%</f>
        <v>38544328.212076806</v>
      </c>
      <c r="M107" s="277">
        <f t="shared" si="252"/>
        <v>8568393.4402892999</v>
      </c>
      <c r="N107" s="277">
        <f t="shared" si="252"/>
        <v>20035895.773674604</v>
      </c>
      <c r="O107" s="277">
        <f t="shared" si="252"/>
        <v>22444279.214339703</v>
      </c>
      <c r="P107" s="277">
        <f t="shared" si="252"/>
        <v>24726355.245648004</v>
      </c>
      <c r="Q107" s="277">
        <f t="shared" si="252"/>
        <v>20770035.963609602</v>
      </c>
      <c r="R107" s="281">
        <f t="shared" si="178"/>
        <v>135089287.84963802</v>
      </c>
      <c r="S107" s="277">
        <f t="shared" ref="S107:Z107" si="253">+S102*1.70829%</f>
        <v>17854772.814040501</v>
      </c>
      <c r="T107" s="277">
        <f t="shared" si="253"/>
        <v>20459527.453039501</v>
      </c>
      <c r="U107" s="277">
        <f t="shared" si="253"/>
        <v>32611009.559587203</v>
      </c>
      <c r="V107" s="277">
        <f t="shared" si="253"/>
        <v>21417387.112161901</v>
      </c>
      <c r="W107" s="277">
        <f t="shared" si="253"/>
        <v>24560409.221784003</v>
      </c>
      <c r="X107" s="277">
        <f t="shared" si="253"/>
        <v>22192248.8870496</v>
      </c>
      <c r="Y107" s="277">
        <f t="shared" si="253"/>
        <v>0</v>
      </c>
      <c r="Z107" s="277">
        <f t="shared" si="253"/>
        <v>0</v>
      </c>
      <c r="AA107" s="281">
        <f t="shared" si="195"/>
        <v>139095355.04766273</v>
      </c>
      <c r="AB107" s="403">
        <f t="shared" si="180"/>
        <v>274184642.89730072</v>
      </c>
      <c r="AC107" s="326">
        <f t="shared" si="181"/>
        <v>1.0031399926875</v>
      </c>
    </row>
    <row r="108" spans="1:29" ht="38.25" x14ac:dyDescent="0.2">
      <c r="B108" s="323" t="s">
        <v>492</v>
      </c>
      <c r="C108" s="206" t="s">
        <v>167</v>
      </c>
      <c r="D108" s="324">
        <f>+D102*0.8370621%</f>
        <v>133929936</v>
      </c>
      <c r="E108" s="325">
        <f>SUM('ADICIONES  2021'!C108:N108)</f>
        <v>0</v>
      </c>
      <c r="F108" s="277">
        <f t="shared" ref="F108:J108" si="254">+F102*0.8370621%</f>
        <v>0</v>
      </c>
      <c r="G108" s="277">
        <f t="shared" si="254"/>
        <v>0</v>
      </c>
      <c r="H108" s="277">
        <f t="shared" si="254"/>
        <v>0</v>
      </c>
      <c r="I108" s="277">
        <f t="shared" si="254"/>
        <v>0</v>
      </c>
      <c r="J108" s="277">
        <f t="shared" si="254"/>
        <v>0</v>
      </c>
      <c r="K108" s="281">
        <f t="shared" si="170"/>
        <v>133929936</v>
      </c>
      <c r="L108" s="277">
        <f t="shared" ref="L108:Q108" si="255">+L102*0.8370621%</f>
        <v>18886720.823917631</v>
      </c>
      <c r="M108" s="277">
        <f t="shared" si="255"/>
        <v>4198512.7857417567</v>
      </c>
      <c r="N108" s="277">
        <f t="shared" si="255"/>
        <v>9817588.9291005544</v>
      </c>
      <c r="O108" s="277">
        <f t="shared" si="255"/>
        <v>10997696.815026453</v>
      </c>
      <c r="P108" s="277">
        <f t="shared" si="255"/>
        <v>12115914.070367521</v>
      </c>
      <c r="Q108" s="277">
        <f t="shared" si="255"/>
        <v>10177317.622168705</v>
      </c>
      <c r="R108" s="281">
        <f t="shared" si="178"/>
        <v>66193751.046322621</v>
      </c>
      <c r="S108" s="277">
        <f t="shared" ref="S108:Z108" si="256">+S102*0.8370621%</f>
        <v>8748838.6788798459</v>
      </c>
      <c r="T108" s="277">
        <f t="shared" si="256"/>
        <v>10025168.451989355</v>
      </c>
      <c r="U108" s="277">
        <f t="shared" si="256"/>
        <v>15979394.684197728</v>
      </c>
      <c r="V108" s="277">
        <f t="shared" si="256"/>
        <v>10494519.684959332</v>
      </c>
      <c r="W108" s="277">
        <f t="shared" si="256"/>
        <v>12034600.518674159</v>
      </c>
      <c r="X108" s="277">
        <f t="shared" si="256"/>
        <v>10874201.954654304</v>
      </c>
      <c r="Y108" s="277">
        <f t="shared" si="256"/>
        <v>0</v>
      </c>
      <c r="Z108" s="277">
        <f t="shared" si="256"/>
        <v>0</v>
      </c>
      <c r="AA108" s="281">
        <f t="shared" si="195"/>
        <v>68156723.973354727</v>
      </c>
      <c r="AB108" s="403">
        <f t="shared" si="180"/>
        <v>134350475.01967734</v>
      </c>
      <c r="AC108" s="326">
        <f t="shared" si="181"/>
        <v>1.0031399926875</v>
      </c>
    </row>
    <row r="109" spans="1:29" s="61" customFormat="1" ht="15.75" x14ac:dyDescent="0.2">
      <c r="A109" s="421">
        <v>1</v>
      </c>
      <c r="B109" s="318" t="s">
        <v>493</v>
      </c>
      <c r="C109" s="319" t="s">
        <v>186</v>
      </c>
      <c r="D109" s="331">
        <v>28000000000</v>
      </c>
      <c r="E109" s="322">
        <f>SUM('ADICIONES  2021'!C109:N109)</f>
        <v>0</v>
      </c>
      <c r="F109" s="276"/>
      <c r="G109" s="276"/>
      <c r="H109" s="276"/>
      <c r="I109" s="276"/>
      <c r="J109" s="276"/>
      <c r="K109" s="276">
        <f t="shared" si="170"/>
        <v>28000000000</v>
      </c>
      <c r="L109" s="276">
        <v>2638160450</v>
      </c>
      <c r="M109" s="276">
        <v>2121495350</v>
      </c>
      <c r="N109" s="276">
        <v>2097425200</v>
      </c>
      <c r="O109" s="276">
        <v>2579490350</v>
      </c>
      <c r="P109" s="276">
        <v>2391493900</v>
      </c>
      <c r="Q109" s="276">
        <v>2246947600</v>
      </c>
      <c r="R109" s="276">
        <f t="shared" si="178"/>
        <v>14075012850</v>
      </c>
      <c r="S109" s="276">
        <v>1831519250</v>
      </c>
      <c r="T109" s="276">
        <v>2656859300</v>
      </c>
      <c r="U109" s="276">
        <v>2600150950</v>
      </c>
      <c r="V109" s="276">
        <v>2626706300</v>
      </c>
      <c r="W109" s="276">
        <v>2884320650</v>
      </c>
      <c r="X109" s="276">
        <v>2736628900</v>
      </c>
      <c r="Y109" s="276"/>
      <c r="Z109" s="276"/>
      <c r="AA109" s="276">
        <f t="shared" si="195"/>
        <v>15336185350</v>
      </c>
      <c r="AB109" s="402">
        <f t="shared" si="180"/>
        <v>29411198200</v>
      </c>
      <c r="AC109" s="321">
        <f t="shared" si="181"/>
        <v>1.0503999357142857</v>
      </c>
    </row>
    <row r="110" spans="1:29" ht="25.5" x14ac:dyDescent="0.2">
      <c r="B110" s="323" t="s">
        <v>494</v>
      </c>
      <c r="C110" s="206" t="s">
        <v>187</v>
      </c>
      <c r="D110" s="324">
        <f>+D109*87.230682%</f>
        <v>24424590960</v>
      </c>
      <c r="E110" s="325">
        <f>SUM('ADICIONES  2021'!C110:N110)</f>
        <v>0</v>
      </c>
      <c r="F110" s="277">
        <f t="shared" ref="F110:J110" si="257">+F109*87.230682%</f>
        <v>0</v>
      </c>
      <c r="G110" s="277">
        <f t="shared" si="257"/>
        <v>0</v>
      </c>
      <c r="H110" s="277">
        <f t="shared" si="257"/>
        <v>0</v>
      </c>
      <c r="I110" s="277">
        <f t="shared" si="257"/>
        <v>0</v>
      </c>
      <c r="J110" s="277">
        <f t="shared" si="257"/>
        <v>0</v>
      </c>
      <c r="K110" s="281">
        <f t="shared" si="170"/>
        <v>24424590960</v>
      </c>
      <c r="L110" s="277">
        <f t="shared" ref="L110:Q110" si="258">+L109*87.230682%</f>
        <v>2301285352.789269</v>
      </c>
      <c r="M110" s="277">
        <f t="shared" si="258"/>
        <v>1850594862.4032872</v>
      </c>
      <c r="N110" s="277">
        <f t="shared" si="258"/>
        <v>1829598306.3998642</v>
      </c>
      <c r="O110" s="277">
        <f t="shared" si="258"/>
        <v>2250107024.4291873</v>
      </c>
      <c r="P110" s="277">
        <f t="shared" si="258"/>
        <v>2086116438.9583981</v>
      </c>
      <c r="Q110" s="277">
        <f t="shared" si="258"/>
        <v>1960027715.662632</v>
      </c>
      <c r="R110" s="281">
        <f t="shared" si="178"/>
        <v>12277729700.642639</v>
      </c>
      <c r="S110" s="277">
        <f t="shared" ref="S110:Z110" si="259">+S109*87.230682%</f>
        <v>1597646732.736285</v>
      </c>
      <c r="T110" s="277">
        <f t="shared" si="259"/>
        <v>2317596487.1704259</v>
      </c>
      <c r="U110" s="277">
        <f t="shared" si="259"/>
        <v>2268129406.714479</v>
      </c>
      <c r="V110" s="277">
        <f t="shared" si="259"/>
        <v>2291293819.626966</v>
      </c>
      <c r="W110" s="277">
        <f t="shared" si="259"/>
        <v>2516012574.0618329</v>
      </c>
      <c r="X110" s="277">
        <f t="shared" si="259"/>
        <v>2387180053.279098</v>
      </c>
      <c r="Y110" s="277">
        <f t="shared" si="259"/>
        <v>0</v>
      </c>
      <c r="Z110" s="277">
        <f t="shared" si="259"/>
        <v>0</v>
      </c>
      <c r="AA110" s="281">
        <f t="shared" si="195"/>
        <v>13377859073.589087</v>
      </c>
      <c r="AB110" s="403">
        <f t="shared" si="180"/>
        <v>25655588774.231728</v>
      </c>
      <c r="AC110" s="326">
        <f t="shared" si="181"/>
        <v>1.0503999357142859</v>
      </c>
    </row>
    <row r="111" spans="1:29" ht="14.25" x14ac:dyDescent="0.2">
      <c r="B111" s="323" t="s">
        <v>495</v>
      </c>
      <c r="C111" s="206" t="s">
        <v>188</v>
      </c>
      <c r="D111" s="324">
        <f>+D109*0.1%</f>
        <v>28000000</v>
      </c>
      <c r="E111" s="325">
        <f>SUM('ADICIONES  2021'!C111:N111)</f>
        <v>0</v>
      </c>
      <c r="F111" s="277">
        <f t="shared" ref="F111:J111" si="260">+F109*0.1%</f>
        <v>0</v>
      </c>
      <c r="G111" s="277">
        <f t="shared" si="260"/>
        <v>0</v>
      </c>
      <c r="H111" s="277">
        <f t="shared" si="260"/>
        <v>0</v>
      </c>
      <c r="I111" s="277">
        <f t="shared" si="260"/>
        <v>0</v>
      </c>
      <c r="J111" s="277">
        <f t="shared" si="260"/>
        <v>0</v>
      </c>
      <c r="K111" s="281">
        <f t="shared" si="170"/>
        <v>28000000</v>
      </c>
      <c r="L111" s="277">
        <f t="shared" ref="L111:Q111" si="261">+L109*0.1%</f>
        <v>2638160.4500000002</v>
      </c>
      <c r="M111" s="277">
        <f t="shared" si="261"/>
        <v>2121495.35</v>
      </c>
      <c r="N111" s="277">
        <f t="shared" si="261"/>
        <v>2097425.2000000002</v>
      </c>
      <c r="O111" s="277">
        <f t="shared" si="261"/>
        <v>2579490.35</v>
      </c>
      <c r="P111" s="277">
        <f t="shared" si="261"/>
        <v>2391493.9</v>
      </c>
      <c r="Q111" s="277">
        <f t="shared" si="261"/>
        <v>2246947.6</v>
      </c>
      <c r="R111" s="281">
        <f t="shared" si="178"/>
        <v>14075012.850000001</v>
      </c>
      <c r="S111" s="277">
        <f t="shared" ref="S111:Z111" si="262">+S109*0.1%</f>
        <v>1831519.25</v>
      </c>
      <c r="T111" s="277">
        <f t="shared" si="262"/>
        <v>2656859.3000000003</v>
      </c>
      <c r="U111" s="277">
        <f t="shared" si="262"/>
        <v>2600150.9500000002</v>
      </c>
      <c r="V111" s="277">
        <f t="shared" si="262"/>
        <v>2626706.3000000003</v>
      </c>
      <c r="W111" s="277">
        <f t="shared" si="262"/>
        <v>2884320.65</v>
      </c>
      <c r="X111" s="277">
        <f t="shared" si="262"/>
        <v>2736628.9</v>
      </c>
      <c r="Y111" s="277">
        <f t="shared" si="262"/>
        <v>0</v>
      </c>
      <c r="Z111" s="277">
        <f t="shared" si="262"/>
        <v>0</v>
      </c>
      <c r="AA111" s="281">
        <f t="shared" si="195"/>
        <v>15336185.350000001</v>
      </c>
      <c r="AB111" s="403">
        <f t="shared" si="180"/>
        <v>29411198.200000003</v>
      </c>
      <c r="AC111" s="326">
        <f t="shared" si="181"/>
        <v>1.0503999357142859</v>
      </c>
    </row>
    <row r="112" spans="1:29" ht="14.25" x14ac:dyDescent="0.2">
      <c r="B112" s="323" t="s">
        <v>496</v>
      </c>
      <c r="C112" s="206" t="s">
        <v>189</v>
      </c>
      <c r="D112" s="324">
        <f>+D109*9.99%</f>
        <v>2797200000</v>
      </c>
      <c r="E112" s="325">
        <f>SUM('ADICIONES  2021'!C112:N112)</f>
        <v>0</v>
      </c>
      <c r="F112" s="277">
        <f t="shared" ref="F112:J112" si="263">+F109*9.99%</f>
        <v>0</v>
      </c>
      <c r="G112" s="277">
        <f t="shared" si="263"/>
        <v>0</v>
      </c>
      <c r="H112" s="277">
        <f t="shared" si="263"/>
        <v>0</v>
      </c>
      <c r="I112" s="277">
        <f t="shared" si="263"/>
        <v>0</v>
      </c>
      <c r="J112" s="277">
        <f t="shared" si="263"/>
        <v>0</v>
      </c>
      <c r="K112" s="281">
        <f t="shared" si="170"/>
        <v>2797200000</v>
      </c>
      <c r="L112" s="277">
        <f t="shared" ref="L112:Q112" si="264">+L109*9.99%</f>
        <v>263552228.95500001</v>
      </c>
      <c r="M112" s="277">
        <f t="shared" si="264"/>
        <v>211937385.465</v>
      </c>
      <c r="N112" s="277">
        <f t="shared" si="264"/>
        <v>209532777.48000002</v>
      </c>
      <c r="O112" s="277">
        <f t="shared" si="264"/>
        <v>257691085.965</v>
      </c>
      <c r="P112" s="277">
        <f t="shared" si="264"/>
        <v>238910240.61000001</v>
      </c>
      <c r="Q112" s="277">
        <f t="shared" si="264"/>
        <v>224470065.24000001</v>
      </c>
      <c r="R112" s="281">
        <f t="shared" si="178"/>
        <v>1406093783.7150002</v>
      </c>
      <c r="S112" s="277">
        <f t="shared" ref="S112:Z112" si="265">+S109*9.99%</f>
        <v>182968773.07500002</v>
      </c>
      <c r="T112" s="277">
        <f t="shared" si="265"/>
        <v>265420244.06999999</v>
      </c>
      <c r="U112" s="277">
        <f t="shared" si="265"/>
        <v>259755079.905</v>
      </c>
      <c r="V112" s="277">
        <f t="shared" si="265"/>
        <v>262407959.37</v>
      </c>
      <c r="W112" s="277">
        <f t="shared" si="265"/>
        <v>288143632.935</v>
      </c>
      <c r="X112" s="277">
        <f t="shared" si="265"/>
        <v>273389227.11000001</v>
      </c>
      <c r="Y112" s="277">
        <f t="shared" si="265"/>
        <v>0</v>
      </c>
      <c r="Z112" s="277">
        <f t="shared" si="265"/>
        <v>0</v>
      </c>
      <c r="AA112" s="281">
        <f t="shared" si="195"/>
        <v>1532084916.4650002</v>
      </c>
      <c r="AB112" s="403">
        <f t="shared" si="180"/>
        <v>2938178700.1800003</v>
      </c>
      <c r="AC112" s="326">
        <f t="shared" si="181"/>
        <v>1.0503999357142859</v>
      </c>
    </row>
    <row r="113" spans="1:29" ht="14.25" x14ac:dyDescent="0.2">
      <c r="B113" s="323" t="s">
        <v>497</v>
      </c>
      <c r="C113" s="329" t="s">
        <v>190</v>
      </c>
      <c r="D113" s="324">
        <f>+D109*1.7982%</f>
        <v>503496000.00000006</v>
      </c>
      <c r="E113" s="325">
        <f>SUM('ADICIONES  2021'!C113:N113)</f>
        <v>0</v>
      </c>
      <c r="F113" s="277">
        <f t="shared" ref="F113:J113" si="266">+F109*1.7982%</f>
        <v>0</v>
      </c>
      <c r="G113" s="277">
        <f t="shared" si="266"/>
        <v>0</v>
      </c>
      <c r="H113" s="277">
        <f t="shared" si="266"/>
        <v>0</v>
      </c>
      <c r="I113" s="277">
        <f t="shared" si="266"/>
        <v>0</v>
      </c>
      <c r="J113" s="277">
        <f t="shared" si="266"/>
        <v>0</v>
      </c>
      <c r="K113" s="281">
        <f t="shared" si="170"/>
        <v>503496000.00000006</v>
      </c>
      <c r="L113" s="277">
        <f t="shared" ref="L113:Q113" si="267">+L109*1.7982%</f>
        <v>47439401.211900003</v>
      </c>
      <c r="M113" s="277">
        <f t="shared" si="267"/>
        <v>38148729.383700006</v>
      </c>
      <c r="N113" s="277">
        <f t="shared" si="267"/>
        <v>37715899.946400002</v>
      </c>
      <c r="O113" s="277">
        <f t="shared" si="267"/>
        <v>46384395.473700002</v>
      </c>
      <c r="P113" s="277">
        <f t="shared" si="267"/>
        <v>43003843.309800006</v>
      </c>
      <c r="Q113" s="277">
        <f t="shared" si="267"/>
        <v>40404611.743200004</v>
      </c>
      <c r="R113" s="281">
        <f t="shared" si="178"/>
        <v>253096881.06870002</v>
      </c>
      <c r="S113" s="277">
        <f t="shared" ref="S113:Z113" si="268">+S109*1.7982%</f>
        <v>32934379.153500002</v>
      </c>
      <c r="T113" s="277">
        <f t="shared" si="268"/>
        <v>47775643.932600006</v>
      </c>
      <c r="U113" s="277">
        <f t="shared" si="268"/>
        <v>46755914.382900007</v>
      </c>
      <c r="V113" s="277">
        <f t="shared" si="268"/>
        <v>47233432.686600007</v>
      </c>
      <c r="W113" s="277">
        <f t="shared" si="268"/>
        <v>51865853.928300001</v>
      </c>
      <c r="X113" s="277">
        <f t="shared" si="268"/>
        <v>49210060.879800007</v>
      </c>
      <c r="Y113" s="277">
        <f t="shared" si="268"/>
        <v>0</v>
      </c>
      <c r="Z113" s="277">
        <f t="shared" si="268"/>
        <v>0</v>
      </c>
      <c r="AA113" s="281">
        <f t="shared" si="195"/>
        <v>275775284.9637</v>
      </c>
      <c r="AB113" s="403">
        <f t="shared" si="180"/>
        <v>528872166.03240001</v>
      </c>
      <c r="AC113" s="326">
        <f t="shared" si="181"/>
        <v>1.0503999357142857</v>
      </c>
    </row>
    <row r="114" spans="1:29" ht="25.5" x14ac:dyDescent="0.2">
      <c r="B114" s="323" t="s">
        <v>498</v>
      </c>
      <c r="C114" s="206" t="s">
        <v>191</v>
      </c>
      <c r="D114" s="324">
        <f>+D109*0.881118%</f>
        <v>246713040</v>
      </c>
      <c r="E114" s="325">
        <f>SUM('ADICIONES  2021'!C114:N114)</f>
        <v>0</v>
      </c>
      <c r="F114" s="277">
        <f t="shared" ref="F114:J114" si="269">+F109*0.881118%</f>
        <v>0</v>
      </c>
      <c r="G114" s="277">
        <f t="shared" si="269"/>
        <v>0</v>
      </c>
      <c r="H114" s="277">
        <f t="shared" si="269"/>
        <v>0</v>
      </c>
      <c r="I114" s="277">
        <f t="shared" si="269"/>
        <v>0</v>
      </c>
      <c r="J114" s="277">
        <f t="shared" si="269"/>
        <v>0</v>
      </c>
      <c r="K114" s="281">
        <f t="shared" si="170"/>
        <v>246713040</v>
      </c>
      <c r="L114" s="277">
        <f t="shared" ref="L114:Q114" si="270">+L109*0.881118%</f>
        <v>23245306.593830999</v>
      </c>
      <c r="M114" s="277">
        <f t="shared" si="270"/>
        <v>18692877.398012999</v>
      </c>
      <c r="N114" s="277">
        <f t="shared" si="270"/>
        <v>18480790.973735999</v>
      </c>
      <c r="O114" s="277">
        <f t="shared" si="270"/>
        <v>22728353.782113001</v>
      </c>
      <c r="P114" s="277">
        <f t="shared" si="270"/>
        <v>21071883.221802</v>
      </c>
      <c r="Q114" s="277">
        <f t="shared" si="270"/>
        <v>19798259.754168</v>
      </c>
      <c r="R114" s="281">
        <f t="shared" si="178"/>
        <v>124017471.723663</v>
      </c>
      <c r="S114" s="277">
        <f t="shared" ref="S114:Z114" si="271">+S109*0.881118%</f>
        <v>16137845.785215</v>
      </c>
      <c r="T114" s="277">
        <f t="shared" si="271"/>
        <v>23410065.526974</v>
      </c>
      <c r="U114" s="277">
        <f t="shared" si="271"/>
        <v>22910398.047621001</v>
      </c>
      <c r="V114" s="277">
        <f t="shared" si="271"/>
        <v>23144382.016433999</v>
      </c>
      <c r="W114" s="277">
        <f t="shared" si="271"/>
        <v>25414268.424867</v>
      </c>
      <c r="X114" s="277">
        <f t="shared" si="271"/>
        <v>24112929.831101999</v>
      </c>
      <c r="Y114" s="277">
        <f t="shared" si="271"/>
        <v>0</v>
      </c>
      <c r="Z114" s="277">
        <f t="shared" si="271"/>
        <v>0</v>
      </c>
      <c r="AA114" s="281">
        <f t="shared" si="195"/>
        <v>135129889.632213</v>
      </c>
      <c r="AB114" s="403">
        <f t="shared" si="180"/>
        <v>259147361.355876</v>
      </c>
      <c r="AC114" s="326">
        <f t="shared" si="181"/>
        <v>1.0503999357142857</v>
      </c>
    </row>
    <row r="115" spans="1:29" s="61" customFormat="1" ht="15.75" x14ac:dyDescent="0.2">
      <c r="A115" s="421">
        <v>1</v>
      </c>
      <c r="B115" s="318" t="s">
        <v>499</v>
      </c>
      <c r="C115" s="319" t="s">
        <v>500</v>
      </c>
      <c r="D115" s="283">
        <f>+D116+D118+D123+D126+D132+D137</f>
        <v>148200000000</v>
      </c>
      <c r="E115" s="322">
        <f>SUM('ADICIONES  2021'!C115:N115)</f>
        <v>0</v>
      </c>
      <c r="F115" s="275">
        <f t="shared" ref="F115:J115" si="272">+F116+F118+F123+F126+F132+F137</f>
        <v>0</v>
      </c>
      <c r="G115" s="275">
        <f t="shared" si="272"/>
        <v>0</v>
      </c>
      <c r="H115" s="275">
        <f t="shared" si="272"/>
        <v>0</v>
      </c>
      <c r="I115" s="275">
        <f t="shared" si="272"/>
        <v>0</v>
      </c>
      <c r="J115" s="275">
        <f t="shared" si="272"/>
        <v>0</v>
      </c>
      <c r="K115" s="276">
        <f t="shared" si="170"/>
        <v>148200000000</v>
      </c>
      <c r="L115" s="275">
        <f t="shared" ref="L115:Q115" si="273">+L116+L118+L123+L126+L132+L137</f>
        <v>17364208165</v>
      </c>
      <c r="M115" s="275">
        <f t="shared" si="273"/>
        <v>14625231701</v>
      </c>
      <c r="N115" s="275">
        <f t="shared" si="273"/>
        <v>6486363083</v>
      </c>
      <c r="O115" s="275">
        <f t="shared" si="273"/>
        <v>10091348384</v>
      </c>
      <c r="P115" s="275">
        <f t="shared" si="273"/>
        <v>9933502915</v>
      </c>
      <c r="Q115" s="275">
        <f t="shared" si="273"/>
        <v>9740342874</v>
      </c>
      <c r="R115" s="276">
        <f t="shared" si="178"/>
        <v>68240997122</v>
      </c>
      <c r="S115" s="275">
        <f t="shared" ref="S115:Z115" si="274">+S116+S118+S123+S126+S132+S137</f>
        <v>10904720407</v>
      </c>
      <c r="T115" s="275">
        <f t="shared" si="274"/>
        <v>9282932036</v>
      </c>
      <c r="U115" s="275">
        <f t="shared" si="274"/>
        <v>11300215621</v>
      </c>
      <c r="V115" s="275">
        <f t="shared" si="274"/>
        <v>8457224513</v>
      </c>
      <c r="W115" s="275">
        <f t="shared" si="274"/>
        <v>20083012539</v>
      </c>
      <c r="X115" s="275">
        <f t="shared" si="274"/>
        <v>23793683594.240002</v>
      </c>
      <c r="Y115" s="275">
        <f t="shared" si="274"/>
        <v>-526413195</v>
      </c>
      <c r="Z115" s="275">
        <f t="shared" si="274"/>
        <v>0</v>
      </c>
      <c r="AA115" s="276">
        <f t="shared" si="195"/>
        <v>83295375515.240005</v>
      </c>
      <c r="AB115" s="402">
        <f t="shared" si="180"/>
        <v>151536372637.23999</v>
      </c>
      <c r="AC115" s="321">
        <f t="shared" si="181"/>
        <v>1.0225126358788124</v>
      </c>
    </row>
    <row r="116" spans="1:29" s="61" customFormat="1" ht="15.75" x14ac:dyDescent="0.2">
      <c r="A116" s="421">
        <v>1</v>
      </c>
      <c r="B116" s="318" t="s">
        <v>501</v>
      </c>
      <c r="C116" s="319" t="s">
        <v>502</v>
      </c>
      <c r="D116" s="331">
        <v>11800000000</v>
      </c>
      <c r="E116" s="322">
        <f>SUM('ADICIONES  2021'!C116:N116)</f>
        <v>0</v>
      </c>
      <c r="F116" s="276"/>
      <c r="G116" s="276"/>
      <c r="H116" s="276"/>
      <c r="I116" s="276"/>
      <c r="J116" s="276"/>
      <c r="K116" s="276">
        <f t="shared" si="170"/>
        <v>11800000000</v>
      </c>
      <c r="L116" s="276">
        <v>1794910914</v>
      </c>
      <c r="M116" s="276">
        <v>1654969384</v>
      </c>
      <c r="N116" s="276"/>
      <c r="O116" s="276">
        <v>864759763</v>
      </c>
      <c r="P116" s="276"/>
      <c r="Q116" s="276">
        <v>568293868</v>
      </c>
      <c r="R116" s="276">
        <f t="shared" si="178"/>
        <v>4882933929</v>
      </c>
      <c r="S116" s="276">
        <v>976747388</v>
      </c>
      <c r="T116" s="276">
        <v>305614210</v>
      </c>
      <c r="U116" s="276">
        <v>737560055</v>
      </c>
      <c r="V116" s="276">
        <v>436452500</v>
      </c>
      <c r="W116" s="276">
        <v>2487195088</v>
      </c>
      <c r="X116" s="276">
        <v>2330188848.04</v>
      </c>
      <c r="Y116" s="276">
        <f>-364560236-161852959</f>
        <v>-526413195</v>
      </c>
      <c r="Z116" s="276"/>
      <c r="AA116" s="276">
        <f t="shared" si="195"/>
        <v>6747344894.04</v>
      </c>
      <c r="AB116" s="402">
        <f t="shared" si="180"/>
        <v>11630278823.040001</v>
      </c>
      <c r="AC116" s="321">
        <f t="shared" si="181"/>
        <v>0.98561684941016958</v>
      </c>
    </row>
    <row r="117" spans="1:29" ht="14.25" x14ac:dyDescent="0.2">
      <c r="B117" s="323" t="s">
        <v>503</v>
      </c>
      <c r="C117" s="206" t="s">
        <v>192</v>
      </c>
      <c r="D117" s="324">
        <f>+D116</f>
        <v>11800000000</v>
      </c>
      <c r="E117" s="325">
        <f>SUM('ADICIONES  2021'!C117:N117)</f>
        <v>0</v>
      </c>
      <c r="F117" s="277">
        <f t="shared" ref="F117:J117" si="275">+F116</f>
        <v>0</v>
      </c>
      <c r="G117" s="277">
        <f t="shared" si="275"/>
        <v>0</v>
      </c>
      <c r="H117" s="277">
        <f t="shared" si="275"/>
        <v>0</v>
      </c>
      <c r="I117" s="277">
        <f t="shared" si="275"/>
        <v>0</v>
      </c>
      <c r="J117" s="277">
        <f t="shared" si="275"/>
        <v>0</v>
      </c>
      <c r="K117" s="281">
        <f t="shared" si="170"/>
        <v>11800000000</v>
      </c>
      <c r="L117" s="277">
        <f t="shared" ref="L117:Q117" si="276">+L116</f>
        <v>1794910914</v>
      </c>
      <c r="M117" s="277">
        <f t="shared" si="276"/>
        <v>1654969384</v>
      </c>
      <c r="N117" s="277">
        <f t="shared" si="276"/>
        <v>0</v>
      </c>
      <c r="O117" s="277">
        <f t="shared" si="276"/>
        <v>864759763</v>
      </c>
      <c r="P117" s="277">
        <f t="shared" si="276"/>
        <v>0</v>
      </c>
      <c r="Q117" s="277">
        <f t="shared" si="276"/>
        <v>568293868</v>
      </c>
      <c r="R117" s="281">
        <f t="shared" si="178"/>
        <v>4882933929</v>
      </c>
      <c r="S117" s="277">
        <f t="shared" ref="S117:Z117" si="277">+S116</f>
        <v>976747388</v>
      </c>
      <c r="T117" s="277">
        <f t="shared" si="277"/>
        <v>305614210</v>
      </c>
      <c r="U117" s="277">
        <f t="shared" si="277"/>
        <v>737560055</v>
      </c>
      <c r="V117" s="277">
        <f t="shared" si="277"/>
        <v>436452500</v>
      </c>
      <c r="W117" s="277">
        <f t="shared" si="277"/>
        <v>2487195088</v>
      </c>
      <c r="X117" s="277">
        <f t="shared" si="277"/>
        <v>2330188848.04</v>
      </c>
      <c r="Y117" s="277">
        <f t="shared" si="277"/>
        <v>-526413195</v>
      </c>
      <c r="Z117" s="277">
        <f t="shared" si="277"/>
        <v>0</v>
      </c>
      <c r="AA117" s="281">
        <f t="shared" si="195"/>
        <v>6747344894.04</v>
      </c>
      <c r="AB117" s="403">
        <f t="shared" si="180"/>
        <v>11630278823.040001</v>
      </c>
      <c r="AC117" s="326">
        <f t="shared" si="181"/>
        <v>0.98561684941016958</v>
      </c>
    </row>
    <row r="118" spans="1:29" s="61" customFormat="1" ht="15.75" x14ac:dyDescent="0.2">
      <c r="A118" s="421">
        <v>1</v>
      </c>
      <c r="B118" s="318" t="s">
        <v>504</v>
      </c>
      <c r="C118" s="319" t="s">
        <v>505</v>
      </c>
      <c r="D118" s="330">
        <v>28600000000</v>
      </c>
      <c r="E118" s="322">
        <f>SUM('ADICIONES  2021'!C118:N118)</f>
        <v>0</v>
      </c>
      <c r="F118" s="279"/>
      <c r="G118" s="279"/>
      <c r="H118" s="279"/>
      <c r="I118" s="279"/>
      <c r="J118" s="279"/>
      <c r="K118" s="276">
        <f t="shared" si="170"/>
        <v>28600000000</v>
      </c>
      <c r="L118" s="279">
        <v>2165767411</v>
      </c>
      <c r="M118" s="279">
        <v>3337329687</v>
      </c>
      <c r="N118" s="279">
        <v>1843980124</v>
      </c>
      <c r="O118" s="279">
        <v>2180201617</v>
      </c>
      <c r="P118" s="279">
        <v>2017134704</v>
      </c>
      <c r="Q118" s="279">
        <v>2059008676</v>
      </c>
      <c r="R118" s="276">
        <f t="shared" si="178"/>
        <v>13603422219</v>
      </c>
      <c r="S118" s="279">
        <v>2184901400</v>
      </c>
      <c r="T118" s="279">
        <v>2167974327</v>
      </c>
      <c r="U118" s="279">
        <v>2767602879</v>
      </c>
      <c r="V118" s="279">
        <v>1579357736</v>
      </c>
      <c r="W118" s="279">
        <v>3142212040</v>
      </c>
      <c r="X118" s="279">
        <v>3640826647</v>
      </c>
      <c r="Y118" s="279"/>
      <c r="Z118" s="279"/>
      <c r="AA118" s="276">
        <f t="shared" si="195"/>
        <v>15482875029</v>
      </c>
      <c r="AB118" s="402">
        <f t="shared" si="180"/>
        <v>29086297248</v>
      </c>
      <c r="AC118" s="321">
        <f t="shared" si="181"/>
        <v>1.0170034002797204</v>
      </c>
    </row>
    <row r="119" spans="1:29" ht="14.25" x14ac:dyDescent="0.2">
      <c r="B119" s="323" t="s">
        <v>506</v>
      </c>
      <c r="C119" s="206" t="s">
        <v>200</v>
      </c>
      <c r="D119" s="324">
        <f>+D118*20%</f>
        <v>5720000000</v>
      </c>
      <c r="E119" s="325">
        <f>SUM('ADICIONES  2021'!C119:N119)</f>
        <v>0</v>
      </c>
      <c r="F119" s="277">
        <f t="shared" ref="F119:J119" si="278">+F118*20%</f>
        <v>0</v>
      </c>
      <c r="G119" s="277">
        <f t="shared" si="278"/>
        <v>0</v>
      </c>
      <c r="H119" s="277">
        <f t="shared" si="278"/>
        <v>0</v>
      </c>
      <c r="I119" s="277">
        <f t="shared" si="278"/>
        <v>0</v>
      </c>
      <c r="J119" s="277">
        <f t="shared" si="278"/>
        <v>0</v>
      </c>
      <c r="K119" s="281">
        <f t="shared" si="170"/>
        <v>5720000000</v>
      </c>
      <c r="L119" s="277">
        <f t="shared" ref="L119:Q119" si="279">+L118*20%</f>
        <v>433153482.20000005</v>
      </c>
      <c r="M119" s="277">
        <f t="shared" si="279"/>
        <v>667465937.4000001</v>
      </c>
      <c r="N119" s="277">
        <f t="shared" si="279"/>
        <v>368796024.80000001</v>
      </c>
      <c r="O119" s="277">
        <f t="shared" si="279"/>
        <v>436040323.40000004</v>
      </c>
      <c r="P119" s="277">
        <f t="shared" si="279"/>
        <v>403426940.80000001</v>
      </c>
      <c r="Q119" s="277">
        <f t="shared" si="279"/>
        <v>411801735.20000005</v>
      </c>
      <c r="R119" s="281">
        <f t="shared" si="178"/>
        <v>2720684443.8000002</v>
      </c>
      <c r="S119" s="277">
        <f t="shared" ref="S119:Z119" si="280">+S118*20%</f>
        <v>436980280</v>
      </c>
      <c r="T119" s="277">
        <f t="shared" si="280"/>
        <v>433594865.40000004</v>
      </c>
      <c r="U119" s="277">
        <f t="shared" si="280"/>
        <v>553520575.80000007</v>
      </c>
      <c r="V119" s="277">
        <f t="shared" si="280"/>
        <v>315871547.19999999</v>
      </c>
      <c r="W119" s="277">
        <f t="shared" si="280"/>
        <v>628442408</v>
      </c>
      <c r="X119" s="277">
        <f t="shared" si="280"/>
        <v>728165329.4000001</v>
      </c>
      <c r="Y119" s="277">
        <f t="shared" si="280"/>
        <v>0</v>
      </c>
      <c r="Z119" s="277">
        <f t="shared" si="280"/>
        <v>0</v>
      </c>
      <c r="AA119" s="281">
        <f t="shared" si="195"/>
        <v>3096575005.8000007</v>
      </c>
      <c r="AB119" s="403">
        <f t="shared" si="180"/>
        <v>5817259449.6000004</v>
      </c>
      <c r="AC119" s="326">
        <f t="shared" si="181"/>
        <v>1.0170034002797204</v>
      </c>
    </row>
    <row r="120" spans="1:29" ht="14.25" x14ac:dyDescent="0.2">
      <c r="B120" s="323" t="s">
        <v>507</v>
      </c>
      <c r="C120" s="329" t="s">
        <v>201</v>
      </c>
      <c r="D120" s="324">
        <f>+D118*40%</f>
        <v>11440000000</v>
      </c>
      <c r="E120" s="325">
        <f>SUM('ADICIONES  2021'!C120:N120)</f>
        <v>0</v>
      </c>
      <c r="F120" s="277">
        <f t="shared" ref="F120:J120" si="281">+F118*40%</f>
        <v>0</v>
      </c>
      <c r="G120" s="277">
        <f t="shared" si="281"/>
        <v>0</v>
      </c>
      <c r="H120" s="277">
        <f t="shared" si="281"/>
        <v>0</v>
      </c>
      <c r="I120" s="277">
        <f t="shared" si="281"/>
        <v>0</v>
      </c>
      <c r="J120" s="277">
        <f t="shared" si="281"/>
        <v>0</v>
      </c>
      <c r="K120" s="281">
        <f t="shared" si="170"/>
        <v>11440000000</v>
      </c>
      <c r="L120" s="277">
        <f t="shared" ref="L120:Q120" si="282">+L118*40%</f>
        <v>866306964.4000001</v>
      </c>
      <c r="M120" s="277">
        <f t="shared" si="282"/>
        <v>1334931874.8000002</v>
      </c>
      <c r="N120" s="277">
        <f t="shared" si="282"/>
        <v>737592049.60000002</v>
      </c>
      <c r="O120" s="277">
        <f t="shared" si="282"/>
        <v>872080646.80000007</v>
      </c>
      <c r="P120" s="277">
        <f t="shared" si="282"/>
        <v>806853881.60000002</v>
      </c>
      <c r="Q120" s="277">
        <f t="shared" si="282"/>
        <v>823603470.4000001</v>
      </c>
      <c r="R120" s="281">
        <f t="shared" si="178"/>
        <v>5441368887.6000004</v>
      </c>
      <c r="S120" s="277">
        <f t="shared" ref="S120:Z120" si="283">+S118*40%</f>
        <v>873960560</v>
      </c>
      <c r="T120" s="277">
        <f t="shared" si="283"/>
        <v>867189730.80000007</v>
      </c>
      <c r="U120" s="277">
        <f t="shared" si="283"/>
        <v>1107041151.6000001</v>
      </c>
      <c r="V120" s="277">
        <f t="shared" si="283"/>
        <v>631743094.39999998</v>
      </c>
      <c r="W120" s="277">
        <f t="shared" si="283"/>
        <v>1256884816</v>
      </c>
      <c r="X120" s="277">
        <f t="shared" si="283"/>
        <v>1456330658.8000002</v>
      </c>
      <c r="Y120" s="277">
        <f t="shared" si="283"/>
        <v>0</v>
      </c>
      <c r="Z120" s="277">
        <f t="shared" si="283"/>
        <v>0</v>
      </c>
      <c r="AA120" s="281">
        <f t="shared" si="195"/>
        <v>6193150011.6000013</v>
      </c>
      <c r="AB120" s="403">
        <f t="shared" si="180"/>
        <v>11634518899.200001</v>
      </c>
      <c r="AC120" s="326">
        <f t="shared" si="181"/>
        <v>1.0170034002797204</v>
      </c>
    </row>
    <row r="121" spans="1:29" ht="14.25" x14ac:dyDescent="0.2">
      <c r="B121" s="323" t="s">
        <v>508</v>
      </c>
      <c r="C121" s="206" t="s">
        <v>202</v>
      </c>
      <c r="D121" s="324">
        <f>+D118*20%</f>
        <v>5720000000</v>
      </c>
      <c r="E121" s="325">
        <f>SUM('ADICIONES  2021'!C121:N121)</f>
        <v>0</v>
      </c>
      <c r="F121" s="277">
        <f t="shared" ref="F121:J121" si="284">+F118*20%</f>
        <v>0</v>
      </c>
      <c r="G121" s="277">
        <f t="shared" si="284"/>
        <v>0</v>
      </c>
      <c r="H121" s="277">
        <f t="shared" si="284"/>
        <v>0</v>
      </c>
      <c r="I121" s="277">
        <f t="shared" si="284"/>
        <v>0</v>
      </c>
      <c r="J121" s="277">
        <f t="shared" si="284"/>
        <v>0</v>
      </c>
      <c r="K121" s="281">
        <f t="shared" si="170"/>
        <v>5720000000</v>
      </c>
      <c r="L121" s="277">
        <f t="shared" ref="L121:Q121" si="285">+L118*20%</f>
        <v>433153482.20000005</v>
      </c>
      <c r="M121" s="277">
        <f t="shared" si="285"/>
        <v>667465937.4000001</v>
      </c>
      <c r="N121" s="277">
        <f t="shared" si="285"/>
        <v>368796024.80000001</v>
      </c>
      <c r="O121" s="277">
        <f t="shared" si="285"/>
        <v>436040323.40000004</v>
      </c>
      <c r="P121" s="277">
        <f t="shared" si="285"/>
        <v>403426940.80000001</v>
      </c>
      <c r="Q121" s="277">
        <f t="shared" si="285"/>
        <v>411801735.20000005</v>
      </c>
      <c r="R121" s="281">
        <f t="shared" si="178"/>
        <v>2720684443.8000002</v>
      </c>
      <c r="S121" s="277">
        <f t="shared" ref="S121:Z121" si="286">+S118*20%</f>
        <v>436980280</v>
      </c>
      <c r="T121" s="277">
        <f t="shared" si="286"/>
        <v>433594865.40000004</v>
      </c>
      <c r="U121" s="277">
        <f t="shared" si="286"/>
        <v>553520575.80000007</v>
      </c>
      <c r="V121" s="277">
        <f t="shared" si="286"/>
        <v>315871547.19999999</v>
      </c>
      <c r="W121" s="277">
        <f t="shared" si="286"/>
        <v>628442408</v>
      </c>
      <c r="X121" s="277">
        <f t="shared" si="286"/>
        <v>728165329.4000001</v>
      </c>
      <c r="Y121" s="277">
        <f t="shared" si="286"/>
        <v>0</v>
      </c>
      <c r="Z121" s="277">
        <f t="shared" si="286"/>
        <v>0</v>
      </c>
      <c r="AA121" s="281">
        <f t="shared" si="195"/>
        <v>3096575005.8000007</v>
      </c>
      <c r="AB121" s="403">
        <f t="shared" si="180"/>
        <v>5817259449.6000004</v>
      </c>
      <c r="AC121" s="326">
        <f t="shared" si="181"/>
        <v>1.0170034002797204</v>
      </c>
    </row>
    <row r="122" spans="1:29" ht="14.25" x14ac:dyDescent="0.2">
      <c r="B122" s="323" t="s">
        <v>509</v>
      </c>
      <c r="C122" s="206" t="s">
        <v>203</v>
      </c>
      <c r="D122" s="324">
        <f>+D118*20%</f>
        <v>5720000000</v>
      </c>
      <c r="E122" s="325">
        <f>SUM('ADICIONES  2021'!C122:N122)</f>
        <v>0</v>
      </c>
      <c r="F122" s="277">
        <f t="shared" ref="F122:J122" si="287">+F118*20%</f>
        <v>0</v>
      </c>
      <c r="G122" s="277">
        <f t="shared" si="287"/>
        <v>0</v>
      </c>
      <c r="H122" s="277">
        <f t="shared" si="287"/>
        <v>0</v>
      </c>
      <c r="I122" s="277">
        <f t="shared" si="287"/>
        <v>0</v>
      </c>
      <c r="J122" s="277">
        <f t="shared" si="287"/>
        <v>0</v>
      </c>
      <c r="K122" s="281">
        <f t="shared" si="170"/>
        <v>5720000000</v>
      </c>
      <c r="L122" s="277">
        <f t="shared" ref="L122:Q122" si="288">+L118*20%</f>
        <v>433153482.20000005</v>
      </c>
      <c r="M122" s="277">
        <f t="shared" si="288"/>
        <v>667465937.4000001</v>
      </c>
      <c r="N122" s="277">
        <f t="shared" si="288"/>
        <v>368796024.80000001</v>
      </c>
      <c r="O122" s="277">
        <f t="shared" si="288"/>
        <v>436040323.40000004</v>
      </c>
      <c r="P122" s="277">
        <f t="shared" si="288"/>
        <v>403426940.80000001</v>
      </c>
      <c r="Q122" s="277">
        <f t="shared" si="288"/>
        <v>411801735.20000005</v>
      </c>
      <c r="R122" s="281">
        <f t="shared" si="178"/>
        <v>2720684443.8000002</v>
      </c>
      <c r="S122" s="277">
        <f t="shared" ref="S122:Z122" si="289">+S118*20%</f>
        <v>436980280</v>
      </c>
      <c r="T122" s="277">
        <f t="shared" si="289"/>
        <v>433594865.40000004</v>
      </c>
      <c r="U122" s="277">
        <f t="shared" si="289"/>
        <v>553520575.80000007</v>
      </c>
      <c r="V122" s="277">
        <f t="shared" si="289"/>
        <v>315871547.19999999</v>
      </c>
      <c r="W122" s="277">
        <f t="shared" si="289"/>
        <v>628442408</v>
      </c>
      <c r="X122" s="277">
        <f t="shared" si="289"/>
        <v>728165329.4000001</v>
      </c>
      <c r="Y122" s="277">
        <f t="shared" si="289"/>
        <v>0</v>
      </c>
      <c r="Z122" s="277">
        <f t="shared" si="289"/>
        <v>0</v>
      </c>
      <c r="AA122" s="281">
        <f t="shared" si="195"/>
        <v>3096575005.8000007</v>
      </c>
      <c r="AB122" s="403">
        <f t="shared" si="180"/>
        <v>5817259449.6000004</v>
      </c>
      <c r="AC122" s="326">
        <f t="shared" si="181"/>
        <v>1.0170034002797204</v>
      </c>
    </row>
    <row r="123" spans="1:29" s="61" customFormat="1" ht="15.75" x14ac:dyDescent="0.2">
      <c r="A123" s="421">
        <v>1</v>
      </c>
      <c r="B123" s="318" t="s">
        <v>510</v>
      </c>
      <c r="C123" s="319" t="s">
        <v>193</v>
      </c>
      <c r="D123" s="331">
        <v>12000000000</v>
      </c>
      <c r="E123" s="322">
        <f>SUM('ADICIONES  2021'!C123:N123)</f>
        <v>0</v>
      </c>
      <c r="F123" s="276"/>
      <c r="G123" s="276"/>
      <c r="H123" s="276"/>
      <c r="I123" s="276"/>
      <c r="J123" s="276"/>
      <c r="K123" s="276">
        <f t="shared" si="170"/>
        <v>12000000000</v>
      </c>
      <c r="L123" s="276">
        <v>2551090811</v>
      </c>
      <c r="M123" s="276">
        <v>1391003251</v>
      </c>
      <c r="N123" s="276">
        <v>598349858</v>
      </c>
      <c r="O123" s="276">
        <v>1092711168</v>
      </c>
      <c r="P123" s="276">
        <v>1213732759</v>
      </c>
      <c r="Q123" s="276">
        <v>915843367</v>
      </c>
      <c r="R123" s="276">
        <f t="shared" si="178"/>
        <v>7762731214</v>
      </c>
      <c r="S123" s="276">
        <v>1140168962</v>
      </c>
      <c r="T123" s="276">
        <v>885825675</v>
      </c>
      <c r="U123" s="276">
        <v>1666969683</v>
      </c>
      <c r="V123" s="276">
        <v>818247014</v>
      </c>
      <c r="W123" s="276">
        <v>2300445052</v>
      </c>
      <c r="X123" s="276">
        <v>2652470850</v>
      </c>
      <c r="Y123" s="276"/>
      <c r="Z123" s="276"/>
      <c r="AA123" s="276">
        <f t="shared" si="195"/>
        <v>9464127236</v>
      </c>
      <c r="AB123" s="402">
        <f t="shared" si="180"/>
        <v>17226858450</v>
      </c>
      <c r="AC123" s="321">
        <f t="shared" si="181"/>
        <v>1.4355715375</v>
      </c>
    </row>
    <row r="124" spans="1:29" ht="14.25" x14ac:dyDescent="0.2">
      <c r="B124" s="323" t="s">
        <v>511</v>
      </c>
      <c r="C124" s="206" t="s">
        <v>194</v>
      </c>
      <c r="D124" s="324">
        <f>+D123*80%</f>
        <v>9600000000</v>
      </c>
      <c r="E124" s="325">
        <f>SUM('ADICIONES  2021'!C124:N124)</f>
        <v>0</v>
      </c>
      <c r="F124" s="277">
        <f t="shared" ref="F124:J124" si="290">+F123*80%</f>
        <v>0</v>
      </c>
      <c r="G124" s="277">
        <f t="shared" si="290"/>
        <v>0</v>
      </c>
      <c r="H124" s="277">
        <f t="shared" si="290"/>
        <v>0</v>
      </c>
      <c r="I124" s="277">
        <f t="shared" si="290"/>
        <v>0</v>
      </c>
      <c r="J124" s="277">
        <f t="shared" si="290"/>
        <v>0</v>
      </c>
      <c r="K124" s="281">
        <f t="shared" si="170"/>
        <v>9600000000</v>
      </c>
      <c r="L124" s="277">
        <f t="shared" ref="L124:Q124" si="291">+L123*80%</f>
        <v>2040872648.8000002</v>
      </c>
      <c r="M124" s="277">
        <f t="shared" si="291"/>
        <v>1112802600.8</v>
      </c>
      <c r="N124" s="277">
        <f t="shared" si="291"/>
        <v>478679886.40000004</v>
      </c>
      <c r="O124" s="277">
        <f t="shared" si="291"/>
        <v>874168934.4000001</v>
      </c>
      <c r="P124" s="277">
        <f t="shared" si="291"/>
        <v>970986207.20000005</v>
      </c>
      <c r="Q124" s="277">
        <f t="shared" si="291"/>
        <v>732674693.60000002</v>
      </c>
      <c r="R124" s="281">
        <f t="shared" si="178"/>
        <v>6210184971.2000008</v>
      </c>
      <c r="S124" s="277">
        <f t="shared" ref="S124:Z124" si="292">+S123*80%</f>
        <v>912135169.60000002</v>
      </c>
      <c r="T124" s="277">
        <f t="shared" si="292"/>
        <v>708660540</v>
      </c>
      <c r="U124" s="277">
        <f t="shared" si="292"/>
        <v>1333575746.4000001</v>
      </c>
      <c r="V124" s="277">
        <f t="shared" si="292"/>
        <v>654597611.20000005</v>
      </c>
      <c r="W124" s="277">
        <f t="shared" si="292"/>
        <v>1840356041.6000001</v>
      </c>
      <c r="X124" s="277">
        <f t="shared" si="292"/>
        <v>2121976680</v>
      </c>
      <c r="Y124" s="277">
        <f t="shared" si="292"/>
        <v>0</v>
      </c>
      <c r="Z124" s="277">
        <f t="shared" si="292"/>
        <v>0</v>
      </c>
      <c r="AA124" s="281">
        <f t="shared" si="195"/>
        <v>7571301788.8000002</v>
      </c>
      <c r="AB124" s="403">
        <f t="shared" si="180"/>
        <v>13781486760</v>
      </c>
      <c r="AC124" s="326">
        <f t="shared" si="181"/>
        <v>1.4355715375</v>
      </c>
    </row>
    <row r="125" spans="1:29" ht="14.25" x14ac:dyDescent="0.2">
      <c r="B125" s="323" t="s">
        <v>512</v>
      </c>
      <c r="C125" s="206" t="s">
        <v>195</v>
      </c>
      <c r="D125" s="324">
        <f>+D123*20%</f>
        <v>2400000000</v>
      </c>
      <c r="E125" s="325">
        <f>SUM('ADICIONES  2021'!C125:N125)</f>
        <v>0</v>
      </c>
      <c r="F125" s="277">
        <f t="shared" ref="F125:J125" si="293">+F123*20%</f>
        <v>0</v>
      </c>
      <c r="G125" s="277">
        <f t="shared" si="293"/>
        <v>0</v>
      </c>
      <c r="H125" s="277">
        <f t="shared" si="293"/>
        <v>0</v>
      </c>
      <c r="I125" s="277">
        <f t="shared" si="293"/>
        <v>0</v>
      </c>
      <c r="J125" s="277">
        <f t="shared" si="293"/>
        <v>0</v>
      </c>
      <c r="K125" s="281">
        <f t="shared" si="170"/>
        <v>2400000000</v>
      </c>
      <c r="L125" s="277">
        <f t="shared" ref="L125:Q125" si="294">+L123*20%</f>
        <v>510218162.20000005</v>
      </c>
      <c r="M125" s="277">
        <f t="shared" si="294"/>
        <v>278200650.19999999</v>
      </c>
      <c r="N125" s="277">
        <f t="shared" si="294"/>
        <v>119669971.60000001</v>
      </c>
      <c r="O125" s="277">
        <f t="shared" si="294"/>
        <v>218542233.60000002</v>
      </c>
      <c r="P125" s="277">
        <f t="shared" si="294"/>
        <v>242746551.80000001</v>
      </c>
      <c r="Q125" s="277">
        <f t="shared" si="294"/>
        <v>183168673.40000001</v>
      </c>
      <c r="R125" s="281">
        <f t="shared" si="178"/>
        <v>1552546242.8000002</v>
      </c>
      <c r="S125" s="277">
        <f t="shared" ref="S125:Z125" si="295">+S123*20%</f>
        <v>228033792.40000001</v>
      </c>
      <c r="T125" s="277">
        <f t="shared" si="295"/>
        <v>177165135</v>
      </c>
      <c r="U125" s="277">
        <f t="shared" si="295"/>
        <v>333393936.60000002</v>
      </c>
      <c r="V125" s="277">
        <f t="shared" si="295"/>
        <v>163649402.80000001</v>
      </c>
      <c r="W125" s="277">
        <f t="shared" si="295"/>
        <v>460089010.40000004</v>
      </c>
      <c r="X125" s="277">
        <f t="shared" si="295"/>
        <v>530494170</v>
      </c>
      <c r="Y125" s="277">
        <f t="shared" si="295"/>
        <v>0</v>
      </c>
      <c r="Z125" s="277">
        <f t="shared" si="295"/>
        <v>0</v>
      </c>
      <c r="AA125" s="281">
        <f t="shared" si="195"/>
        <v>1892825447.2</v>
      </c>
      <c r="AB125" s="403">
        <f t="shared" si="180"/>
        <v>3445371690</v>
      </c>
      <c r="AC125" s="326">
        <f t="shared" si="181"/>
        <v>1.4355715375</v>
      </c>
    </row>
    <row r="126" spans="1:29" s="61" customFormat="1" ht="25.5" x14ac:dyDescent="0.2">
      <c r="A126" s="421">
        <v>1</v>
      </c>
      <c r="B126" s="318" t="s">
        <v>513</v>
      </c>
      <c r="C126" s="319" t="s">
        <v>514</v>
      </c>
      <c r="D126" s="331">
        <v>46800000000</v>
      </c>
      <c r="E126" s="322">
        <f>SUM('ADICIONES  2021'!C126:N126)</f>
        <v>0</v>
      </c>
      <c r="F126" s="276"/>
      <c r="G126" s="276"/>
      <c r="H126" s="276"/>
      <c r="I126" s="276"/>
      <c r="J126" s="276"/>
      <c r="K126" s="276">
        <f t="shared" si="170"/>
        <v>46800000000</v>
      </c>
      <c r="L126" s="276">
        <v>5388654630</v>
      </c>
      <c r="M126" s="276">
        <v>3666660934</v>
      </c>
      <c r="N126" s="276">
        <v>2317061873</v>
      </c>
      <c r="O126" s="276">
        <v>2958891086</v>
      </c>
      <c r="P126" s="276">
        <v>3703350259</v>
      </c>
      <c r="Q126" s="276">
        <v>3314430887</v>
      </c>
      <c r="R126" s="276">
        <f t="shared" si="178"/>
        <v>21349049669</v>
      </c>
      <c r="S126" s="276">
        <v>3372403137</v>
      </c>
      <c r="T126" s="276">
        <v>3379105872</v>
      </c>
      <c r="U126" s="276">
        <v>3039237121</v>
      </c>
      <c r="V126" s="276">
        <v>2898072229</v>
      </c>
      <c r="W126" s="276">
        <v>5655556986</v>
      </c>
      <c r="X126" s="276">
        <v>7233892451</v>
      </c>
      <c r="Y126" s="276"/>
      <c r="Z126" s="276"/>
      <c r="AA126" s="276">
        <f t="shared" si="195"/>
        <v>25578267796</v>
      </c>
      <c r="AB126" s="402">
        <f t="shared" si="180"/>
        <v>46927317465</v>
      </c>
      <c r="AC126" s="321">
        <f t="shared" si="181"/>
        <v>1.0027204586538461</v>
      </c>
    </row>
    <row r="127" spans="1:29" ht="14.25" x14ac:dyDescent="0.2">
      <c r="B127" s="323" t="s">
        <v>515</v>
      </c>
      <c r="C127" s="206" t="s">
        <v>206</v>
      </c>
      <c r="D127" s="324">
        <f>+D126*75%</f>
        <v>35100000000</v>
      </c>
      <c r="E127" s="325">
        <f>SUM('ADICIONES  2021'!C127:N127)</f>
        <v>0</v>
      </c>
      <c r="F127" s="277">
        <f t="shared" ref="F127:J127" si="296">+F126*75%</f>
        <v>0</v>
      </c>
      <c r="G127" s="277">
        <f t="shared" si="296"/>
        <v>0</v>
      </c>
      <c r="H127" s="277">
        <f t="shared" si="296"/>
        <v>0</v>
      </c>
      <c r="I127" s="277">
        <f t="shared" si="296"/>
        <v>0</v>
      </c>
      <c r="J127" s="277">
        <f t="shared" si="296"/>
        <v>0</v>
      </c>
      <c r="K127" s="281">
        <f t="shared" si="170"/>
        <v>35100000000</v>
      </c>
      <c r="L127" s="277">
        <f t="shared" ref="L127:Q127" si="297">+L126*75%</f>
        <v>4041490972.5</v>
      </c>
      <c r="M127" s="277">
        <f t="shared" si="297"/>
        <v>2749995700.5</v>
      </c>
      <c r="N127" s="277">
        <f t="shared" si="297"/>
        <v>1737796404.75</v>
      </c>
      <c r="O127" s="277">
        <f t="shared" si="297"/>
        <v>2219168314.5</v>
      </c>
      <c r="P127" s="277">
        <f t="shared" si="297"/>
        <v>2777512694.25</v>
      </c>
      <c r="Q127" s="277">
        <f t="shared" si="297"/>
        <v>2485823165.25</v>
      </c>
      <c r="R127" s="281">
        <f t="shared" si="178"/>
        <v>16011787251.75</v>
      </c>
      <c r="S127" s="277">
        <f t="shared" ref="S127:Z127" si="298">+S126*75%</f>
        <v>2529302352.75</v>
      </c>
      <c r="T127" s="277">
        <f t="shared" si="298"/>
        <v>2534329404</v>
      </c>
      <c r="U127" s="277">
        <f t="shared" si="298"/>
        <v>2279427840.75</v>
      </c>
      <c r="V127" s="277">
        <f t="shared" si="298"/>
        <v>2173554171.75</v>
      </c>
      <c r="W127" s="277">
        <f t="shared" si="298"/>
        <v>4241667739.5</v>
      </c>
      <c r="X127" s="277">
        <f t="shared" si="298"/>
        <v>5425419338.25</v>
      </c>
      <c r="Y127" s="277">
        <f t="shared" si="298"/>
        <v>0</v>
      </c>
      <c r="Z127" s="277">
        <f t="shared" si="298"/>
        <v>0</v>
      </c>
      <c r="AA127" s="281">
        <f t="shared" si="195"/>
        <v>19183700847</v>
      </c>
      <c r="AB127" s="403">
        <f t="shared" si="180"/>
        <v>35195488098.75</v>
      </c>
      <c r="AC127" s="326">
        <f t="shared" si="181"/>
        <v>1.0027204586538461</v>
      </c>
    </row>
    <row r="128" spans="1:29" ht="14.25" x14ac:dyDescent="0.2">
      <c r="B128" s="323" t="s">
        <v>516</v>
      </c>
      <c r="C128" s="206" t="s">
        <v>207</v>
      </c>
      <c r="D128" s="324">
        <f>+D126*12%</f>
        <v>5616000000</v>
      </c>
      <c r="E128" s="325">
        <f>SUM('ADICIONES  2021'!C128:N128)</f>
        <v>0</v>
      </c>
      <c r="F128" s="277">
        <f t="shared" ref="F128:J128" si="299">+F126*12%</f>
        <v>0</v>
      </c>
      <c r="G128" s="277">
        <f t="shared" si="299"/>
        <v>0</v>
      </c>
      <c r="H128" s="277">
        <f t="shared" si="299"/>
        <v>0</v>
      </c>
      <c r="I128" s="277">
        <f t="shared" si="299"/>
        <v>0</v>
      </c>
      <c r="J128" s="277">
        <f t="shared" si="299"/>
        <v>0</v>
      </c>
      <c r="K128" s="281">
        <f t="shared" si="170"/>
        <v>5616000000</v>
      </c>
      <c r="L128" s="277">
        <f t="shared" ref="L128:Q128" si="300">+L126*12%</f>
        <v>646638555.60000002</v>
      </c>
      <c r="M128" s="277">
        <f t="shared" si="300"/>
        <v>439999312.07999998</v>
      </c>
      <c r="N128" s="277">
        <f t="shared" si="300"/>
        <v>278047424.75999999</v>
      </c>
      <c r="O128" s="277">
        <f t="shared" si="300"/>
        <v>355066930.31999999</v>
      </c>
      <c r="P128" s="277">
        <f t="shared" si="300"/>
        <v>444402031.07999998</v>
      </c>
      <c r="Q128" s="277">
        <f t="shared" si="300"/>
        <v>397731706.44</v>
      </c>
      <c r="R128" s="281">
        <f t="shared" si="178"/>
        <v>2561885960.2800002</v>
      </c>
      <c r="S128" s="277">
        <f t="shared" ref="S128:Z128" si="301">+S126*12%</f>
        <v>404688376.44</v>
      </c>
      <c r="T128" s="277">
        <f t="shared" si="301"/>
        <v>405492704.63999999</v>
      </c>
      <c r="U128" s="277">
        <f t="shared" si="301"/>
        <v>364708454.51999998</v>
      </c>
      <c r="V128" s="277">
        <f t="shared" si="301"/>
        <v>347768667.47999996</v>
      </c>
      <c r="W128" s="277">
        <f t="shared" si="301"/>
        <v>678666838.31999993</v>
      </c>
      <c r="X128" s="277">
        <f t="shared" si="301"/>
        <v>868067094.12</v>
      </c>
      <c r="Y128" s="277">
        <f t="shared" si="301"/>
        <v>0</v>
      </c>
      <c r="Z128" s="277">
        <f t="shared" si="301"/>
        <v>0</v>
      </c>
      <c r="AA128" s="281">
        <f t="shared" si="195"/>
        <v>3069392135.5199995</v>
      </c>
      <c r="AB128" s="403">
        <f t="shared" si="180"/>
        <v>5631278095.7999992</v>
      </c>
      <c r="AC128" s="326">
        <f t="shared" si="181"/>
        <v>1.0027204586538461</v>
      </c>
    </row>
    <row r="129" spans="1:29" ht="14.25" x14ac:dyDescent="0.2">
      <c r="B129" s="323" t="s">
        <v>517</v>
      </c>
      <c r="C129" s="206" t="s">
        <v>208</v>
      </c>
      <c r="D129" s="324">
        <f>+D126*8%</f>
        <v>3744000000</v>
      </c>
      <c r="E129" s="325">
        <f>SUM('ADICIONES  2021'!C129:N129)</f>
        <v>0</v>
      </c>
      <c r="F129" s="277">
        <f t="shared" ref="F129:J129" si="302">+F126*8%</f>
        <v>0</v>
      </c>
      <c r="G129" s="277">
        <f t="shared" si="302"/>
        <v>0</v>
      </c>
      <c r="H129" s="277">
        <f t="shared" si="302"/>
        <v>0</v>
      </c>
      <c r="I129" s="277">
        <f t="shared" si="302"/>
        <v>0</v>
      </c>
      <c r="J129" s="277">
        <f t="shared" si="302"/>
        <v>0</v>
      </c>
      <c r="K129" s="281">
        <f t="shared" si="170"/>
        <v>3744000000</v>
      </c>
      <c r="L129" s="277">
        <f t="shared" ref="L129:Q129" si="303">+L126*8%</f>
        <v>431092370.40000004</v>
      </c>
      <c r="M129" s="277">
        <f t="shared" si="303"/>
        <v>293332874.72000003</v>
      </c>
      <c r="N129" s="277">
        <f t="shared" si="303"/>
        <v>185364949.84</v>
      </c>
      <c r="O129" s="277">
        <f t="shared" si="303"/>
        <v>236711286.88</v>
      </c>
      <c r="P129" s="277">
        <f t="shared" si="303"/>
        <v>296268020.72000003</v>
      </c>
      <c r="Q129" s="277">
        <f t="shared" si="303"/>
        <v>265154470.96000001</v>
      </c>
      <c r="R129" s="281">
        <f t="shared" si="178"/>
        <v>1707923973.5200002</v>
      </c>
      <c r="S129" s="277">
        <f t="shared" ref="S129:Z129" si="304">+S126*8%</f>
        <v>269792250.95999998</v>
      </c>
      <c r="T129" s="277">
        <f t="shared" si="304"/>
        <v>270328469.75999999</v>
      </c>
      <c r="U129" s="277">
        <f t="shared" si="304"/>
        <v>243138969.68000001</v>
      </c>
      <c r="V129" s="277">
        <f t="shared" si="304"/>
        <v>231845778.31999999</v>
      </c>
      <c r="W129" s="277">
        <f t="shared" si="304"/>
        <v>452444558.88</v>
      </c>
      <c r="X129" s="277">
        <f t="shared" si="304"/>
        <v>578711396.08000004</v>
      </c>
      <c r="Y129" s="277">
        <f t="shared" si="304"/>
        <v>0</v>
      </c>
      <c r="Z129" s="277">
        <f t="shared" si="304"/>
        <v>0</v>
      </c>
      <c r="AA129" s="281">
        <f t="shared" si="195"/>
        <v>2046261423.6799998</v>
      </c>
      <c r="AB129" s="403">
        <f t="shared" si="180"/>
        <v>3754185397.1999998</v>
      </c>
      <c r="AC129" s="326">
        <f t="shared" si="181"/>
        <v>1.0027204586538461</v>
      </c>
    </row>
    <row r="130" spans="1:29" ht="14.25" x14ac:dyDescent="0.2">
      <c r="B130" s="323" t="s">
        <v>518</v>
      </c>
      <c r="C130" s="206" t="s">
        <v>209</v>
      </c>
      <c r="D130" s="324">
        <f>+D126*3%</f>
        <v>1404000000</v>
      </c>
      <c r="E130" s="325">
        <f>SUM('ADICIONES  2021'!C130:N130)</f>
        <v>0</v>
      </c>
      <c r="F130" s="277">
        <f t="shared" ref="F130:J130" si="305">+F126*3%</f>
        <v>0</v>
      </c>
      <c r="G130" s="277">
        <f t="shared" si="305"/>
        <v>0</v>
      </c>
      <c r="H130" s="277">
        <f t="shared" si="305"/>
        <v>0</v>
      </c>
      <c r="I130" s="277">
        <f t="shared" si="305"/>
        <v>0</v>
      </c>
      <c r="J130" s="277">
        <f t="shared" si="305"/>
        <v>0</v>
      </c>
      <c r="K130" s="281">
        <f t="shared" si="170"/>
        <v>1404000000</v>
      </c>
      <c r="L130" s="277">
        <f t="shared" ref="L130:Q130" si="306">+L126*3%</f>
        <v>161659638.90000001</v>
      </c>
      <c r="M130" s="277">
        <f t="shared" si="306"/>
        <v>109999828.02</v>
      </c>
      <c r="N130" s="277">
        <f t="shared" si="306"/>
        <v>69511856.189999998</v>
      </c>
      <c r="O130" s="277">
        <f t="shared" si="306"/>
        <v>88766732.579999998</v>
      </c>
      <c r="P130" s="277">
        <f t="shared" si="306"/>
        <v>111100507.77</v>
      </c>
      <c r="Q130" s="277">
        <f t="shared" si="306"/>
        <v>99432926.609999999</v>
      </c>
      <c r="R130" s="281">
        <f t="shared" si="178"/>
        <v>640471490.07000005</v>
      </c>
      <c r="S130" s="277">
        <f t="shared" ref="S130:Z130" si="307">+S126*3%</f>
        <v>101172094.11</v>
      </c>
      <c r="T130" s="277">
        <f t="shared" si="307"/>
        <v>101373176.16</v>
      </c>
      <c r="U130" s="277">
        <f t="shared" si="307"/>
        <v>91177113.629999995</v>
      </c>
      <c r="V130" s="277">
        <f t="shared" si="307"/>
        <v>86942166.86999999</v>
      </c>
      <c r="W130" s="277">
        <f t="shared" si="307"/>
        <v>169666709.57999998</v>
      </c>
      <c r="X130" s="277">
        <f t="shared" si="307"/>
        <v>217016773.53</v>
      </c>
      <c r="Y130" s="277">
        <f t="shared" si="307"/>
        <v>0</v>
      </c>
      <c r="Z130" s="277">
        <f t="shared" si="307"/>
        <v>0</v>
      </c>
      <c r="AA130" s="281">
        <f t="shared" si="195"/>
        <v>767348033.87999988</v>
      </c>
      <c r="AB130" s="403">
        <f t="shared" si="180"/>
        <v>1407819523.9499998</v>
      </c>
      <c r="AC130" s="326">
        <f t="shared" si="181"/>
        <v>1.0027204586538461</v>
      </c>
    </row>
    <row r="131" spans="1:29" ht="14.25" x14ac:dyDescent="0.2">
      <c r="B131" s="323" t="s">
        <v>519</v>
      </c>
      <c r="C131" s="206" t="s">
        <v>210</v>
      </c>
      <c r="D131" s="324">
        <f>+D126*2%</f>
        <v>936000000</v>
      </c>
      <c r="E131" s="325">
        <f>SUM('ADICIONES  2021'!C131:N131)</f>
        <v>0</v>
      </c>
      <c r="F131" s="277">
        <f t="shared" ref="F131:J131" si="308">+F126*2%</f>
        <v>0</v>
      </c>
      <c r="G131" s="277">
        <f t="shared" si="308"/>
        <v>0</v>
      </c>
      <c r="H131" s="277">
        <f t="shared" si="308"/>
        <v>0</v>
      </c>
      <c r="I131" s="277">
        <f t="shared" si="308"/>
        <v>0</v>
      </c>
      <c r="J131" s="277">
        <f t="shared" si="308"/>
        <v>0</v>
      </c>
      <c r="K131" s="281">
        <f t="shared" si="170"/>
        <v>936000000</v>
      </c>
      <c r="L131" s="277">
        <f t="shared" ref="L131:Q131" si="309">+L126*2%</f>
        <v>107773092.60000001</v>
      </c>
      <c r="M131" s="277">
        <f t="shared" si="309"/>
        <v>73333218.680000007</v>
      </c>
      <c r="N131" s="277">
        <f t="shared" si="309"/>
        <v>46341237.460000001</v>
      </c>
      <c r="O131" s="277">
        <f t="shared" si="309"/>
        <v>59177821.719999999</v>
      </c>
      <c r="P131" s="277">
        <f t="shared" si="309"/>
        <v>74067005.180000007</v>
      </c>
      <c r="Q131" s="277">
        <f t="shared" si="309"/>
        <v>66288617.740000002</v>
      </c>
      <c r="R131" s="281">
        <f t="shared" si="178"/>
        <v>426980993.38000005</v>
      </c>
      <c r="S131" s="277">
        <f t="shared" ref="S131:Z131" si="310">+S126*2%</f>
        <v>67448062.739999995</v>
      </c>
      <c r="T131" s="277">
        <f t="shared" si="310"/>
        <v>67582117.439999998</v>
      </c>
      <c r="U131" s="277">
        <f t="shared" si="310"/>
        <v>60784742.420000002</v>
      </c>
      <c r="V131" s="277">
        <f t="shared" si="310"/>
        <v>57961444.579999998</v>
      </c>
      <c r="W131" s="277">
        <f t="shared" si="310"/>
        <v>113111139.72</v>
      </c>
      <c r="X131" s="277">
        <f t="shared" si="310"/>
        <v>144677849.02000001</v>
      </c>
      <c r="Y131" s="277">
        <f t="shared" si="310"/>
        <v>0</v>
      </c>
      <c r="Z131" s="277">
        <f t="shared" si="310"/>
        <v>0</v>
      </c>
      <c r="AA131" s="281">
        <f t="shared" si="195"/>
        <v>511565355.91999996</v>
      </c>
      <c r="AB131" s="403">
        <f t="shared" si="180"/>
        <v>938546349.29999995</v>
      </c>
      <c r="AC131" s="326">
        <f t="shared" si="181"/>
        <v>1.0027204586538461</v>
      </c>
    </row>
    <row r="132" spans="1:29" s="61" customFormat="1" ht="15.75" x14ac:dyDescent="0.2">
      <c r="A132" s="421">
        <v>1</v>
      </c>
      <c r="B132" s="318" t="s">
        <v>520</v>
      </c>
      <c r="C132" s="319" t="s">
        <v>521</v>
      </c>
      <c r="D132" s="331">
        <v>40200000000</v>
      </c>
      <c r="E132" s="322">
        <f>SUM('ADICIONES  2021'!C132:N132)</f>
        <v>0</v>
      </c>
      <c r="F132" s="276"/>
      <c r="G132" s="276"/>
      <c r="H132" s="276"/>
      <c r="I132" s="276"/>
      <c r="J132" s="276"/>
      <c r="K132" s="276">
        <f t="shared" si="170"/>
        <v>40200000000</v>
      </c>
      <c r="L132" s="276">
        <v>4391639595</v>
      </c>
      <c r="M132" s="276">
        <v>3258912562</v>
      </c>
      <c r="N132" s="276">
        <v>1546008791</v>
      </c>
      <c r="O132" s="276">
        <v>2239648077</v>
      </c>
      <c r="P132" s="276">
        <v>2445285758</v>
      </c>
      <c r="Q132" s="276">
        <v>2404150945</v>
      </c>
      <c r="R132" s="276">
        <f t="shared" si="178"/>
        <v>16285645728</v>
      </c>
      <c r="S132" s="276">
        <v>2552793809</v>
      </c>
      <c r="T132" s="276">
        <v>2266183796</v>
      </c>
      <c r="U132" s="276">
        <v>2434137813</v>
      </c>
      <c r="V132" s="276">
        <v>2392841715</v>
      </c>
      <c r="W132" s="276">
        <v>4633212700</v>
      </c>
      <c r="X132" s="276">
        <v>6038615950.1999998</v>
      </c>
      <c r="Y132" s="276"/>
      <c r="Z132" s="276"/>
      <c r="AA132" s="276">
        <f t="shared" si="195"/>
        <v>20317785783.200001</v>
      </c>
      <c r="AB132" s="402">
        <f t="shared" si="180"/>
        <v>36603431511.199997</v>
      </c>
      <c r="AC132" s="321">
        <f t="shared" si="181"/>
        <v>0.91053312216915416</v>
      </c>
    </row>
    <row r="133" spans="1:29" ht="14.25" x14ac:dyDescent="0.2">
      <c r="B133" s="323" t="s">
        <v>522</v>
      </c>
      <c r="C133" s="206" t="s">
        <v>204</v>
      </c>
      <c r="D133" s="324">
        <f>+D132*60%</f>
        <v>24120000000</v>
      </c>
      <c r="E133" s="325">
        <f>SUM('ADICIONES  2021'!C133:N133)</f>
        <v>0</v>
      </c>
      <c r="F133" s="277">
        <f t="shared" ref="F133:J133" si="311">+F132*60%</f>
        <v>0</v>
      </c>
      <c r="G133" s="277">
        <f t="shared" si="311"/>
        <v>0</v>
      </c>
      <c r="H133" s="277">
        <f t="shared" si="311"/>
        <v>0</v>
      </c>
      <c r="I133" s="277">
        <f t="shared" si="311"/>
        <v>0</v>
      </c>
      <c r="J133" s="277">
        <f t="shared" si="311"/>
        <v>0</v>
      </c>
      <c r="K133" s="281">
        <f t="shared" si="170"/>
        <v>24120000000</v>
      </c>
      <c r="L133" s="277">
        <f t="shared" ref="L133:Q133" si="312">+L132*60%</f>
        <v>2634983757</v>
      </c>
      <c r="M133" s="277">
        <f t="shared" si="312"/>
        <v>1955347537.1999998</v>
      </c>
      <c r="N133" s="277">
        <f t="shared" si="312"/>
        <v>927605274.60000002</v>
      </c>
      <c r="O133" s="277">
        <f t="shared" si="312"/>
        <v>1343788846.2</v>
      </c>
      <c r="P133" s="277">
        <f t="shared" si="312"/>
        <v>1467171454.8</v>
      </c>
      <c r="Q133" s="277">
        <f t="shared" si="312"/>
        <v>1442490567</v>
      </c>
      <c r="R133" s="281">
        <f t="shared" si="178"/>
        <v>9771387436.7999992</v>
      </c>
      <c r="S133" s="277">
        <f t="shared" ref="S133:Z133" si="313">+S132*60%</f>
        <v>1531676285.3999999</v>
      </c>
      <c r="T133" s="277">
        <f t="shared" si="313"/>
        <v>1359710277.5999999</v>
      </c>
      <c r="U133" s="277">
        <f t="shared" si="313"/>
        <v>1460482687.8</v>
      </c>
      <c r="V133" s="277">
        <f t="shared" si="313"/>
        <v>1435705029</v>
      </c>
      <c r="W133" s="277">
        <f t="shared" si="313"/>
        <v>2779927620</v>
      </c>
      <c r="X133" s="277">
        <f t="shared" si="313"/>
        <v>3623169570.1199999</v>
      </c>
      <c r="Y133" s="277">
        <f t="shared" si="313"/>
        <v>0</v>
      </c>
      <c r="Z133" s="277">
        <f t="shared" si="313"/>
        <v>0</v>
      </c>
      <c r="AA133" s="281">
        <f t="shared" si="195"/>
        <v>12190671469.92</v>
      </c>
      <c r="AB133" s="403">
        <f t="shared" si="180"/>
        <v>21962058906.720001</v>
      </c>
      <c r="AC133" s="326">
        <f t="shared" si="181"/>
        <v>0.91053312216915427</v>
      </c>
    </row>
    <row r="134" spans="1:29" ht="25.5" x14ac:dyDescent="0.2">
      <c r="B134" s="323" t="s">
        <v>523</v>
      </c>
      <c r="C134" s="206" t="s">
        <v>205</v>
      </c>
      <c r="D134" s="324">
        <f>+D132*19%</f>
        <v>7638000000</v>
      </c>
      <c r="E134" s="325">
        <f>SUM('ADICIONES  2021'!C134:N134)</f>
        <v>0</v>
      </c>
      <c r="F134" s="277">
        <f t="shared" ref="F134:J134" si="314">+F132*19%</f>
        <v>0</v>
      </c>
      <c r="G134" s="277">
        <f t="shared" si="314"/>
        <v>0</v>
      </c>
      <c r="H134" s="277">
        <f t="shared" si="314"/>
        <v>0</v>
      </c>
      <c r="I134" s="277">
        <f t="shared" si="314"/>
        <v>0</v>
      </c>
      <c r="J134" s="277">
        <f t="shared" si="314"/>
        <v>0</v>
      </c>
      <c r="K134" s="281">
        <f t="shared" si="170"/>
        <v>7638000000</v>
      </c>
      <c r="L134" s="277">
        <f t="shared" ref="L134:Q134" si="315">+L132*19%</f>
        <v>834411523.04999995</v>
      </c>
      <c r="M134" s="277">
        <f t="shared" si="315"/>
        <v>619193386.77999997</v>
      </c>
      <c r="N134" s="277">
        <f t="shared" si="315"/>
        <v>293741670.29000002</v>
      </c>
      <c r="O134" s="277">
        <f t="shared" si="315"/>
        <v>425533134.63</v>
      </c>
      <c r="P134" s="277">
        <f t="shared" si="315"/>
        <v>464604294.01999998</v>
      </c>
      <c r="Q134" s="277">
        <f t="shared" si="315"/>
        <v>456788679.55000001</v>
      </c>
      <c r="R134" s="281">
        <f t="shared" si="178"/>
        <v>3094272688.3200002</v>
      </c>
      <c r="S134" s="277">
        <f t="shared" ref="S134:Z134" si="316">+S132*19%</f>
        <v>485030823.70999998</v>
      </c>
      <c r="T134" s="277">
        <f t="shared" si="316"/>
        <v>430574921.24000001</v>
      </c>
      <c r="U134" s="277">
        <f t="shared" si="316"/>
        <v>462486184.47000003</v>
      </c>
      <c r="V134" s="277">
        <f t="shared" si="316"/>
        <v>454639925.85000002</v>
      </c>
      <c r="W134" s="277">
        <f t="shared" si="316"/>
        <v>880310413</v>
      </c>
      <c r="X134" s="277">
        <f t="shared" si="316"/>
        <v>1147337030.5379999</v>
      </c>
      <c r="Y134" s="277">
        <f t="shared" si="316"/>
        <v>0</v>
      </c>
      <c r="Z134" s="277">
        <f t="shared" si="316"/>
        <v>0</v>
      </c>
      <c r="AA134" s="281">
        <f t="shared" si="195"/>
        <v>3860379298.8079996</v>
      </c>
      <c r="AB134" s="403">
        <f t="shared" si="180"/>
        <v>6954651987.1280003</v>
      </c>
      <c r="AC134" s="326">
        <f t="shared" si="181"/>
        <v>0.91053312216915427</v>
      </c>
    </row>
    <row r="135" spans="1:29" ht="14.25" x14ac:dyDescent="0.2">
      <c r="B135" s="323" t="s">
        <v>524</v>
      </c>
      <c r="C135" s="206" t="s">
        <v>525</v>
      </c>
      <c r="D135" s="324">
        <f>+D132*1%</f>
        <v>402000000</v>
      </c>
      <c r="E135" s="325">
        <f>SUM('ADICIONES  2021'!C135:N135)</f>
        <v>0</v>
      </c>
      <c r="F135" s="277">
        <f t="shared" ref="F135:J135" si="317">+F132*1%</f>
        <v>0</v>
      </c>
      <c r="G135" s="277">
        <f t="shared" si="317"/>
        <v>0</v>
      </c>
      <c r="H135" s="277">
        <f t="shared" si="317"/>
        <v>0</v>
      </c>
      <c r="I135" s="277">
        <f t="shared" si="317"/>
        <v>0</v>
      </c>
      <c r="J135" s="277">
        <f t="shared" si="317"/>
        <v>0</v>
      </c>
      <c r="K135" s="281">
        <f t="shared" si="170"/>
        <v>402000000</v>
      </c>
      <c r="L135" s="277">
        <f t="shared" ref="L135:Q135" si="318">+L132*1%</f>
        <v>43916395.950000003</v>
      </c>
      <c r="M135" s="277">
        <f t="shared" si="318"/>
        <v>32589125.620000001</v>
      </c>
      <c r="N135" s="277">
        <f t="shared" si="318"/>
        <v>15460087.91</v>
      </c>
      <c r="O135" s="277">
        <f t="shared" si="318"/>
        <v>22396480.77</v>
      </c>
      <c r="P135" s="277">
        <f t="shared" si="318"/>
        <v>24452857.580000002</v>
      </c>
      <c r="Q135" s="277">
        <f t="shared" si="318"/>
        <v>24041509.449999999</v>
      </c>
      <c r="R135" s="281">
        <f t="shared" si="178"/>
        <v>162856457.28</v>
      </c>
      <c r="S135" s="277">
        <f t="shared" ref="S135:Z135" si="319">+S132*1%</f>
        <v>25527938.09</v>
      </c>
      <c r="T135" s="277">
        <f t="shared" si="319"/>
        <v>22661837.960000001</v>
      </c>
      <c r="U135" s="277">
        <f t="shared" si="319"/>
        <v>24341378.129999999</v>
      </c>
      <c r="V135" s="277">
        <f t="shared" si="319"/>
        <v>23928417.150000002</v>
      </c>
      <c r="W135" s="277">
        <f t="shared" si="319"/>
        <v>46332127</v>
      </c>
      <c r="X135" s="277">
        <f t="shared" si="319"/>
        <v>60386159.501999997</v>
      </c>
      <c r="Y135" s="277">
        <f t="shared" si="319"/>
        <v>0</v>
      </c>
      <c r="Z135" s="277">
        <f t="shared" si="319"/>
        <v>0</v>
      </c>
      <c r="AA135" s="281">
        <f t="shared" si="195"/>
        <v>203177857.83199999</v>
      </c>
      <c r="AB135" s="403">
        <f t="shared" si="180"/>
        <v>366034315.11199999</v>
      </c>
      <c r="AC135" s="326">
        <f t="shared" si="181"/>
        <v>0.91053312216915416</v>
      </c>
    </row>
    <row r="136" spans="1:29" ht="14.25" x14ac:dyDescent="0.2">
      <c r="B136" s="323" t="s">
        <v>526</v>
      </c>
      <c r="C136" s="206" t="s">
        <v>527</v>
      </c>
      <c r="D136" s="324">
        <f>+D132*20%</f>
        <v>8040000000</v>
      </c>
      <c r="E136" s="325">
        <f>SUM('ADICIONES  2021'!C136:N136)</f>
        <v>0</v>
      </c>
      <c r="F136" s="277">
        <f t="shared" ref="F136:J136" si="320">+F132*20%</f>
        <v>0</v>
      </c>
      <c r="G136" s="277">
        <f t="shared" si="320"/>
        <v>0</v>
      </c>
      <c r="H136" s="277">
        <f t="shared" si="320"/>
        <v>0</v>
      </c>
      <c r="I136" s="277">
        <f t="shared" si="320"/>
        <v>0</v>
      </c>
      <c r="J136" s="277">
        <f t="shared" si="320"/>
        <v>0</v>
      </c>
      <c r="K136" s="281">
        <f t="shared" si="170"/>
        <v>8040000000</v>
      </c>
      <c r="L136" s="277">
        <f t="shared" ref="L136:Q136" si="321">+L132*20%</f>
        <v>878327919</v>
      </c>
      <c r="M136" s="277">
        <f t="shared" si="321"/>
        <v>651782512.4000001</v>
      </c>
      <c r="N136" s="277">
        <f t="shared" si="321"/>
        <v>309201758.19999999</v>
      </c>
      <c r="O136" s="277">
        <f t="shared" si="321"/>
        <v>447929615.40000004</v>
      </c>
      <c r="P136" s="277">
        <f t="shared" si="321"/>
        <v>489057151.60000002</v>
      </c>
      <c r="Q136" s="277">
        <f t="shared" si="321"/>
        <v>480830189</v>
      </c>
      <c r="R136" s="281">
        <f t="shared" si="178"/>
        <v>3257129145.5999999</v>
      </c>
      <c r="S136" s="277">
        <f t="shared" ref="S136:Z136" si="322">+S132*20%</f>
        <v>510558761.80000001</v>
      </c>
      <c r="T136" s="277">
        <f t="shared" si="322"/>
        <v>453236759.20000005</v>
      </c>
      <c r="U136" s="277">
        <f t="shared" si="322"/>
        <v>486827562.60000002</v>
      </c>
      <c r="V136" s="277">
        <f t="shared" si="322"/>
        <v>478568343</v>
      </c>
      <c r="W136" s="277">
        <f t="shared" si="322"/>
        <v>926642540</v>
      </c>
      <c r="X136" s="277">
        <f t="shared" si="322"/>
        <v>1207723190.04</v>
      </c>
      <c r="Y136" s="277">
        <f t="shared" si="322"/>
        <v>0</v>
      </c>
      <c r="Z136" s="277">
        <f t="shared" si="322"/>
        <v>0</v>
      </c>
      <c r="AA136" s="281">
        <f t="shared" si="195"/>
        <v>4063557156.6399999</v>
      </c>
      <c r="AB136" s="403">
        <f t="shared" si="180"/>
        <v>7320686302.2399998</v>
      </c>
      <c r="AC136" s="326">
        <f t="shared" si="181"/>
        <v>0.91053312216915416</v>
      </c>
    </row>
    <row r="137" spans="1:29" s="61" customFormat="1" ht="15.75" x14ac:dyDescent="0.2">
      <c r="A137" s="421">
        <v>1</v>
      </c>
      <c r="B137" s="318" t="s">
        <v>528</v>
      </c>
      <c r="C137" s="319" t="s">
        <v>529</v>
      </c>
      <c r="D137" s="331">
        <v>8800000000</v>
      </c>
      <c r="E137" s="322">
        <f>SUM('ADICIONES  2021'!C137:N137)</f>
        <v>0</v>
      </c>
      <c r="F137" s="276"/>
      <c r="G137" s="276"/>
      <c r="H137" s="276"/>
      <c r="I137" s="276"/>
      <c r="J137" s="276"/>
      <c r="K137" s="276">
        <f t="shared" si="170"/>
        <v>8800000000</v>
      </c>
      <c r="L137" s="276">
        <v>1072144804</v>
      </c>
      <c r="M137" s="276">
        <v>1316355883</v>
      </c>
      <c r="N137" s="276">
        <v>180962437</v>
      </c>
      <c r="O137" s="276">
        <v>755136673</v>
      </c>
      <c r="P137" s="276">
        <v>553999435</v>
      </c>
      <c r="Q137" s="276">
        <v>478615131</v>
      </c>
      <c r="R137" s="276">
        <f t="shared" si="178"/>
        <v>4357214363</v>
      </c>
      <c r="S137" s="276">
        <v>677705711</v>
      </c>
      <c r="T137" s="276">
        <v>278228156</v>
      </c>
      <c r="U137" s="276">
        <v>654708070</v>
      </c>
      <c r="V137" s="276">
        <v>332253319</v>
      </c>
      <c r="W137" s="276">
        <v>1864390673</v>
      </c>
      <c r="X137" s="276">
        <v>1897688848</v>
      </c>
      <c r="Y137" s="276"/>
      <c r="Z137" s="276"/>
      <c r="AA137" s="276">
        <f t="shared" si="195"/>
        <v>5704974777</v>
      </c>
      <c r="AB137" s="402">
        <f t="shared" si="180"/>
        <v>10062189140</v>
      </c>
      <c r="AC137" s="321">
        <f t="shared" si="181"/>
        <v>1.1434305840909091</v>
      </c>
    </row>
    <row r="138" spans="1:29" ht="14.25" x14ac:dyDescent="0.2">
      <c r="B138" s="323" t="s">
        <v>530</v>
      </c>
      <c r="C138" s="206" t="s">
        <v>196</v>
      </c>
      <c r="D138" s="324">
        <f>+D137*60%</f>
        <v>5280000000</v>
      </c>
      <c r="E138" s="325">
        <f>SUM('ADICIONES  2021'!C138:N138)</f>
        <v>0</v>
      </c>
      <c r="F138" s="277">
        <f t="shared" ref="F138:J138" si="323">+F137*60%</f>
        <v>0</v>
      </c>
      <c r="G138" s="277">
        <f t="shared" si="323"/>
        <v>0</v>
      </c>
      <c r="H138" s="277">
        <f t="shared" si="323"/>
        <v>0</v>
      </c>
      <c r="I138" s="277">
        <f t="shared" si="323"/>
        <v>0</v>
      </c>
      <c r="J138" s="277">
        <f t="shared" si="323"/>
        <v>0</v>
      </c>
      <c r="K138" s="281">
        <f t="shared" si="170"/>
        <v>5280000000</v>
      </c>
      <c r="L138" s="277">
        <f t="shared" ref="L138:Q138" si="324">+L137*60%</f>
        <v>643286882.39999998</v>
      </c>
      <c r="M138" s="277">
        <f t="shared" si="324"/>
        <v>789813529.79999995</v>
      </c>
      <c r="N138" s="277">
        <f t="shared" si="324"/>
        <v>108577462.2</v>
      </c>
      <c r="O138" s="277">
        <f t="shared" si="324"/>
        <v>453082003.80000001</v>
      </c>
      <c r="P138" s="277">
        <f t="shared" si="324"/>
        <v>332399661</v>
      </c>
      <c r="Q138" s="277">
        <f t="shared" si="324"/>
        <v>287169078.59999996</v>
      </c>
      <c r="R138" s="281">
        <f t="shared" si="178"/>
        <v>2614328617.7999997</v>
      </c>
      <c r="S138" s="277">
        <f t="shared" ref="S138:Z138" si="325">+S137*60%</f>
        <v>406623426.59999996</v>
      </c>
      <c r="T138" s="277">
        <f t="shared" si="325"/>
        <v>166936893.59999999</v>
      </c>
      <c r="U138" s="277">
        <f t="shared" si="325"/>
        <v>392824842</v>
      </c>
      <c r="V138" s="277">
        <f t="shared" si="325"/>
        <v>199351991.40000001</v>
      </c>
      <c r="W138" s="277">
        <f t="shared" si="325"/>
        <v>1118634403.8</v>
      </c>
      <c r="X138" s="277">
        <f t="shared" si="325"/>
        <v>1138613308.8</v>
      </c>
      <c r="Y138" s="277">
        <f t="shared" si="325"/>
        <v>0</v>
      </c>
      <c r="Z138" s="277">
        <f t="shared" si="325"/>
        <v>0</v>
      </c>
      <c r="AA138" s="281">
        <f t="shared" si="195"/>
        <v>3422984866.1999998</v>
      </c>
      <c r="AB138" s="403">
        <f t="shared" si="180"/>
        <v>6037313484</v>
      </c>
      <c r="AC138" s="326">
        <f t="shared" si="181"/>
        <v>1.1434305840909091</v>
      </c>
    </row>
    <row r="139" spans="1:29" ht="14.25" x14ac:dyDescent="0.2">
      <c r="B139" s="323" t="s">
        <v>531</v>
      </c>
      <c r="C139" s="206" t="s">
        <v>197</v>
      </c>
      <c r="D139" s="324">
        <f>+D137*20%</f>
        <v>1760000000</v>
      </c>
      <c r="E139" s="325">
        <f>SUM('ADICIONES  2021'!C139:N139)</f>
        <v>0</v>
      </c>
      <c r="F139" s="277">
        <f t="shared" ref="F139:J139" si="326">+F137*20%</f>
        <v>0</v>
      </c>
      <c r="G139" s="277">
        <f t="shared" si="326"/>
        <v>0</v>
      </c>
      <c r="H139" s="277">
        <f t="shared" si="326"/>
        <v>0</v>
      </c>
      <c r="I139" s="277">
        <f t="shared" si="326"/>
        <v>0</v>
      </c>
      <c r="J139" s="277">
        <f t="shared" si="326"/>
        <v>0</v>
      </c>
      <c r="K139" s="281">
        <f t="shared" si="170"/>
        <v>1760000000</v>
      </c>
      <c r="L139" s="277">
        <f t="shared" ref="L139:Q139" si="327">+L137*20%</f>
        <v>214428960.80000001</v>
      </c>
      <c r="M139" s="277">
        <f t="shared" si="327"/>
        <v>263271176.60000002</v>
      </c>
      <c r="N139" s="277">
        <f t="shared" si="327"/>
        <v>36192487.399999999</v>
      </c>
      <c r="O139" s="277">
        <f t="shared" si="327"/>
        <v>151027334.59999999</v>
      </c>
      <c r="P139" s="277">
        <f t="shared" si="327"/>
        <v>110799887</v>
      </c>
      <c r="Q139" s="277">
        <f t="shared" si="327"/>
        <v>95723026.200000003</v>
      </c>
      <c r="R139" s="281">
        <f t="shared" si="178"/>
        <v>871442872.60000002</v>
      </c>
      <c r="S139" s="277">
        <f t="shared" ref="S139:Z139" si="328">+S137*20%</f>
        <v>135541142.20000002</v>
      </c>
      <c r="T139" s="277">
        <f t="shared" si="328"/>
        <v>55645631.200000003</v>
      </c>
      <c r="U139" s="277">
        <f t="shared" si="328"/>
        <v>130941614</v>
      </c>
      <c r="V139" s="277">
        <f t="shared" si="328"/>
        <v>66450663.800000004</v>
      </c>
      <c r="W139" s="277">
        <f t="shared" si="328"/>
        <v>372878134.60000002</v>
      </c>
      <c r="X139" s="277">
        <f t="shared" si="328"/>
        <v>379537769.60000002</v>
      </c>
      <c r="Y139" s="277">
        <f t="shared" si="328"/>
        <v>0</v>
      </c>
      <c r="Z139" s="277">
        <f t="shared" si="328"/>
        <v>0</v>
      </c>
      <c r="AA139" s="281">
        <f t="shared" si="195"/>
        <v>1140994955.4000001</v>
      </c>
      <c r="AB139" s="403">
        <f t="shared" si="180"/>
        <v>2012437828</v>
      </c>
      <c r="AC139" s="326">
        <f t="shared" si="181"/>
        <v>1.1434305840909091</v>
      </c>
    </row>
    <row r="140" spans="1:29" ht="14.25" x14ac:dyDescent="0.2">
      <c r="B140" s="323" t="s">
        <v>532</v>
      </c>
      <c r="C140" s="206" t="s">
        <v>198</v>
      </c>
      <c r="D140" s="324">
        <f>+D137*10%</f>
        <v>880000000</v>
      </c>
      <c r="E140" s="325">
        <f>SUM('ADICIONES  2021'!C140:N140)</f>
        <v>0</v>
      </c>
      <c r="F140" s="277">
        <f t="shared" ref="F140:J140" si="329">+F137*10%</f>
        <v>0</v>
      </c>
      <c r="G140" s="277">
        <f t="shared" si="329"/>
        <v>0</v>
      </c>
      <c r="H140" s="277">
        <f t="shared" si="329"/>
        <v>0</v>
      </c>
      <c r="I140" s="277">
        <f t="shared" si="329"/>
        <v>0</v>
      </c>
      <c r="J140" s="277">
        <f t="shared" si="329"/>
        <v>0</v>
      </c>
      <c r="K140" s="281">
        <f t="shared" ref="K140:K205" si="330">+D140+E140-F140+G140-H140</f>
        <v>880000000</v>
      </c>
      <c r="L140" s="277">
        <f t="shared" ref="L140:Q140" si="331">+L137*10%</f>
        <v>107214480.40000001</v>
      </c>
      <c r="M140" s="277">
        <f t="shared" si="331"/>
        <v>131635588.30000001</v>
      </c>
      <c r="N140" s="277">
        <f t="shared" si="331"/>
        <v>18096243.699999999</v>
      </c>
      <c r="O140" s="277">
        <f t="shared" si="331"/>
        <v>75513667.299999997</v>
      </c>
      <c r="P140" s="277">
        <f t="shared" si="331"/>
        <v>55399943.5</v>
      </c>
      <c r="Q140" s="277">
        <f t="shared" si="331"/>
        <v>47861513.100000001</v>
      </c>
      <c r="R140" s="281">
        <f t="shared" si="178"/>
        <v>435721436.30000001</v>
      </c>
      <c r="S140" s="277">
        <f t="shared" ref="S140:Z140" si="332">+S137*10%</f>
        <v>67770571.100000009</v>
      </c>
      <c r="T140" s="277">
        <f t="shared" si="332"/>
        <v>27822815.600000001</v>
      </c>
      <c r="U140" s="277">
        <f t="shared" si="332"/>
        <v>65470807</v>
      </c>
      <c r="V140" s="277">
        <f t="shared" si="332"/>
        <v>33225331.900000002</v>
      </c>
      <c r="W140" s="277">
        <f t="shared" si="332"/>
        <v>186439067.30000001</v>
      </c>
      <c r="X140" s="277">
        <f t="shared" si="332"/>
        <v>189768884.80000001</v>
      </c>
      <c r="Y140" s="277">
        <f t="shared" si="332"/>
        <v>0</v>
      </c>
      <c r="Z140" s="277">
        <f t="shared" si="332"/>
        <v>0</v>
      </c>
      <c r="AA140" s="281">
        <f t="shared" si="195"/>
        <v>570497477.70000005</v>
      </c>
      <c r="AB140" s="403">
        <f t="shared" si="180"/>
        <v>1006218914</v>
      </c>
      <c r="AC140" s="326">
        <f t="shared" si="181"/>
        <v>1.1434305840909091</v>
      </c>
    </row>
    <row r="141" spans="1:29" ht="14.25" x14ac:dyDescent="0.2">
      <c r="B141" s="323" t="s">
        <v>533</v>
      </c>
      <c r="C141" s="206" t="s">
        <v>199</v>
      </c>
      <c r="D141" s="324">
        <f>+D137*10%</f>
        <v>880000000</v>
      </c>
      <c r="E141" s="325">
        <f>SUM('ADICIONES  2021'!C141:N141)</f>
        <v>0</v>
      </c>
      <c r="F141" s="277">
        <f t="shared" ref="F141:J141" si="333">+F137*10%</f>
        <v>0</v>
      </c>
      <c r="G141" s="277">
        <f t="shared" si="333"/>
        <v>0</v>
      </c>
      <c r="H141" s="277">
        <f t="shared" si="333"/>
        <v>0</v>
      </c>
      <c r="I141" s="277">
        <f t="shared" si="333"/>
        <v>0</v>
      </c>
      <c r="J141" s="277">
        <f t="shared" si="333"/>
        <v>0</v>
      </c>
      <c r="K141" s="281">
        <f t="shared" si="330"/>
        <v>880000000</v>
      </c>
      <c r="L141" s="277">
        <f t="shared" ref="L141:Q141" si="334">+L137*10%</f>
        <v>107214480.40000001</v>
      </c>
      <c r="M141" s="277">
        <f t="shared" si="334"/>
        <v>131635588.30000001</v>
      </c>
      <c r="N141" s="277">
        <f t="shared" si="334"/>
        <v>18096243.699999999</v>
      </c>
      <c r="O141" s="277">
        <f t="shared" si="334"/>
        <v>75513667.299999997</v>
      </c>
      <c r="P141" s="277">
        <f t="shared" si="334"/>
        <v>55399943.5</v>
      </c>
      <c r="Q141" s="277">
        <f t="shared" si="334"/>
        <v>47861513.100000001</v>
      </c>
      <c r="R141" s="281">
        <f t="shared" si="178"/>
        <v>435721436.30000001</v>
      </c>
      <c r="S141" s="277">
        <f t="shared" ref="S141:Z141" si="335">+S137*10%</f>
        <v>67770571.100000009</v>
      </c>
      <c r="T141" s="277">
        <f t="shared" si="335"/>
        <v>27822815.600000001</v>
      </c>
      <c r="U141" s="277">
        <f t="shared" si="335"/>
        <v>65470807</v>
      </c>
      <c r="V141" s="277">
        <f t="shared" si="335"/>
        <v>33225331.900000002</v>
      </c>
      <c r="W141" s="277">
        <f t="shared" si="335"/>
        <v>186439067.30000001</v>
      </c>
      <c r="X141" s="277">
        <f t="shared" si="335"/>
        <v>189768884.80000001</v>
      </c>
      <c r="Y141" s="277">
        <f t="shared" si="335"/>
        <v>0</v>
      </c>
      <c r="Z141" s="277">
        <f t="shared" si="335"/>
        <v>0</v>
      </c>
      <c r="AA141" s="281">
        <f t="shared" si="195"/>
        <v>570497477.70000005</v>
      </c>
      <c r="AB141" s="403">
        <f t="shared" si="180"/>
        <v>1006218914</v>
      </c>
      <c r="AC141" s="326">
        <f t="shared" si="181"/>
        <v>1.1434305840909091</v>
      </c>
    </row>
    <row r="142" spans="1:29" s="185" customFormat="1" ht="19.5" x14ac:dyDescent="0.2">
      <c r="A142" s="182">
        <v>1</v>
      </c>
      <c r="B142" s="312" t="s">
        <v>534</v>
      </c>
      <c r="C142" s="313" t="s">
        <v>211</v>
      </c>
      <c r="D142" s="333">
        <f>+D143+D151+D181+D191+D221</f>
        <v>126759808818</v>
      </c>
      <c r="E142" s="320">
        <f>SUM('ADICIONES  2021'!C142:N142)</f>
        <v>25363952830.029999</v>
      </c>
      <c r="F142" s="280">
        <f t="shared" ref="F142:J142" si="336">+F143+F151+F181+F191+F221</f>
        <v>3027284471</v>
      </c>
      <c r="G142" s="280">
        <f t="shared" si="336"/>
        <v>0</v>
      </c>
      <c r="H142" s="280">
        <f t="shared" si="336"/>
        <v>0</v>
      </c>
      <c r="I142" s="280">
        <f t="shared" si="336"/>
        <v>0</v>
      </c>
      <c r="J142" s="280">
        <f t="shared" si="336"/>
        <v>0</v>
      </c>
      <c r="K142" s="316">
        <f t="shared" si="330"/>
        <v>149096477177.03</v>
      </c>
      <c r="L142" s="280">
        <f t="shared" ref="L142:Q142" si="337">+L143+L151+L181+L191+L221</f>
        <v>11611011121.23</v>
      </c>
      <c r="M142" s="280">
        <f t="shared" si="337"/>
        <v>11444892605.289198</v>
      </c>
      <c r="N142" s="280">
        <f t="shared" si="337"/>
        <v>12783464575.609001</v>
      </c>
      <c r="O142" s="280">
        <f t="shared" si="337"/>
        <v>10109051680.16</v>
      </c>
      <c r="P142" s="280">
        <f t="shared" si="337"/>
        <v>11789187233.08</v>
      </c>
      <c r="Q142" s="280">
        <f t="shared" si="337"/>
        <v>13612527667.34</v>
      </c>
      <c r="R142" s="316">
        <f t="shared" ref="R142:R208" si="338">SUM(L142:Q142)</f>
        <v>71350134882.708191</v>
      </c>
      <c r="S142" s="280">
        <f t="shared" ref="S142:Z142" si="339">+S143+S151+S181+S191+S221</f>
        <v>13449465765.18</v>
      </c>
      <c r="T142" s="280">
        <f t="shared" si="339"/>
        <v>10040817732.609999</v>
      </c>
      <c r="U142" s="280">
        <f t="shared" si="339"/>
        <v>15100118975.029999</v>
      </c>
      <c r="V142" s="280">
        <f t="shared" si="339"/>
        <v>9910437755.0699997</v>
      </c>
      <c r="W142" s="280">
        <f t="shared" si="339"/>
        <v>18537923427.049999</v>
      </c>
      <c r="X142" s="280">
        <f t="shared" si="339"/>
        <v>11588186810.219999</v>
      </c>
      <c r="Y142" s="280">
        <f t="shared" si="339"/>
        <v>82528859.209999993</v>
      </c>
      <c r="Z142" s="280">
        <f t="shared" si="339"/>
        <v>0</v>
      </c>
      <c r="AA142" s="316">
        <f t="shared" si="195"/>
        <v>78709479324.37001</v>
      </c>
      <c r="AB142" s="401">
        <f t="shared" ref="AB142:AB208" si="340">+R142+AA142</f>
        <v>150059614207.07819</v>
      </c>
      <c r="AC142" s="317">
        <f t="shared" ref="AC142:AC211" si="341">+AB142/K142</f>
        <v>1.0064598241909137</v>
      </c>
    </row>
    <row r="143" spans="1:29" s="61" customFormat="1" ht="15.75" x14ac:dyDescent="0.2">
      <c r="A143" s="421">
        <v>1</v>
      </c>
      <c r="B143" s="318" t="s">
        <v>535</v>
      </c>
      <c r="C143" s="319" t="s">
        <v>536</v>
      </c>
      <c r="D143" s="283">
        <f>+D144+D146</f>
        <v>8172000000</v>
      </c>
      <c r="E143" s="325">
        <f>SUM('ADICIONES  2021'!C143:N143)</f>
        <v>0</v>
      </c>
      <c r="F143" s="275">
        <f t="shared" ref="F143:J143" si="342">+F144+F146</f>
        <v>0</v>
      </c>
      <c r="G143" s="275">
        <f t="shared" si="342"/>
        <v>0</v>
      </c>
      <c r="H143" s="275">
        <f t="shared" si="342"/>
        <v>0</v>
      </c>
      <c r="I143" s="275">
        <f t="shared" si="342"/>
        <v>0</v>
      </c>
      <c r="J143" s="275">
        <f t="shared" si="342"/>
        <v>0</v>
      </c>
      <c r="K143" s="276">
        <f t="shared" si="330"/>
        <v>8172000000</v>
      </c>
      <c r="L143" s="275">
        <f t="shared" ref="L143:Q143" si="343">+L144+L146</f>
        <v>1858044387</v>
      </c>
      <c r="M143" s="275">
        <f t="shared" si="343"/>
        <v>1217632339</v>
      </c>
      <c r="N143" s="275">
        <f t="shared" si="343"/>
        <v>941045921</v>
      </c>
      <c r="O143" s="275">
        <f t="shared" si="343"/>
        <v>857654243</v>
      </c>
      <c r="P143" s="275">
        <f t="shared" si="343"/>
        <v>1530632923</v>
      </c>
      <c r="Q143" s="275">
        <f t="shared" si="343"/>
        <v>969263781</v>
      </c>
      <c r="R143" s="276">
        <f t="shared" si="338"/>
        <v>7374273594</v>
      </c>
      <c r="S143" s="275">
        <f t="shared" ref="S143:Z143" si="344">+S144+S146</f>
        <v>1460676027.8499999</v>
      </c>
      <c r="T143" s="275">
        <f t="shared" si="344"/>
        <v>1119512667.6199999</v>
      </c>
      <c r="U143" s="275">
        <f t="shared" si="344"/>
        <v>307133392</v>
      </c>
      <c r="V143" s="275">
        <f t="shared" si="344"/>
        <v>75414100</v>
      </c>
      <c r="W143" s="275">
        <f t="shared" si="344"/>
        <v>939555400</v>
      </c>
      <c r="X143" s="275">
        <f t="shared" si="344"/>
        <v>4349248354.0500002</v>
      </c>
      <c r="Y143" s="275">
        <f t="shared" si="344"/>
        <v>0</v>
      </c>
      <c r="Z143" s="275">
        <f t="shared" si="344"/>
        <v>0</v>
      </c>
      <c r="AA143" s="276">
        <f t="shared" si="195"/>
        <v>8251539941.5200005</v>
      </c>
      <c r="AB143" s="402">
        <f t="shared" si="340"/>
        <v>15625813535.52</v>
      </c>
      <c r="AC143" s="321">
        <f t="shared" si="341"/>
        <v>1.912116193773862</v>
      </c>
    </row>
    <row r="144" spans="1:29" s="61" customFormat="1" ht="15.75" x14ac:dyDescent="0.2">
      <c r="A144" s="421">
        <v>1</v>
      </c>
      <c r="B144" s="318" t="s">
        <v>537</v>
      </c>
      <c r="C144" s="319" t="s">
        <v>538</v>
      </c>
      <c r="D144" s="331">
        <v>850000000</v>
      </c>
      <c r="E144" s="325">
        <f>SUM('ADICIONES  2021'!C144:N144)</f>
        <v>0</v>
      </c>
      <c r="F144" s="276"/>
      <c r="G144" s="276"/>
      <c r="H144" s="276"/>
      <c r="I144" s="276"/>
      <c r="J144" s="276"/>
      <c r="K144" s="276">
        <f t="shared" si="330"/>
        <v>850000000</v>
      </c>
      <c r="L144" s="276">
        <v>0</v>
      </c>
      <c r="M144" s="276">
        <v>0</v>
      </c>
      <c r="N144" s="276">
        <v>0</v>
      </c>
      <c r="O144" s="276">
        <v>0</v>
      </c>
      <c r="P144" s="276">
        <v>0</v>
      </c>
      <c r="Q144" s="276">
        <v>0</v>
      </c>
      <c r="R144" s="276">
        <f t="shared" si="338"/>
        <v>0</v>
      </c>
      <c r="S144" s="276">
        <v>0</v>
      </c>
      <c r="T144" s="276">
        <v>0</v>
      </c>
      <c r="U144" s="276"/>
      <c r="V144" s="276"/>
      <c r="W144" s="276">
        <v>508998000</v>
      </c>
      <c r="X144" s="276">
        <v>0</v>
      </c>
      <c r="Y144" s="276"/>
      <c r="Z144" s="276"/>
      <c r="AA144" s="276">
        <f t="shared" si="195"/>
        <v>508998000</v>
      </c>
      <c r="AB144" s="402">
        <f t="shared" si="340"/>
        <v>508998000</v>
      </c>
      <c r="AC144" s="321">
        <f t="shared" si="341"/>
        <v>0.59882117647058819</v>
      </c>
    </row>
    <row r="145" spans="1:29" ht="25.5" x14ac:dyDescent="0.2">
      <c r="B145" s="323" t="s">
        <v>539</v>
      </c>
      <c r="C145" s="206" t="s">
        <v>540</v>
      </c>
      <c r="D145" s="332">
        <f>+D144</f>
        <v>850000000</v>
      </c>
      <c r="E145" s="325">
        <f>SUM('ADICIONES  2021'!C145:N145)</f>
        <v>0</v>
      </c>
      <c r="F145" s="281">
        <f t="shared" ref="F145:J145" si="345">+F144</f>
        <v>0</v>
      </c>
      <c r="G145" s="281">
        <f t="shared" si="345"/>
        <v>0</v>
      </c>
      <c r="H145" s="281">
        <f t="shared" si="345"/>
        <v>0</v>
      </c>
      <c r="I145" s="281">
        <f t="shared" si="345"/>
        <v>0</v>
      </c>
      <c r="J145" s="281">
        <f t="shared" si="345"/>
        <v>0</v>
      </c>
      <c r="K145" s="281">
        <f t="shared" si="330"/>
        <v>850000000</v>
      </c>
      <c r="L145" s="281">
        <f>+L144</f>
        <v>0</v>
      </c>
      <c r="M145" s="281">
        <f t="shared" ref="M145:Q145" si="346">+M144</f>
        <v>0</v>
      </c>
      <c r="N145" s="281">
        <f t="shared" si="346"/>
        <v>0</v>
      </c>
      <c r="O145" s="281">
        <f t="shared" si="346"/>
        <v>0</v>
      </c>
      <c r="P145" s="281">
        <f t="shared" si="346"/>
        <v>0</v>
      </c>
      <c r="Q145" s="281">
        <f t="shared" si="346"/>
        <v>0</v>
      </c>
      <c r="R145" s="281">
        <f t="shared" si="338"/>
        <v>0</v>
      </c>
      <c r="S145" s="281">
        <f t="shared" ref="S145:Z145" si="347">+S144</f>
        <v>0</v>
      </c>
      <c r="T145" s="281">
        <f t="shared" si="347"/>
        <v>0</v>
      </c>
      <c r="U145" s="281">
        <f t="shared" si="347"/>
        <v>0</v>
      </c>
      <c r="V145" s="281">
        <f t="shared" si="347"/>
        <v>0</v>
      </c>
      <c r="W145" s="281">
        <f t="shared" si="347"/>
        <v>508998000</v>
      </c>
      <c r="X145" s="281">
        <f>+X144</f>
        <v>0</v>
      </c>
      <c r="Y145" s="281">
        <f t="shared" si="347"/>
        <v>0</v>
      </c>
      <c r="Z145" s="281">
        <f t="shared" si="347"/>
        <v>0</v>
      </c>
      <c r="AA145" s="281">
        <f t="shared" si="195"/>
        <v>508998000</v>
      </c>
      <c r="AB145" s="403">
        <f t="shared" si="340"/>
        <v>508998000</v>
      </c>
      <c r="AC145" s="326">
        <f t="shared" si="341"/>
        <v>0.59882117647058819</v>
      </c>
    </row>
    <row r="146" spans="1:29" s="61" customFormat="1" ht="15.75" x14ac:dyDescent="0.2">
      <c r="A146" s="421">
        <v>1</v>
      </c>
      <c r="B146" s="318" t="s">
        <v>541</v>
      </c>
      <c r="C146" s="319" t="s">
        <v>542</v>
      </c>
      <c r="D146" s="283">
        <f>+D147+D150</f>
        <v>7322000000</v>
      </c>
      <c r="E146" s="322">
        <f>SUM('ADICIONES  2021'!C146:N146)</f>
        <v>0</v>
      </c>
      <c r="F146" s="275">
        <f t="shared" ref="F146:J146" si="348">+F147+F150</f>
        <v>0</v>
      </c>
      <c r="G146" s="275">
        <f t="shared" si="348"/>
        <v>0</v>
      </c>
      <c r="H146" s="275">
        <f t="shared" si="348"/>
        <v>0</v>
      </c>
      <c r="I146" s="275">
        <f t="shared" si="348"/>
        <v>0</v>
      </c>
      <c r="J146" s="275">
        <f t="shared" si="348"/>
        <v>0</v>
      </c>
      <c r="K146" s="276">
        <f t="shared" si="330"/>
        <v>7322000000</v>
      </c>
      <c r="L146" s="275">
        <f t="shared" ref="L146:Q146" si="349">+L147+L150</f>
        <v>1858044387</v>
      </c>
      <c r="M146" s="275">
        <f t="shared" si="349"/>
        <v>1217632339</v>
      </c>
      <c r="N146" s="275">
        <f t="shared" si="349"/>
        <v>941045921</v>
      </c>
      <c r="O146" s="275">
        <f t="shared" si="349"/>
        <v>857654243</v>
      </c>
      <c r="P146" s="275">
        <f t="shared" si="349"/>
        <v>1530632923</v>
      </c>
      <c r="Q146" s="275">
        <f t="shared" si="349"/>
        <v>969263781</v>
      </c>
      <c r="R146" s="276">
        <f t="shared" si="338"/>
        <v>7374273594</v>
      </c>
      <c r="S146" s="275">
        <f t="shared" ref="S146:Z146" si="350">+S147+S150</f>
        <v>1460676027.8499999</v>
      </c>
      <c r="T146" s="275">
        <f t="shared" si="350"/>
        <v>1119512667.6199999</v>
      </c>
      <c r="U146" s="275">
        <f t="shared" si="350"/>
        <v>307133392</v>
      </c>
      <c r="V146" s="275">
        <f t="shared" si="350"/>
        <v>75414100</v>
      </c>
      <c r="W146" s="275">
        <f t="shared" si="350"/>
        <v>430557400</v>
      </c>
      <c r="X146" s="275">
        <f t="shared" si="350"/>
        <v>4349248354.0500002</v>
      </c>
      <c r="Y146" s="275">
        <f t="shared" si="350"/>
        <v>0</v>
      </c>
      <c r="Z146" s="275">
        <f t="shared" si="350"/>
        <v>0</v>
      </c>
      <c r="AA146" s="276">
        <f t="shared" si="195"/>
        <v>7742541941.5200005</v>
      </c>
      <c r="AB146" s="402">
        <f t="shared" si="340"/>
        <v>15116815535.52</v>
      </c>
      <c r="AC146" s="321">
        <f t="shared" si="341"/>
        <v>2.0645746429281617</v>
      </c>
    </row>
    <row r="147" spans="1:29" s="61" customFormat="1" ht="15.75" x14ac:dyDescent="0.2">
      <c r="A147" s="421">
        <v>1</v>
      </c>
      <c r="B147" s="318" t="s">
        <v>543</v>
      </c>
      <c r="C147" s="319" t="s">
        <v>233</v>
      </c>
      <c r="D147" s="283">
        <f>SUM(D148:D149)</f>
        <v>42000000</v>
      </c>
      <c r="E147" s="322">
        <f>SUM('ADICIONES  2021'!C147:N147)</f>
        <v>0</v>
      </c>
      <c r="F147" s="275">
        <f>SUM(F148:F149)</f>
        <v>0</v>
      </c>
      <c r="G147" s="275">
        <f t="shared" ref="G147:J147" si="351">SUM(G148:G149)</f>
        <v>0</v>
      </c>
      <c r="H147" s="275">
        <f t="shared" si="351"/>
        <v>0</v>
      </c>
      <c r="I147" s="275">
        <f t="shared" si="351"/>
        <v>0</v>
      </c>
      <c r="J147" s="275">
        <f t="shared" si="351"/>
        <v>0</v>
      </c>
      <c r="K147" s="276">
        <f t="shared" si="330"/>
        <v>42000000</v>
      </c>
      <c r="L147" s="275">
        <f t="shared" ref="L147:Q147" si="352">SUM(L148:L149)</f>
        <v>241500</v>
      </c>
      <c r="M147" s="275">
        <f t="shared" si="352"/>
        <v>627900</v>
      </c>
      <c r="N147" s="275">
        <f t="shared" si="352"/>
        <v>710700</v>
      </c>
      <c r="O147" s="275">
        <f t="shared" si="352"/>
        <v>372600</v>
      </c>
      <c r="P147" s="275">
        <f t="shared" si="352"/>
        <v>351900</v>
      </c>
      <c r="Q147" s="275">
        <f t="shared" si="352"/>
        <v>400200</v>
      </c>
      <c r="R147" s="276">
        <f t="shared" si="338"/>
        <v>2704800</v>
      </c>
      <c r="S147" s="275">
        <f t="shared" ref="S147:Z147" si="353">SUM(S148:S149)</f>
        <v>21217796</v>
      </c>
      <c r="T147" s="275">
        <f t="shared" si="353"/>
        <v>58206502.619999997</v>
      </c>
      <c r="U147" s="275">
        <f t="shared" si="353"/>
        <v>345000</v>
      </c>
      <c r="V147" s="275">
        <f t="shared" si="353"/>
        <v>834900</v>
      </c>
      <c r="W147" s="275">
        <f t="shared" si="353"/>
        <v>368800</v>
      </c>
      <c r="X147" s="275">
        <f t="shared" si="353"/>
        <v>-20884217.950000003</v>
      </c>
      <c r="Y147" s="275">
        <f t="shared" si="353"/>
        <v>0</v>
      </c>
      <c r="Z147" s="275">
        <f t="shared" si="353"/>
        <v>0</v>
      </c>
      <c r="AA147" s="276">
        <f t="shared" ref="AA147:AA213" si="354">SUM(S147:Z147)</f>
        <v>60088780.670000002</v>
      </c>
      <c r="AB147" s="402">
        <f t="shared" si="340"/>
        <v>62793580.670000002</v>
      </c>
      <c r="AC147" s="321">
        <f t="shared" si="341"/>
        <v>1.4950852540476192</v>
      </c>
    </row>
    <row r="148" spans="1:29" ht="14.25" x14ac:dyDescent="0.2">
      <c r="B148" s="323" t="s">
        <v>544</v>
      </c>
      <c r="C148" s="206" t="s">
        <v>234</v>
      </c>
      <c r="D148" s="332">
        <v>42000000</v>
      </c>
      <c r="E148" s="325">
        <f>SUM('ADICIONES  2021'!C148:N148)</f>
        <v>0</v>
      </c>
      <c r="F148" s="281"/>
      <c r="G148" s="281"/>
      <c r="H148" s="281"/>
      <c r="I148" s="281"/>
      <c r="J148" s="281"/>
      <c r="K148" s="281">
        <f t="shared" si="330"/>
        <v>42000000</v>
      </c>
      <c r="L148" s="281">
        <v>241500</v>
      </c>
      <c r="M148" s="281">
        <v>627900</v>
      </c>
      <c r="N148" s="281">
        <v>710700</v>
      </c>
      <c r="O148" s="281">
        <v>372600</v>
      </c>
      <c r="P148" s="281">
        <v>351900</v>
      </c>
      <c r="Q148" s="281">
        <v>400200</v>
      </c>
      <c r="R148" s="281">
        <f t="shared" si="338"/>
        <v>2704800</v>
      </c>
      <c r="S148" s="281">
        <v>462300</v>
      </c>
      <c r="T148" s="281">
        <v>8620385.1500000004</v>
      </c>
      <c r="U148" s="281">
        <v>345000</v>
      </c>
      <c r="V148" s="281">
        <v>834900</v>
      </c>
      <c r="W148" s="281">
        <v>368800</v>
      </c>
      <c r="X148" s="281">
        <v>-7447385.1500000004</v>
      </c>
      <c r="Y148" s="281"/>
      <c r="Z148" s="281"/>
      <c r="AA148" s="281">
        <f t="shared" si="354"/>
        <v>3184000</v>
      </c>
      <c r="AB148" s="403">
        <f t="shared" si="340"/>
        <v>5888800</v>
      </c>
      <c r="AC148" s="326">
        <f t="shared" si="341"/>
        <v>0.14020952380952381</v>
      </c>
    </row>
    <row r="149" spans="1:29" ht="14.25" x14ac:dyDescent="0.2">
      <c r="B149" s="323" t="s">
        <v>545</v>
      </c>
      <c r="C149" s="206" t="s">
        <v>261</v>
      </c>
      <c r="D149" s="332">
        <v>0</v>
      </c>
      <c r="E149" s="325">
        <f>SUM('ADICIONES  2021'!C149:N149)</f>
        <v>0</v>
      </c>
      <c r="F149" s="281"/>
      <c r="G149" s="281"/>
      <c r="H149" s="281"/>
      <c r="I149" s="281"/>
      <c r="J149" s="281"/>
      <c r="K149" s="281">
        <f t="shared" si="330"/>
        <v>0</v>
      </c>
      <c r="L149" s="281">
        <v>0</v>
      </c>
      <c r="M149" s="281">
        <v>0</v>
      </c>
      <c r="N149" s="281">
        <v>0</v>
      </c>
      <c r="O149" s="281">
        <v>0</v>
      </c>
      <c r="P149" s="281">
        <v>0</v>
      </c>
      <c r="Q149" s="281">
        <v>0</v>
      </c>
      <c r="R149" s="281">
        <f t="shared" si="338"/>
        <v>0</v>
      </c>
      <c r="S149" s="281">
        <v>20755496</v>
      </c>
      <c r="T149" s="281">
        <v>49586117.469999999</v>
      </c>
      <c r="U149" s="281">
        <v>0</v>
      </c>
      <c r="V149" s="281">
        <v>0</v>
      </c>
      <c r="W149" s="281">
        <v>0</v>
      </c>
      <c r="X149" s="281">
        <v>-13436832.800000001</v>
      </c>
      <c r="Y149" s="281"/>
      <c r="Z149" s="281"/>
      <c r="AA149" s="281">
        <f t="shared" si="354"/>
        <v>56904780.670000002</v>
      </c>
      <c r="AB149" s="403">
        <f t="shared" si="340"/>
        <v>56904780.670000002</v>
      </c>
      <c r="AC149" s="326">
        <v>0</v>
      </c>
    </row>
    <row r="150" spans="1:29" s="61" customFormat="1" ht="25.5" x14ac:dyDescent="0.2">
      <c r="A150" s="421">
        <v>1</v>
      </c>
      <c r="B150" s="318" t="s">
        <v>546</v>
      </c>
      <c r="C150" s="206" t="s">
        <v>547</v>
      </c>
      <c r="D150" s="331">
        <v>7280000000</v>
      </c>
      <c r="E150" s="322">
        <f>SUM('ADICIONES  2021'!C150:N150)</f>
        <v>0</v>
      </c>
      <c r="F150" s="276"/>
      <c r="G150" s="276"/>
      <c r="H150" s="276"/>
      <c r="I150" s="276"/>
      <c r="J150" s="276"/>
      <c r="K150" s="276">
        <f t="shared" si="330"/>
        <v>7280000000</v>
      </c>
      <c r="L150" s="281">
        <v>1857802887</v>
      </c>
      <c r="M150" s="276">
        <v>1217004439</v>
      </c>
      <c r="N150" s="276">
        <v>940335221</v>
      </c>
      <c r="O150" s="276">
        <v>857281643</v>
      </c>
      <c r="P150" s="276">
        <v>1530281023</v>
      </c>
      <c r="Q150" s="281">
        <v>968863581</v>
      </c>
      <c r="R150" s="276">
        <f t="shared" si="338"/>
        <v>7371568794</v>
      </c>
      <c r="S150" s="276">
        <v>1439458231.8499999</v>
      </c>
      <c r="T150" s="276">
        <v>1061306165</v>
      </c>
      <c r="U150" s="281">
        <v>306788392</v>
      </c>
      <c r="V150" s="281">
        <v>74579200</v>
      </c>
      <c r="W150" s="281">
        <v>430188600</v>
      </c>
      <c r="X150" s="281">
        <v>4370132572</v>
      </c>
      <c r="Y150" s="276"/>
      <c r="Z150" s="276"/>
      <c r="AA150" s="276">
        <f t="shared" si="354"/>
        <v>7682453160.8500004</v>
      </c>
      <c r="AB150" s="402">
        <f t="shared" si="340"/>
        <v>15054021954.85</v>
      </c>
      <c r="AC150" s="321">
        <f t="shared" si="341"/>
        <v>2.0678601586332417</v>
      </c>
    </row>
    <row r="151" spans="1:29" s="61" customFormat="1" ht="15.75" x14ac:dyDescent="0.2">
      <c r="A151" s="421">
        <v>1</v>
      </c>
      <c r="B151" s="318" t="s">
        <v>548</v>
      </c>
      <c r="C151" s="319" t="s">
        <v>549</v>
      </c>
      <c r="D151" s="283">
        <f>+D152+D167</f>
        <v>3265320000</v>
      </c>
      <c r="E151" s="322">
        <f>SUM('ADICIONES  2021'!C151:N151)</f>
        <v>14400000000</v>
      </c>
      <c r="F151" s="275">
        <f t="shared" ref="F151:J151" si="355">+F152+F167</f>
        <v>0</v>
      </c>
      <c r="G151" s="275">
        <f t="shared" si="355"/>
        <v>0</v>
      </c>
      <c r="H151" s="275">
        <f t="shared" si="355"/>
        <v>0</v>
      </c>
      <c r="I151" s="275">
        <f t="shared" si="355"/>
        <v>0</v>
      </c>
      <c r="J151" s="275">
        <f t="shared" si="355"/>
        <v>0</v>
      </c>
      <c r="K151" s="276">
        <f t="shared" si="330"/>
        <v>17665320000</v>
      </c>
      <c r="L151" s="275">
        <f t="shared" ref="L151:Q151" si="356">+L152+L167</f>
        <v>1050363041</v>
      </c>
      <c r="M151" s="275">
        <f t="shared" si="356"/>
        <v>1883151455</v>
      </c>
      <c r="N151" s="275">
        <f t="shared" si="356"/>
        <v>1944774740</v>
      </c>
      <c r="O151" s="275">
        <f t="shared" si="356"/>
        <v>1643453298</v>
      </c>
      <c r="P151" s="275">
        <f t="shared" si="356"/>
        <v>1050611691</v>
      </c>
      <c r="Q151" s="275">
        <f t="shared" si="356"/>
        <v>2398628974</v>
      </c>
      <c r="R151" s="276">
        <f t="shared" si="338"/>
        <v>9970983199</v>
      </c>
      <c r="S151" s="275">
        <f t="shared" ref="S151:Z151" si="357">+S152+S167</f>
        <v>2242763792</v>
      </c>
      <c r="T151" s="275">
        <f t="shared" si="357"/>
        <v>1524397842</v>
      </c>
      <c r="U151" s="275">
        <f t="shared" si="357"/>
        <v>2530092735</v>
      </c>
      <c r="V151" s="275">
        <f t="shared" si="357"/>
        <v>470981960</v>
      </c>
      <c r="W151" s="275">
        <f t="shared" si="357"/>
        <v>502072194</v>
      </c>
      <c r="X151" s="275">
        <f t="shared" si="357"/>
        <v>1237435034</v>
      </c>
      <c r="Y151" s="275">
        <f t="shared" si="357"/>
        <v>0</v>
      </c>
      <c r="Z151" s="275">
        <f t="shared" si="357"/>
        <v>0</v>
      </c>
      <c r="AA151" s="276">
        <f t="shared" si="354"/>
        <v>8507743557</v>
      </c>
      <c r="AB151" s="402">
        <f t="shared" si="340"/>
        <v>18478726756</v>
      </c>
      <c r="AC151" s="321">
        <f t="shared" si="341"/>
        <v>1.0460454017249616</v>
      </c>
    </row>
    <row r="152" spans="1:29" s="61" customFormat="1" ht="15.75" x14ac:dyDescent="0.2">
      <c r="A152" s="421"/>
      <c r="B152" s="318" t="s">
        <v>550</v>
      </c>
      <c r="C152" s="319" t="s">
        <v>551</v>
      </c>
      <c r="D152" s="283">
        <f>+D153</f>
        <v>1758320000</v>
      </c>
      <c r="E152" s="322">
        <f>SUM('ADICIONES  2021'!C152:N152)</f>
        <v>11000000000</v>
      </c>
      <c r="F152" s="275">
        <f t="shared" ref="F152:J152" si="358">+F153</f>
        <v>0</v>
      </c>
      <c r="G152" s="275">
        <f t="shared" si="358"/>
        <v>0</v>
      </c>
      <c r="H152" s="275">
        <f t="shared" si="358"/>
        <v>0</v>
      </c>
      <c r="I152" s="275">
        <f t="shared" si="358"/>
        <v>0</v>
      </c>
      <c r="J152" s="275">
        <f t="shared" si="358"/>
        <v>0</v>
      </c>
      <c r="K152" s="276">
        <f t="shared" si="330"/>
        <v>12758320000</v>
      </c>
      <c r="L152" s="275">
        <f t="shared" ref="L152:Q152" si="359">+L153</f>
        <v>840156809</v>
      </c>
      <c r="M152" s="275">
        <f t="shared" si="359"/>
        <v>1330670530</v>
      </c>
      <c r="N152" s="275">
        <f t="shared" si="359"/>
        <v>1480652270</v>
      </c>
      <c r="O152" s="275">
        <f t="shared" si="359"/>
        <v>1191050969</v>
      </c>
      <c r="P152" s="275">
        <f t="shared" si="359"/>
        <v>755542453</v>
      </c>
      <c r="Q152" s="275">
        <f t="shared" si="359"/>
        <v>1878726274</v>
      </c>
      <c r="R152" s="276">
        <f t="shared" si="338"/>
        <v>7476799305</v>
      </c>
      <c r="S152" s="275">
        <f t="shared" ref="S152:Z152" si="360">+S153</f>
        <v>1816624660</v>
      </c>
      <c r="T152" s="275">
        <f t="shared" si="360"/>
        <v>971809974</v>
      </c>
      <c r="U152" s="275">
        <f t="shared" si="360"/>
        <v>1630871987</v>
      </c>
      <c r="V152" s="275">
        <f t="shared" si="360"/>
        <v>303984434</v>
      </c>
      <c r="W152" s="275">
        <f t="shared" si="360"/>
        <v>323809637</v>
      </c>
      <c r="X152" s="275">
        <f t="shared" si="360"/>
        <v>787287272</v>
      </c>
      <c r="Y152" s="275">
        <f t="shared" si="360"/>
        <v>0</v>
      </c>
      <c r="Z152" s="275">
        <f t="shared" si="360"/>
        <v>0</v>
      </c>
      <c r="AA152" s="276">
        <f t="shared" si="354"/>
        <v>5834387964</v>
      </c>
      <c r="AB152" s="402">
        <f t="shared" si="340"/>
        <v>13311187269</v>
      </c>
      <c r="AC152" s="321">
        <f t="shared" si="341"/>
        <v>1.0433338612764063</v>
      </c>
    </row>
    <row r="153" spans="1:29" s="61" customFormat="1" ht="15.75" x14ac:dyDescent="0.2">
      <c r="A153" s="421"/>
      <c r="B153" s="318" t="s">
        <v>552</v>
      </c>
      <c r="C153" s="319" t="s">
        <v>553</v>
      </c>
      <c r="D153" s="283">
        <f>+D154+D161</f>
        <v>1758320000</v>
      </c>
      <c r="E153" s="322">
        <f>SUM('ADICIONES  2021'!C153:N153)</f>
        <v>11000000000</v>
      </c>
      <c r="F153" s="275">
        <f t="shared" ref="F153:J153" si="361">+F154+F161</f>
        <v>0</v>
      </c>
      <c r="G153" s="275">
        <f t="shared" si="361"/>
        <v>0</v>
      </c>
      <c r="H153" s="275">
        <f t="shared" si="361"/>
        <v>0</v>
      </c>
      <c r="I153" s="275">
        <f t="shared" si="361"/>
        <v>0</v>
      </c>
      <c r="J153" s="275">
        <f t="shared" si="361"/>
        <v>0</v>
      </c>
      <c r="K153" s="276">
        <f t="shared" si="330"/>
        <v>12758320000</v>
      </c>
      <c r="L153" s="275">
        <f t="shared" ref="L153:Q153" si="362">+L154+L161</f>
        <v>840156809</v>
      </c>
      <c r="M153" s="275">
        <f t="shared" si="362"/>
        <v>1330670530</v>
      </c>
      <c r="N153" s="275">
        <f t="shared" si="362"/>
        <v>1480652270</v>
      </c>
      <c r="O153" s="275">
        <f t="shared" si="362"/>
        <v>1191050969</v>
      </c>
      <c r="P153" s="275">
        <f t="shared" si="362"/>
        <v>755542453</v>
      </c>
      <c r="Q153" s="275">
        <f t="shared" si="362"/>
        <v>1878726274</v>
      </c>
      <c r="R153" s="276">
        <f t="shared" si="338"/>
        <v>7476799305</v>
      </c>
      <c r="S153" s="275">
        <f t="shared" ref="S153:Z153" si="363">+S154+S161</f>
        <v>1816624660</v>
      </c>
      <c r="T153" s="275">
        <f t="shared" si="363"/>
        <v>971809974</v>
      </c>
      <c r="U153" s="275">
        <f t="shared" si="363"/>
        <v>1630871987</v>
      </c>
      <c r="V153" s="275">
        <f t="shared" si="363"/>
        <v>303984434</v>
      </c>
      <c r="W153" s="275">
        <f t="shared" si="363"/>
        <v>323809637</v>
      </c>
      <c r="X153" s="275">
        <f t="shared" si="363"/>
        <v>787287272</v>
      </c>
      <c r="Y153" s="275">
        <f t="shared" si="363"/>
        <v>0</v>
      </c>
      <c r="Z153" s="275">
        <f t="shared" si="363"/>
        <v>0</v>
      </c>
      <c r="AA153" s="276">
        <f t="shared" si="354"/>
        <v>5834387964</v>
      </c>
      <c r="AB153" s="402">
        <f t="shared" si="340"/>
        <v>13311187269</v>
      </c>
      <c r="AC153" s="321">
        <f t="shared" si="341"/>
        <v>1.0433338612764063</v>
      </c>
    </row>
    <row r="154" spans="1:29" s="61" customFormat="1" ht="15.75" x14ac:dyDescent="0.2">
      <c r="A154" s="421">
        <v>1</v>
      </c>
      <c r="B154" s="318" t="s">
        <v>554</v>
      </c>
      <c r="C154" s="319" t="s">
        <v>222</v>
      </c>
      <c r="D154" s="283">
        <v>1750000000</v>
      </c>
      <c r="E154" s="322">
        <f>SUM('ADICIONES  2021'!C154:N154)</f>
        <v>11000000000</v>
      </c>
      <c r="F154" s="276"/>
      <c r="G154" s="276"/>
      <c r="H154" s="276"/>
      <c r="I154" s="276"/>
      <c r="J154" s="276"/>
      <c r="K154" s="276">
        <f t="shared" si="330"/>
        <v>12750000000</v>
      </c>
      <c r="L154" s="276">
        <v>840156809</v>
      </c>
      <c r="M154" s="276">
        <v>1330670530</v>
      </c>
      <c r="N154" s="276">
        <v>1480652270</v>
      </c>
      <c r="O154" s="276">
        <v>1191050969</v>
      </c>
      <c r="P154" s="276">
        <v>755542453</v>
      </c>
      <c r="Q154" s="276">
        <v>1878726274</v>
      </c>
      <c r="R154" s="276">
        <f t="shared" si="338"/>
        <v>7476799305</v>
      </c>
      <c r="S154" s="276">
        <v>1816624660</v>
      </c>
      <c r="T154" s="276">
        <v>971809974</v>
      </c>
      <c r="U154" s="276">
        <v>1630871987</v>
      </c>
      <c r="V154" s="276">
        <v>303984434</v>
      </c>
      <c r="W154" s="276">
        <v>323809637</v>
      </c>
      <c r="X154" s="276">
        <v>787287272</v>
      </c>
      <c r="Y154" s="276"/>
      <c r="Z154" s="276"/>
      <c r="AA154" s="276">
        <f t="shared" si="354"/>
        <v>5834387964</v>
      </c>
      <c r="AB154" s="402">
        <f t="shared" si="340"/>
        <v>13311187269</v>
      </c>
      <c r="AC154" s="321">
        <f t="shared" si="341"/>
        <v>1.0440146877647059</v>
      </c>
    </row>
    <row r="155" spans="1:29" ht="38.25" x14ac:dyDescent="0.2">
      <c r="B155" s="323" t="s">
        <v>555</v>
      </c>
      <c r="C155" s="206" t="s">
        <v>223</v>
      </c>
      <c r="D155" s="324">
        <f>+D154*69.7845456%</f>
        <v>1221229548</v>
      </c>
      <c r="E155" s="325">
        <f>SUM('ADICIONES  2021'!C155:N155)</f>
        <v>7676300016</v>
      </c>
      <c r="F155" s="277">
        <f t="shared" ref="F155:J155" si="364">+F154*69.7845456%</f>
        <v>0</v>
      </c>
      <c r="G155" s="277">
        <f t="shared" si="364"/>
        <v>0</v>
      </c>
      <c r="H155" s="277">
        <f t="shared" si="364"/>
        <v>0</v>
      </c>
      <c r="I155" s="277">
        <f t="shared" si="364"/>
        <v>0</v>
      </c>
      <c r="J155" s="277">
        <f t="shared" si="364"/>
        <v>0</v>
      </c>
      <c r="K155" s="281">
        <f t="shared" si="330"/>
        <v>8897529564</v>
      </c>
      <c r="L155" s="277">
        <f t="shared" ref="L155:Q155" si="365">+L154*69.7845456%</f>
        <v>586299611.48810995</v>
      </c>
      <c r="M155" s="277">
        <f t="shared" si="365"/>
        <v>928602382.79361176</v>
      </c>
      <c r="N155" s="277">
        <f t="shared" si="365"/>
        <v>1033266458.5355852</v>
      </c>
      <c r="O155" s="277">
        <f t="shared" si="365"/>
        <v>831169506.58104694</v>
      </c>
      <c r="P155" s="277">
        <f t="shared" si="365"/>
        <v>527251867.64114362</v>
      </c>
      <c r="Q155" s="277">
        <f t="shared" si="365"/>
        <v>1311060593.378711</v>
      </c>
      <c r="R155" s="281">
        <f t="shared" si="338"/>
        <v>5217650420.4182081</v>
      </c>
      <c r="S155" s="277">
        <f t="shared" ref="S155:Z155" si="366">+S154*69.7845456%</f>
        <v>1267723264.2385449</v>
      </c>
      <c r="T155" s="277">
        <f t="shared" si="366"/>
        <v>678173174.45137823</v>
      </c>
      <c r="U155" s="277">
        <f t="shared" si="366"/>
        <v>1138096605.445641</v>
      </c>
      <c r="V155" s="277">
        <f t="shared" si="366"/>
        <v>212134155.96163192</v>
      </c>
      <c r="W155" s="277">
        <f t="shared" si="366"/>
        <v>225969083.7894595</v>
      </c>
      <c r="X155" s="277">
        <f t="shared" si="366"/>
        <v>549404845.3318361</v>
      </c>
      <c r="Y155" s="277">
        <f t="shared" si="366"/>
        <v>0</v>
      </c>
      <c r="Z155" s="277">
        <f t="shared" si="366"/>
        <v>0</v>
      </c>
      <c r="AA155" s="281">
        <f t="shared" si="354"/>
        <v>4071501129.218492</v>
      </c>
      <c r="AB155" s="403">
        <f t="shared" si="340"/>
        <v>9289151549.6366997</v>
      </c>
      <c r="AC155" s="326">
        <f t="shared" si="341"/>
        <v>1.0440146877647059</v>
      </c>
    </row>
    <row r="156" spans="1:29" ht="25.5" x14ac:dyDescent="0.2">
      <c r="B156" s="323" t="s">
        <v>556</v>
      </c>
      <c r="C156" s="206" t="s">
        <v>224</v>
      </c>
      <c r="D156" s="324">
        <f>+D154*0.08%</f>
        <v>1400000</v>
      </c>
      <c r="E156" s="325">
        <f>SUM('ADICIONES  2021'!C156:N156)</f>
        <v>8800000</v>
      </c>
      <c r="F156" s="277">
        <f t="shared" ref="F156:J156" si="367">+F154*0.08%</f>
        <v>0</v>
      </c>
      <c r="G156" s="277">
        <f t="shared" si="367"/>
        <v>0</v>
      </c>
      <c r="H156" s="277">
        <f t="shared" si="367"/>
        <v>0</v>
      </c>
      <c r="I156" s="277">
        <f t="shared" si="367"/>
        <v>0</v>
      </c>
      <c r="J156" s="277">
        <f t="shared" si="367"/>
        <v>0</v>
      </c>
      <c r="K156" s="281">
        <f t="shared" si="330"/>
        <v>10200000</v>
      </c>
      <c r="L156" s="277">
        <f t="shared" ref="L156:Q156" si="368">+L154*0.08%</f>
        <v>672125.44720000005</v>
      </c>
      <c r="M156" s="277">
        <f t="shared" si="368"/>
        <v>1064536.4240000001</v>
      </c>
      <c r="N156" s="277">
        <f t="shared" si="368"/>
        <v>1184521.8160000001</v>
      </c>
      <c r="O156" s="277">
        <f t="shared" si="368"/>
        <v>952840.77520000003</v>
      </c>
      <c r="P156" s="277">
        <f t="shared" si="368"/>
        <v>604433.96240000008</v>
      </c>
      <c r="Q156" s="277">
        <f t="shared" si="368"/>
        <v>1502981.0192</v>
      </c>
      <c r="R156" s="281">
        <f t="shared" si="338"/>
        <v>5981439.4440000011</v>
      </c>
      <c r="S156" s="277">
        <f t="shared" ref="S156:Z156" si="369">+S154*0.08%</f>
        <v>1453299.7280000001</v>
      </c>
      <c r="T156" s="277">
        <f t="shared" si="369"/>
        <v>777447.97920000006</v>
      </c>
      <c r="U156" s="277">
        <f t="shared" si="369"/>
        <v>1304697.5896000001</v>
      </c>
      <c r="V156" s="277">
        <f t="shared" si="369"/>
        <v>243187.5472</v>
      </c>
      <c r="W156" s="277">
        <f t="shared" si="369"/>
        <v>259047.7096</v>
      </c>
      <c r="X156" s="277">
        <f t="shared" si="369"/>
        <v>629829.81760000007</v>
      </c>
      <c r="Y156" s="277">
        <f t="shared" si="369"/>
        <v>0</v>
      </c>
      <c r="Z156" s="277">
        <f t="shared" si="369"/>
        <v>0</v>
      </c>
      <c r="AA156" s="281">
        <f t="shared" si="354"/>
        <v>4667510.3711999999</v>
      </c>
      <c r="AB156" s="403">
        <f t="shared" si="340"/>
        <v>10648949.815200001</v>
      </c>
      <c r="AC156" s="326">
        <f t="shared" si="341"/>
        <v>1.0440146877647061</v>
      </c>
    </row>
    <row r="157" spans="1:29" ht="25.5" x14ac:dyDescent="0.2">
      <c r="B157" s="323" t="s">
        <v>557</v>
      </c>
      <c r="C157" s="206" t="s">
        <v>225</v>
      </c>
      <c r="D157" s="324">
        <f>+D154*7.992%</f>
        <v>139860000</v>
      </c>
      <c r="E157" s="325">
        <f>SUM('ADICIONES  2021'!C157:N157)</f>
        <v>879120000</v>
      </c>
      <c r="F157" s="277">
        <f t="shared" ref="F157:J157" si="370">+F154*7.992%</f>
        <v>0</v>
      </c>
      <c r="G157" s="277">
        <f t="shared" si="370"/>
        <v>0</v>
      </c>
      <c r="H157" s="277">
        <f t="shared" si="370"/>
        <v>0</v>
      </c>
      <c r="I157" s="277">
        <f t="shared" si="370"/>
        <v>0</v>
      </c>
      <c r="J157" s="277">
        <f t="shared" si="370"/>
        <v>0</v>
      </c>
      <c r="K157" s="281">
        <f t="shared" si="330"/>
        <v>1018980000</v>
      </c>
      <c r="L157" s="277">
        <f t="shared" ref="L157:Q157" si="371">+L154*7.992%</f>
        <v>67145332.175280005</v>
      </c>
      <c r="M157" s="277">
        <f t="shared" si="371"/>
        <v>106347188.75760001</v>
      </c>
      <c r="N157" s="277">
        <f t="shared" si="371"/>
        <v>118333729.4184</v>
      </c>
      <c r="O157" s="277">
        <f t="shared" si="371"/>
        <v>95188793.442480013</v>
      </c>
      <c r="P157" s="277">
        <f t="shared" si="371"/>
        <v>60382952.843760006</v>
      </c>
      <c r="Q157" s="277">
        <f t="shared" si="371"/>
        <v>150147803.81808001</v>
      </c>
      <c r="R157" s="281">
        <f t="shared" si="338"/>
        <v>597545800.45560002</v>
      </c>
      <c r="S157" s="277">
        <f t="shared" ref="S157:Z157" si="372">+S154*7.992%</f>
        <v>145184642.8272</v>
      </c>
      <c r="T157" s="277">
        <f t="shared" si="372"/>
        <v>77667053.122079998</v>
      </c>
      <c r="U157" s="277">
        <f t="shared" si="372"/>
        <v>130339289.20104001</v>
      </c>
      <c r="V157" s="277">
        <f t="shared" si="372"/>
        <v>24294435.96528</v>
      </c>
      <c r="W157" s="277">
        <f t="shared" si="372"/>
        <v>25878866.189040001</v>
      </c>
      <c r="X157" s="277">
        <f t="shared" si="372"/>
        <v>62919998.778240003</v>
      </c>
      <c r="Y157" s="277">
        <f t="shared" si="372"/>
        <v>0</v>
      </c>
      <c r="Z157" s="277">
        <f t="shared" si="372"/>
        <v>0</v>
      </c>
      <c r="AA157" s="281">
        <f t="shared" si="354"/>
        <v>466284286.08288002</v>
      </c>
      <c r="AB157" s="403">
        <f t="shared" si="340"/>
        <v>1063830086.53848</v>
      </c>
      <c r="AC157" s="326">
        <f t="shared" si="341"/>
        <v>1.0440146877647059</v>
      </c>
    </row>
    <row r="158" spans="1:29" ht="25.5" x14ac:dyDescent="0.2">
      <c r="B158" s="323" t="s">
        <v>558</v>
      </c>
      <c r="C158" s="206" t="s">
        <v>226</v>
      </c>
      <c r="D158" s="324">
        <f>+D154*1.43856%</f>
        <v>25174800</v>
      </c>
      <c r="E158" s="325">
        <f>SUM('ADICIONES  2021'!C158:N158)</f>
        <v>158241600</v>
      </c>
      <c r="F158" s="277">
        <f t="shared" ref="F158:J158" si="373">+F154*1.43856%</f>
        <v>0</v>
      </c>
      <c r="G158" s="277">
        <f t="shared" si="373"/>
        <v>0</v>
      </c>
      <c r="H158" s="277">
        <f t="shared" si="373"/>
        <v>0</v>
      </c>
      <c r="I158" s="277">
        <f t="shared" si="373"/>
        <v>0</v>
      </c>
      <c r="J158" s="277">
        <f t="shared" si="373"/>
        <v>0</v>
      </c>
      <c r="K158" s="281">
        <f t="shared" si="330"/>
        <v>183416400</v>
      </c>
      <c r="L158" s="277">
        <f t="shared" ref="L158:Q158" si="374">+L154*1.43856%</f>
        <v>12086159.7915504</v>
      </c>
      <c r="M158" s="277">
        <f t="shared" si="374"/>
        <v>19142493.976367999</v>
      </c>
      <c r="N158" s="277">
        <f t="shared" si="374"/>
        <v>21300071.295311999</v>
      </c>
      <c r="O158" s="277">
        <f t="shared" si="374"/>
        <v>17133982.819646399</v>
      </c>
      <c r="P158" s="277">
        <f t="shared" si="374"/>
        <v>10868931.511876799</v>
      </c>
      <c r="Q158" s="277">
        <f t="shared" si="374"/>
        <v>27026604.687254399</v>
      </c>
      <c r="R158" s="281">
        <f t="shared" si="338"/>
        <v>107558244.082008</v>
      </c>
      <c r="S158" s="277">
        <f t="shared" ref="S158:Z158" si="375">+S154*1.43856%</f>
        <v>26133235.708896</v>
      </c>
      <c r="T158" s="277">
        <f t="shared" si="375"/>
        <v>13980069.561974401</v>
      </c>
      <c r="U158" s="277">
        <f t="shared" si="375"/>
        <v>23461072.056187201</v>
      </c>
      <c r="V158" s="277">
        <f t="shared" si="375"/>
        <v>4372998.4737504004</v>
      </c>
      <c r="W158" s="277">
        <f t="shared" si="375"/>
        <v>4658195.9140272001</v>
      </c>
      <c r="X158" s="277">
        <f t="shared" si="375"/>
        <v>11325599.7800832</v>
      </c>
      <c r="Y158" s="277">
        <f t="shared" si="375"/>
        <v>0</v>
      </c>
      <c r="Z158" s="277">
        <f t="shared" si="375"/>
        <v>0</v>
      </c>
      <c r="AA158" s="281">
        <f t="shared" si="354"/>
        <v>83931171.494918391</v>
      </c>
      <c r="AB158" s="403">
        <f t="shared" si="340"/>
        <v>191489415.57692641</v>
      </c>
      <c r="AC158" s="326">
        <f t="shared" si="341"/>
        <v>1.0440146877647059</v>
      </c>
    </row>
    <row r="159" spans="1:29" ht="38.25" x14ac:dyDescent="0.2">
      <c r="B159" s="323" t="s">
        <v>559</v>
      </c>
      <c r="C159" s="206" t="s">
        <v>227</v>
      </c>
      <c r="D159" s="324">
        <f>+D154*0.7048944%</f>
        <v>12335652.000000002</v>
      </c>
      <c r="E159" s="325">
        <f>SUM('ADICIONES  2021'!C159:N159)</f>
        <v>77538384</v>
      </c>
      <c r="F159" s="277">
        <f t="shared" ref="F159:J159" si="376">+F154*0.7048944%</f>
        <v>0</v>
      </c>
      <c r="G159" s="277">
        <f t="shared" si="376"/>
        <v>0</v>
      </c>
      <c r="H159" s="277">
        <f t="shared" si="376"/>
        <v>0</v>
      </c>
      <c r="I159" s="277">
        <f t="shared" si="376"/>
        <v>0</v>
      </c>
      <c r="J159" s="277">
        <f t="shared" si="376"/>
        <v>0</v>
      </c>
      <c r="K159" s="281">
        <f t="shared" si="330"/>
        <v>89874036</v>
      </c>
      <c r="L159" s="277">
        <f t="shared" ref="L159:Q159" si="377">+L154*0.7048944%</f>
        <v>5922218.2978596967</v>
      </c>
      <c r="M159" s="277">
        <f t="shared" si="377"/>
        <v>9379822.0484203212</v>
      </c>
      <c r="N159" s="277">
        <f t="shared" si="377"/>
        <v>10437034.934702881</v>
      </c>
      <c r="O159" s="277">
        <f t="shared" si="377"/>
        <v>8395651.5816267375</v>
      </c>
      <c r="P159" s="277">
        <f t="shared" si="377"/>
        <v>5325776.4408196323</v>
      </c>
      <c r="Q159" s="277">
        <f t="shared" si="377"/>
        <v>13243036.296754656</v>
      </c>
      <c r="R159" s="281">
        <f t="shared" si="338"/>
        <v>52703539.600183919</v>
      </c>
      <c r="S159" s="277">
        <f t="shared" ref="S159:Z159" si="378">+S154*0.7048944%</f>
        <v>12805285.497359041</v>
      </c>
      <c r="T159" s="277">
        <f t="shared" si="378"/>
        <v>6850234.085367457</v>
      </c>
      <c r="U159" s="277">
        <f t="shared" si="378"/>
        <v>11495925.307531729</v>
      </c>
      <c r="V159" s="277">
        <f t="shared" si="378"/>
        <v>2142769.2521376964</v>
      </c>
      <c r="W159" s="277">
        <f t="shared" si="378"/>
        <v>2282515.9978733282</v>
      </c>
      <c r="X159" s="277">
        <f t="shared" si="378"/>
        <v>5549543.8922407683</v>
      </c>
      <c r="Y159" s="277">
        <f t="shared" si="378"/>
        <v>0</v>
      </c>
      <c r="Z159" s="277">
        <f t="shared" si="378"/>
        <v>0</v>
      </c>
      <c r="AA159" s="281">
        <f t="shared" si="354"/>
        <v>41126274.03251002</v>
      </c>
      <c r="AB159" s="403">
        <f t="shared" si="340"/>
        <v>93829813.632693946</v>
      </c>
      <c r="AC159" s="326">
        <f t="shared" si="341"/>
        <v>1.0440146877647061</v>
      </c>
    </row>
    <row r="160" spans="1:29" ht="25.5" x14ac:dyDescent="0.2">
      <c r="B160" s="323" t="s">
        <v>560</v>
      </c>
      <c r="C160" s="206" t="s">
        <v>561</v>
      </c>
      <c r="D160" s="328">
        <f>+D154*20%</f>
        <v>350000000</v>
      </c>
      <c r="E160" s="325">
        <f>SUM('ADICIONES  2021'!C160:N160)</f>
        <v>2200000000</v>
      </c>
      <c r="F160" s="278">
        <f t="shared" ref="F160:J160" si="379">+F154*20%</f>
        <v>0</v>
      </c>
      <c r="G160" s="278">
        <f t="shared" si="379"/>
        <v>0</v>
      </c>
      <c r="H160" s="278">
        <f t="shared" si="379"/>
        <v>0</v>
      </c>
      <c r="I160" s="278">
        <f t="shared" si="379"/>
        <v>0</v>
      </c>
      <c r="J160" s="278">
        <f t="shared" si="379"/>
        <v>0</v>
      </c>
      <c r="K160" s="281">
        <f t="shared" si="330"/>
        <v>2550000000</v>
      </c>
      <c r="L160" s="278">
        <f t="shared" ref="L160:Q160" si="380">+L154*20%</f>
        <v>168031361.80000001</v>
      </c>
      <c r="M160" s="278">
        <f t="shared" si="380"/>
        <v>266134106</v>
      </c>
      <c r="N160" s="278">
        <f t="shared" si="380"/>
        <v>296130454</v>
      </c>
      <c r="O160" s="278">
        <f t="shared" si="380"/>
        <v>238210193.80000001</v>
      </c>
      <c r="P160" s="278">
        <f t="shared" si="380"/>
        <v>151108490.59999999</v>
      </c>
      <c r="Q160" s="278">
        <f t="shared" si="380"/>
        <v>375745254.80000001</v>
      </c>
      <c r="R160" s="281">
        <f t="shared" si="338"/>
        <v>1495359860.9999998</v>
      </c>
      <c r="S160" s="278">
        <f t="shared" ref="S160:Z160" si="381">+S154*20%</f>
        <v>363324932</v>
      </c>
      <c r="T160" s="278">
        <f t="shared" si="381"/>
        <v>194361994.80000001</v>
      </c>
      <c r="U160" s="278">
        <f t="shared" si="381"/>
        <v>326174397.40000004</v>
      </c>
      <c r="V160" s="278">
        <f t="shared" si="381"/>
        <v>60796886.800000004</v>
      </c>
      <c r="W160" s="278">
        <f t="shared" si="381"/>
        <v>64761927.400000006</v>
      </c>
      <c r="X160" s="278">
        <f t="shared" si="381"/>
        <v>157457454.40000001</v>
      </c>
      <c r="Y160" s="278">
        <f t="shared" si="381"/>
        <v>0</v>
      </c>
      <c r="Z160" s="278">
        <f t="shared" si="381"/>
        <v>0</v>
      </c>
      <c r="AA160" s="281">
        <f t="shared" si="354"/>
        <v>1166877592.8</v>
      </c>
      <c r="AB160" s="403">
        <f t="shared" si="340"/>
        <v>2662237453.7999997</v>
      </c>
      <c r="AC160" s="326">
        <f t="shared" si="341"/>
        <v>1.0440146877647059</v>
      </c>
    </row>
    <row r="161" spans="1:29" s="61" customFormat="1" ht="15.75" x14ac:dyDescent="0.2">
      <c r="A161" s="421">
        <v>1</v>
      </c>
      <c r="B161" s="318" t="s">
        <v>562</v>
      </c>
      <c r="C161" s="319" t="s">
        <v>563</v>
      </c>
      <c r="D161" s="331">
        <v>8320000</v>
      </c>
      <c r="E161" s="322">
        <f>SUM('ADICIONES  2021'!C161:N161)</f>
        <v>0</v>
      </c>
      <c r="F161" s="276"/>
      <c r="G161" s="276"/>
      <c r="H161" s="276"/>
      <c r="I161" s="276"/>
      <c r="J161" s="276"/>
      <c r="K161" s="276">
        <f t="shared" si="330"/>
        <v>8320000</v>
      </c>
      <c r="L161" s="276">
        <v>0</v>
      </c>
      <c r="M161" s="276">
        <v>0</v>
      </c>
      <c r="N161" s="276">
        <v>0</v>
      </c>
      <c r="O161" s="276">
        <v>0</v>
      </c>
      <c r="P161" s="276">
        <v>0</v>
      </c>
      <c r="Q161" s="276">
        <v>0</v>
      </c>
      <c r="R161" s="276">
        <f t="shared" si="338"/>
        <v>0</v>
      </c>
      <c r="S161" s="276">
        <v>0</v>
      </c>
      <c r="T161" s="276">
        <v>0</v>
      </c>
      <c r="U161" s="276">
        <v>0</v>
      </c>
      <c r="V161" s="276">
        <v>0</v>
      </c>
      <c r="W161" s="276">
        <v>0</v>
      </c>
      <c r="X161" s="276"/>
      <c r="Y161" s="276"/>
      <c r="Z161" s="276"/>
      <c r="AA161" s="276">
        <f t="shared" si="354"/>
        <v>0</v>
      </c>
      <c r="AB161" s="402">
        <f t="shared" si="340"/>
        <v>0</v>
      </c>
      <c r="AC161" s="321">
        <f t="shared" si="341"/>
        <v>0</v>
      </c>
    </row>
    <row r="162" spans="1:29" ht="25.5" x14ac:dyDescent="0.2">
      <c r="B162" s="323" t="s">
        <v>564</v>
      </c>
      <c r="C162" s="206" t="s">
        <v>228</v>
      </c>
      <c r="D162" s="324">
        <f>+D161*87.230682%</f>
        <v>7257592.7423999999</v>
      </c>
      <c r="E162" s="325">
        <f>SUM('ADICIONES  2021'!C162:N162)</f>
        <v>0</v>
      </c>
      <c r="F162" s="277">
        <f t="shared" ref="F162:J162" si="382">+F161*87.230682%</f>
        <v>0</v>
      </c>
      <c r="G162" s="277">
        <f t="shared" si="382"/>
        <v>0</v>
      </c>
      <c r="H162" s="277">
        <f t="shared" si="382"/>
        <v>0</v>
      </c>
      <c r="I162" s="277">
        <f t="shared" si="382"/>
        <v>0</v>
      </c>
      <c r="J162" s="277">
        <f t="shared" si="382"/>
        <v>0</v>
      </c>
      <c r="K162" s="281">
        <f t="shared" si="330"/>
        <v>7257592.7423999999</v>
      </c>
      <c r="L162" s="277">
        <f t="shared" ref="L162:Q162" si="383">+L161*87.230682%</f>
        <v>0</v>
      </c>
      <c r="M162" s="277">
        <f t="shared" si="383"/>
        <v>0</v>
      </c>
      <c r="N162" s="277">
        <f t="shared" si="383"/>
        <v>0</v>
      </c>
      <c r="O162" s="277">
        <f t="shared" si="383"/>
        <v>0</v>
      </c>
      <c r="P162" s="277">
        <f t="shared" si="383"/>
        <v>0</v>
      </c>
      <c r="Q162" s="277">
        <f t="shared" si="383"/>
        <v>0</v>
      </c>
      <c r="R162" s="281">
        <f t="shared" si="338"/>
        <v>0</v>
      </c>
      <c r="S162" s="277">
        <f t="shared" ref="S162:Z162" si="384">+S161*87.230682%</f>
        <v>0</v>
      </c>
      <c r="T162" s="277">
        <f t="shared" si="384"/>
        <v>0</v>
      </c>
      <c r="U162" s="277">
        <f t="shared" si="384"/>
        <v>0</v>
      </c>
      <c r="V162" s="277">
        <f t="shared" si="384"/>
        <v>0</v>
      </c>
      <c r="W162" s="277">
        <f t="shared" si="384"/>
        <v>0</v>
      </c>
      <c r="X162" s="277">
        <f t="shared" si="384"/>
        <v>0</v>
      </c>
      <c r="Y162" s="277">
        <f t="shared" si="384"/>
        <v>0</v>
      </c>
      <c r="Z162" s="277">
        <f t="shared" si="384"/>
        <v>0</v>
      </c>
      <c r="AA162" s="281">
        <f t="shared" si="354"/>
        <v>0</v>
      </c>
      <c r="AB162" s="403">
        <f t="shared" si="340"/>
        <v>0</v>
      </c>
      <c r="AC162" s="326">
        <f t="shared" si="341"/>
        <v>0</v>
      </c>
    </row>
    <row r="163" spans="1:29" ht="25.5" x14ac:dyDescent="0.2">
      <c r="B163" s="323" t="s">
        <v>565</v>
      </c>
      <c r="C163" s="206" t="s">
        <v>229</v>
      </c>
      <c r="D163" s="324">
        <f>+D161*0.1%</f>
        <v>8320</v>
      </c>
      <c r="E163" s="325">
        <f>SUM('ADICIONES  2021'!C163:N163)</f>
        <v>0</v>
      </c>
      <c r="F163" s="277">
        <f t="shared" ref="F163:J163" si="385">+F161*0.1%</f>
        <v>0</v>
      </c>
      <c r="G163" s="277">
        <f t="shared" si="385"/>
        <v>0</v>
      </c>
      <c r="H163" s="277">
        <f t="shared" si="385"/>
        <v>0</v>
      </c>
      <c r="I163" s="277">
        <f t="shared" si="385"/>
        <v>0</v>
      </c>
      <c r="J163" s="277">
        <f t="shared" si="385"/>
        <v>0</v>
      </c>
      <c r="K163" s="281">
        <f t="shared" si="330"/>
        <v>8320</v>
      </c>
      <c r="L163" s="277">
        <f t="shared" ref="L163:Q163" si="386">+L161*0.1%</f>
        <v>0</v>
      </c>
      <c r="M163" s="277">
        <f t="shared" si="386"/>
        <v>0</v>
      </c>
      <c r="N163" s="277">
        <f t="shared" si="386"/>
        <v>0</v>
      </c>
      <c r="O163" s="277">
        <f t="shared" si="386"/>
        <v>0</v>
      </c>
      <c r="P163" s="277">
        <f t="shared" si="386"/>
        <v>0</v>
      </c>
      <c r="Q163" s="277">
        <f t="shared" si="386"/>
        <v>0</v>
      </c>
      <c r="R163" s="281">
        <f t="shared" si="338"/>
        <v>0</v>
      </c>
      <c r="S163" s="277">
        <f t="shared" ref="S163:Z163" si="387">+S161*0.1%</f>
        <v>0</v>
      </c>
      <c r="T163" s="277">
        <f t="shared" si="387"/>
        <v>0</v>
      </c>
      <c r="U163" s="277">
        <f t="shared" si="387"/>
        <v>0</v>
      </c>
      <c r="V163" s="277">
        <f t="shared" si="387"/>
        <v>0</v>
      </c>
      <c r="W163" s="277">
        <f t="shared" si="387"/>
        <v>0</v>
      </c>
      <c r="X163" s="277">
        <f t="shared" si="387"/>
        <v>0</v>
      </c>
      <c r="Y163" s="277">
        <f t="shared" si="387"/>
        <v>0</v>
      </c>
      <c r="Z163" s="277">
        <f t="shared" si="387"/>
        <v>0</v>
      </c>
      <c r="AA163" s="281">
        <f t="shared" si="354"/>
        <v>0</v>
      </c>
      <c r="AB163" s="403">
        <f t="shared" si="340"/>
        <v>0</v>
      </c>
      <c r="AC163" s="326">
        <f t="shared" si="341"/>
        <v>0</v>
      </c>
    </row>
    <row r="164" spans="1:29" ht="25.5" x14ac:dyDescent="0.2">
      <c r="B164" s="323" t="s">
        <v>566</v>
      </c>
      <c r="C164" s="206" t="s">
        <v>230</v>
      </c>
      <c r="D164" s="324">
        <f>+D161*9.99%</f>
        <v>831168</v>
      </c>
      <c r="E164" s="325">
        <f>SUM('ADICIONES  2021'!C164:N164)</f>
        <v>0</v>
      </c>
      <c r="F164" s="277">
        <f t="shared" ref="F164:J164" si="388">+F161*9.99%</f>
        <v>0</v>
      </c>
      <c r="G164" s="277">
        <f t="shared" si="388"/>
        <v>0</v>
      </c>
      <c r="H164" s="277">
        <f t="shared" si="388"/>
        <v>0</v>
      </c>
      <c r="I164" s="277">
        <f t="shared" si="388"/>
        <v>0</v>
      </c>
      <c r="J164" s="277">
        <f t="shared" si="388"/>
        <v>0</v>
      </c>
      <c r="K164" s="281">
        <f t="shared" si="330"/>
        <v>831168</v>
      </c>
      <c r="L164" s="277">
        <f t="shared" ref="L164:Q164" si="389">+L161*9.99%</f>
        <v>0</v>
      </c>
      <c r="M164" s="277">
        <f t="shared" si="389"/>
        <v>0</v>
      </c>
      <c r="N164" s="277">
        <f t="shared" si="389"/>
        <v>0</v>
      </c>
      <c r="O164" s="277">
        <f t="shared" si="389"/>
        <v>0</v>
      </c>
      <c r="P164" s="277">
        <f t="shared" si="389"/>
        <v>0</v>
      </c>
      <c r="Q164" s="277">
        <f t="shared" si="389"/>
        <v>0</v>
      </c>
      <c r="R164" s="281">
        <f t="shared" si="338"/>
        <v>0</v>
      </c>
      <c r="S164" s="277">
        <f t="shared" ref="S164:Z164" si="390">+S161*9.99%</f>
        <v>0</v>
      </c>
      <c r="T164" s="277">
        <f t="shared" si="390"/>
        <v>0</v>
      </c>
      <c r="U164" s="277">
        <f t="shared" si="390"/>
        <v>0</v>
      </c>
      <c r="V164" s="277">
        <f t="shared" si="390"/>
        <v>0</v>
      </c>
      <c r="W164" s="277">
        <f t="shared" si="390"/>
        <v>0</v>
      </c>
      <c r="X164" s="277">
        <f t="shared" si="390"/>
        <v>0</v>
      </c>
      <c r="Y164" s="277">
        <f t="shared" si="390"/>
        <v>0</v>
      </c>
      <c r="Z164" s="277">
        <f t="shared" si="390"/>
        <v>0</v>
      </c>
      <c r="AA164" s="281">
        <f t="shared" si="354"/>
        <v>0</v>
      </c>
      <c r="AB164" s="403">
        <f t="shared" si="340"/>
        <v>0</v>
      </c>
      <c r="AC164" s="326">
        <f t="shared" si="341"/>
        <v>0</v>
      </c>
    </row>
    <row r="165" spans="1:29" ht="25.5" x14ac:dyDescent="0.2">
      <c r="B165" s="323" t="s">
        <v>567</v>
      </c>
      <c r="C165" s="206" t="s">
        <v>231</v>
      </c>
      <c r="D165" s="324">
        <f>+D161*1.7982%</f>
        <v>149610.24000000002</v>
      </c>
      <c r="E165" s="325">
        <f>SUM('ADICIONES  2021'!C165:N165)</f>
        <v>0</v>
      </c>
      <c r="F165" s="277">
        <f t="shared" ref="F165:J165" si="391">+F161*1.7982%</f>
        <v>0</v>
      </c>
      <c r="G165" s="277">
        <f t="shared" si="391"/>
        <v>0</v>
      </c>
      <c r="H165" s="277">
        <f t="shared" si="391"/>
        <v>0</v>
      </c>
      <c r="I165" s="277">
        <f t="shared" si="391"/>
        <v>0</v>
      </c>
      <c r="J165" s="277">
        <f t="shared" si="391"/>
        <v>0</v>
      </c>
      <c r="K165" s="281">
        <f t="shared" si="330"/>
        <v>149610.24000000002</v>
      </c>
      <c r="L165" s="277">
        <f t="shared" ref="L165:Q165" si="392">+L161*1.7982%</f>
        <v>0</v>
      </c>
      <c r="M165" s="277">
        <f t="shared" si="392"/>
        <v>0</v>
      </c>
      <c r="N165" s="277">
        <f t="shared" si="392"/>
        <v>0</v>
      </c>
      <c r="O165" s="277">
        <f t="shared" si="392"/>
        <v>0</v>
      </c>
      <c r="P165" s="277">
        <f t="shared" si="392"/>
        <v>0</v>
      </c>
      <c r="Q165" s="277">
        <f t="shared" si="392"/>
        <v>0</v>
      </c>
      <c r="R165" s="281">
        <f t="shared" si="338"/>
        <v>0</v>
      </c>
      <c r="S165" s="277">
        <f t="shared" ref="S165:Z165" si="393">+S161*1.7982%</f>
        <v>0</v>
      </c>
      <c r="T165" s="277">
        <f t="shared" si="393"/>
        <v>0</v>
      </c>
      <c r="U165" s="277">
        <f t="shared" si="393"/>
        <v>0</v>
      </c>
      <c r="V165" s="277">
        <f t="shared" si="393"/>
        <v>0</v>
      </c>
      <c r="W165" s="277">
        <f t="shared" si="393"/>
        <v>0</v>
      </c>
      <c r="X165" s="277">
        <f t="shared" si="393"/>
        <v>0</v>
      </c>
      <c r="Y165" s="277">
        <f t="shared" si="393"/>
        <v>0</v>
      </c>
      <c r="Z165" s="277">
        <f t="shared" si="393"/>
        <v>0</v>
      </c>
      <c r="AA165" s="281">
        <f t="shared" si="354"/>
        <v>0</v>
      </c>
      <c r="AB165" s="403">
        <f t="shared" si="340"/>
        <v>0</v>
      </c>
      <c r="AC165" s="326">
        <f t="shared" si="341"/>
        <v>0</v>
      </c>
    </row>
    <row r="166" spans="1:29" ht="38.25" x14ac:dyDescent="0.2">
      <c r="B166" s="323" t="s">
        <v>568</v>
      </c>
      <c r="C166" s="206" t="s">
        <v>232</v>
      </c>
      <c r="D166" s="324">
        <f>+D161*0.881118%</f>
        <v>73309.017600000006</v>
      </c>
      <c r="E166" s="325">
        <f>SUM('ADICIONES  2021'!C166:N166)</f>
        <v>0</v>
      </c>
      <c r="F166" s="277">
        <f t="shared" ref="F166:J166" si="394">+F161*0.881118%</f>
        <v>0</v>
      </c>
      <c r="G166" s="277">
        <f t="shared" si="394"/>
        <v>0</v>
      </c>
      <c r="H166" s="277">
        <f t="shared" si="394"/>
        <v>0</v>
      </c>
      <c r="I166" s="277">
        <f t="shared" si="394"/>
        <v>0</v>
      </c>
      <c r="J166" s="277">
        <f t="shared" si="394"/>
        <v>0</v>
      </c>
      <c r="K166" s="281">
        <f t="shared" si="330"/>
        <v>73309.017600000006</v>
      </c>
      <c r="L166" s="277">
        <f t="shared" ref="L166:Q166" si="395">+L161*0.881118%</f>
        <v>0</v>
      </c>
      <c r="M166" s="277">
        <f t="shared" si="395"/>
        <v>0</v>
      </c>
      <c r="N166" s="277">
        <f t="shared" si="395"/>
        <v>0</v>
      </c>
      <c r="O166" s="277">
        <f t="shared" si="395"/>
        <v>0</v>
      </c>
      <c r="P166" s="277">
        <f t="shared" si="395"/>
        <v>0</v>
      </c>
      <c r="Q166" s="277">
        <f t="shared" si="395"/>
        <v>0</v>
      </c>
      <c r="R166" s="281">
        <f t="shared" si="338"/>
        <v>0</v>
      </c>
      <c r="S166" s="277">
        <f t="shared" ref="S166:Z166" si="396">+S161*0.881118%</f>
        <v>0</v>
      </c>
      <c r="T166" s="277">
        <f t="shared" si="396"/>
        <v>0</v>
      </c>
      <c r="U166" s="277">
        <f t="shared" si="396"/>
        <v>0</v>
      </c>
      <c r="V166" s="277">
        <f t="shared" si="396"/>
        <v>0</v>
      </c>
      <c r="W166" s="277">
        <f t="shared" si="396"/>
        <v>0</v>
      </c>
      <c r="X166" s="277">
        <f t="shared" si="396"/>
        <v>0</v>
      </c>
      <c r="Y166" s="277">
        <f t="shared" si="396"/>
        <v>0</v>
      </c>
      <c r="Z166" s="277">
        <f t="shared" si="396"/>
        <v>0</v>
      </c>
      <c r="AA166" s="281">
        <f t="shared" si="354"/>
        <v>0</v>
      </c>
      <c r="AB166" s="403">
        <f t="shared" si="340"/>
        <v>0</v>
      </c>
      <c r="AC166" s="326">
        <f t="shared" si="341"/>
        <v>0</v>
      </c>
    </row>
    <row r="167" spans="1:29" s="61" customFormat="1" ht="15.75" x14ac:dyDescent="0.2">
      <c r="A167" s="421"/>
      <c r="B167" s="318" t="s">
        <v>569</v>
      </c>
      <c r="C167" s="319" t="s">
        <v>570</v>
      </c>
      <c r="D167" s="283">
        <f>+D168+D175</f>
        <v>1507000000</v>
      </c>
      <c r="E167" s="322">
        <f>SUM('ADICIONES  2021'!C167:N167)</f>
        <v>3400000000</v>
      </c>
      <c r="F167" s="275">
        <f t="shared" ref="F167:J167" si="397">+F168+F175</f>
        <v>0</v>
      </c>
      <c r="G167" s="275">
        <f t="shared" si="397"/>
        <v>0</v>
      </c>
      <c r="H167" s="275">
        <f t="shared" si="397"/>
        <v>0</v>
      </c>
      <c r="I167" s="275">
        <f t="shared" si="397"/>
        <v>0</v>
      </c>
      <c r="J167" s="275">
        <f t="shared" si="397"/>
        <v>0</v>
      </c>
      <c r="K167" s="276">
        <f t="shared" si="330"/>
        <v>4907000000</v>
      </c>
      <c r="L167" s="275">
        <f t="shared" ref="L167:Q167" si="398">+L168+L175</f>
        <v>210206232</v>
      </c>
      <c r="M167" s="275">
        <f t="shared" si="398"/>
        <v>552480925</v>
      </c>
      <c r="N167" s="275">
        <f t="shared" si="398"/>
        <v>464122470</v>
      </c>
      <c r="O167" s="275">
        <f t="shared" si="398"/>
        <v>452402329</v>
      </c>
      <c r="P167" s="275">
        <f t="shared" si="398"/>
        <v>295069238</v>
      </c>
      <c r="Q167" s="275">
        <f t="shared" si="398"/>
        <v>519902700</v>
      </c>
      <c r="R167" s="276">
        <f t="shared" si="338"/>
        <v>2494183894</v>
      </c>
      <c r="S167" s="275">
        <f t="shared" ref="S167:Z167" si="399">+S168+S175</f>
        <v>426139132</v>
      </c>
      <c r="T167" s="275">
        <f t="shared" si="399"/>
        <v>552587868</v>
      </c>
      <c r="U167" s="275">
        <f t="shared" si="399"/>
        <v>899220748</v>
      </c>
      <c r="V167" s="275">
        <f t="shared" si="399"/>
        <v>166997526</v>
      </c>
      <c r="W167" s="275">
        <f t="shared" si="399"/>
        <v>178262557</v>
      </c>
      <c r="X167" s="275">
        <f t="shared" si="399"/>
        <v>450147762</v>
      </c>
      <c r="Y167" s="275">
        <f t="shared" si="399"/>
        <v>0</v>
      </c>
      <c r="Z167" s="275">
        <f t="shared" si="399"/>
        <v>0</v>
      </c>
      <c r="AA167" s="276">
        <f t="shared" si="354"/>
        <v>2673355593</v>
      </c>
      <c r="AB167" s="402">
        <f t="shared" si="340"/>
        <v>5167539487</v>
      </c>
      <c r="AC167" s="321">
        <f t="shared" si="341"/>
        <v>1.0530954732015487</v>
      </c>
    </row>
    <row r="168" spans="1:29" s="61" customFormat="1" ht="25.5" x14ac:dyDescent="0.2">
      <c r="A168" s="421">
        <v>1</v>
      </c>
      <c r="B168" s="318" t="s">
        <v>571</v>
      </c>
      <c r="C168" s="319" t="s">
        <v>572</v>
      </c>
      <c r="D168" s="283">
        <v>675000000</v>
      </c>
      <c r="E168" s="322">
        <f>SUM('ADICIONES  2021'!C168:N168)</f>
        <v>3400000000</v>
      </c>
      <c r="F168" s="276"/>
      <c r="G168" s="276"/>
      <c r="H168" s="276"/>
      <c r="I168" s="276"/>
      <c r="J168" s="276"/>
      <c r="K168" s="276">
        <f t="shared" si="330"/>
        <v>4075000000</v>
      </c>
      <c r="L168" s="276">
        <v>169812232</v>
      </c>
      <c r="M168" s="276">
        <v>479710925</v>
      </c>
      <c r="N168" s="276">
        <v>353780470</v>
      </c>
      <c r="O168" s="276">
        <v>354599329</v>
      </c>
      <c r="P168" s="276">
        <v>246575238</v>
      </c>
      <c r="Q168" s="276">
        <v>446672700</v>
      </c>
      <c r="R168" s="276">
        <f t="shared" si="338"/>
        <v>2051150894</v>
      </c>
      <c r="S168" s="276">
        <v>367526132</v>
      </c>
      <c r="T168" s="276">
        <v>461647868</v>
      </c>
      <c r="U168" s="276">
        <v>823235748</v>
      </c>
      <c r="V168" s="276">
        <v>136147326</v>
      </c>
      <c r="W168" s="276">
        <v>157385157</v>
      </c>
      <c r="X168" s="276">
        <v>415858962</v>
      </c>
      <c r="Y168" s="276"/>
      <c r="Z168" s="276"/>
      <c r="AA168" s="276">
        <f t="shared" si="354"/>
        <v>2361801193</v>
      </c>
      <c r="AB168" s="402">
        <f t="shared" si="340"/>
        <v>4412952087</v>
      </c>
      <c r="AC168" s="321">
        <f t="shared" si="341"/>
        <v>1.0829330274846625</v>
      </c>
    </row>
    <row r="169" spans="1:29" ht="25.5" x14ac:dyDescent="0.2">
      <c r="B169" s="323" t="s">
        <v>573</v>
      </c>
      <c r="C169" s="206" t="s">
        <v>217</v>
      </c>
      <c r="D169" s="324">
        <f>+D168*69.7845456%</f>
        <v>471045682.80000001</v>
      </c>
      <c r="E169" s="325">
        <f>SUM('ADICIONES  2021'!C169:N169)</f>
        <v>2372674550.4000001</v>
      </c>
      <c r="F169" s="277">
        <f t="shared" ref="F169:J169" si="400">+F168*69.7845456%</f>
        <v>0</v>
      </c>
      <c r="G169" s="277">
        <f t="shared" si="400"/>
        <v>0</v>
      </c>
      <c r="H169" s="277">
        <f t="shared" si="400"/>
        <v>0</v>
      </c>
      <c r="I169" s="277">
        <f t="shared" si="400"/>
        <v>0</v>
      </c>
      <c r="J169" s="277">
        <f t="shared" si="400"/>
        <v>0</v>
      </c>
      <c r="K169" s="281">
        <f t="shared" si="330"/>
        <v>2843720233.2000003</v>
      </c>
      <c r="L169" s="277">
        <f t="shared" ref="L169:Q169" si="401">+L168*69.7845456%</f>
        <v>118502694.47441779</v>
      </c>
      <c r="M169" s="277">
        <f t="shared" si="401"/>
        <v>334764089.2048068</v>
      </c>
      <c r="N169" s="277">
        <f t="shared" si="401"/>
        <v>246884093.41104433</v>
      </c>
      <c r="O169" s="277">
        <f t="shared" si="401"/>
        <v>247455530.44329903</v>
      </c>
      <c r="P169" s="277">
        <f t="shared" si="401"/>
        <v>172071409.40041855</v>
      </c>
      <c r="Q169" s="277">
        <f t="shared" si="401"/>
        <v>311708514.01425123</v>
      </c>
      <c r="R169" s="281">
        <f t="shared" si="338"/>
        <v>1431386330.9482379</v>
      </c>
      <c r="S169" s="277">
        <f t="shared" ref="S169:Z169" si="402">+S168*69.7845456%</f>
        <v>256476441.1774562</v>
      </c>
      <c r="T169" s="277">
        <f t="shared" si="402"/>
        <v>322158866.95588779</v>
      </c>
      <c r="U169" s="277">
        <f t="shared" si="402"/>
        <v>574491325.95856106</v>
      </c>
      <c r="V169" s="277">
        <f t="shared" si="402"/>
        <v>95009792.795650661</v>
      </c>
      <c r="W169" s="277">
        <f t="shared" si="402"/>
        <v>109830516.65429659</v>
      </c>
      <c r="X169" s="277">
        <f t="shared" si="402"/>
        <v>290205286.96857667</v>
      </c>
      <c r="Y169" s="277">
        <f t="shared" si="402"/>
        <v>0</v>
      </c>
      <c r="Z169" s="277">
        <f t="shared" si="402"/>
        <v>0</v>
      </c>
      <c r="AA169" s="281">
        <f t="shared" si="354"/>
        <v>1648172230.5104291</v>
      </c>
      <c r="AB169" s="403">
        <f t="shared" si="340"/>
        <v>3079558561.4586668</v>
      </c>
      <c r="AC169" s="326">
        <f t="shared" si="341"/>
        <v>1.0829330274846625</v>
      </c>
    </row>
    <row r="170" spans="1:29" ht="25.5" x14ac:dyDescent="0.2">
      <c r="B170" s="323" t="s">
        <v>574</v>
      </c>
      <c r="C170" s="206" t="s">
        <v>218</v>
      </c>
      <c r="D170" s="324">
        <f>+D168*0.08%</f>
        <v>540000</v>
      </c>
      <c r="E170" s="325">
        <f>SUM('ADICIONES  2021'!C170:N170)</f>
        <v>2720000</v>
      </c>
      <c r="F170" s="277">
        <f t="shared" ref="F170:J170" si="403">+F168*0.08%</f>
        <v>0</v>
      </c>
      <c r="G170" s="277">
        <f t="shared" si="403"/>
        <v>0</v>
      </c>
      <c r="H170" s="277">
        <f t="shared" si="403"/>
        <v>0</v>
      </c>
      <c r="I170" s="277">
        <f t="shared" si="403"/>
        <v>0</v>
      </c>
      <c r="J170" s="277">
        <f t="shared" si="403"/>
        <v>0</v>
      </c>
      <c r="K170" s="281">
        <f t="shared" si="330"/>
        <v>3260000</v>
      </c>
      <c r="L170" s="277">
        <f t="shared" ref="L170:Q170" si="404">+L168*0.08%</f>
        <v>135849.7856</v>
      </c>
      <c r="M170" s="277">
        <f t="shared" si="404"/>
        <v>383768.74</v>
      </c>
      <c r="N170" s="277">
        <f t="shared" si="404"/>
        <v>283024.37599999999</v>
      </c>
      <c r="O170" s="277">
        <f t="shared" si="404"/>
        <v>283679.4632</v>
      </c>
      <c r="P170" s="277">
        <f t="shared" si="404"/>
        <v>197260.19040000002</v>
      </c>
      <c r="Q170" s="277">
        <f t="shared" si="404"/>
        <v>357338.16000000003</v>
      </c>
      <c r="R170" s="281">
        <f t="shared" si="338"/>
        <v>1640920.7152</v>
      </c>
      <c r="S170" s="277">
        <f t="shared" ref="S170:Z170" si="405">+S168*0.08%</f>
        <v>294020.9056</v>
      </c>
      <c r="T170" s="277">
        <f t="shared" si="405"/>
        <v>369318.29440000001</v>
      </c>
      <c r="U170" s="277">
        <f t="shared" si="405"/>
        <v>658588.59840000002</v>
      </c>
      <c r="V170" s="277">
        <f t="shared" si="405"/>
        <v>108917.86080000001</v>
      </c>
      <c r="W170" s="277">
        <f t="shared" si="405"/>
        <v>125908.1256</v>
      </c>
      <c r="X170" s="277">
        <f t="shared" si="405"/>
        <v>332687.16960000002</v>
      </c>
      <c r="Y170" s="277">
        <f t="shared" si="405"/>
        <v>0</v>
      </c>
      <c r="Z170" s="277">
        <f t="shared" si="405"/>
        <v>0</v>
      </c>
      <c r="AA170" s="281">
        <f t="shared" si="354"/>
        <v>1889440.9543999997</v>
      </c>
      <c r="AB170" s="403">
        <f t="shared" si="340"/>
        <v>3530361.6695999997</v>
      </c>
      <c r="AC170" s="326">
        <f t="shared" si="341"/>
        <v>1.0829330274846625</v>
      </c>
    </row>
    <row r="171" spans="1:29" ht="25.5" x14ac:dyDescent="0.2">
      <c r="B171" s="323" t="s">
        <v>575</v>
      </c>
      <c r="C171" s="206" t="s">
        <v>219</v>
      </c>
      <c r="D171" s="324">
        <f>+D168*7.992%</f>
        <v>53946000</v>
      </c>
      <c r="E171" s="325">
        <f>SUM('ADICIONES  2021'!C171:N171)</f>
        <v>271728000</v>
      </c>
      <c r="F171" s="277">
        <f t="shared" ref="F171:J171" si="406">+F168*7.992%</f>
        <v>0</v>
      </c>
      <c r="G171" s="277">
        <f t="shared" si="406"/>
        <v>0</v>
      </c>
      <c r="H171" s="277">
        <f t="shared" si="406"/>
        <v>0</v>
      </c>
      <c r="I171" s="277">
        <f t="shared" si="406"/>
        <v>0</v>
      </c>
      <c r="J171" s="277">
        <f t="shared" si="406"/>
        <v>0</v>
      </c>
      <c r="K171" s="281">
        <f t="shared" si="330"/>
        <v>325674000</v>
      </c>
      <c r="L171" s="277">
        <f t="shared" ref="L171:Q171" si="407">+L168*7.992%</f>
        <v>13571393.581440002</v>
      </c>
      <c r="M171" s="277">
        <f t="shared" si="407"/>
        <v>38338497.126000002</v>
      </c>
      <c r="N171" s="277">
        <f t="shared" si="407"/>
        <v>28274135.162400004</v>
      </c>
      <c r="O171" s="277">
        <f t="shared" si="407"/>
        <v>28339578.373680003</v>
      </c>
      <c r="P171" s="277">
        <f t="shared" si="407"/>
        <v>19706293.020959999</v>
      </c>
      <c r="Q171" s="277">
        <f t="shared" si="407"/>
        <v>35698082.184</v>
      </c>
      <c r="R171" s="281">
        <f t="shared" si="338"/>
        <v>163927979.44848001</v>
      </c>
      <c r="S171" s="277">
        <f t="shared" ref="S171:Z171" si="408">+S168*7.992%</f>
        <v>29372688.469440002</v>
      </c>
      <c r="T171" s="277">
        <f t="shared" si="408"/>
        <v>36894897.61056</v>
      </c>
      <c r="U171" s="277">
        <f t="shared" si="408"/>
        <v>65793000.980160005</v>
      </c>
      <c r="V171" s="277">
        <f t="shared" si="408"/>
        <v>10880894.293920001</v>
      </c>
      <c r="W171" s="277">
        <f t="shared" si="408"/>
        <v>12578221.747440001</v>
      </c>
      <c r="X171" s="277">
        <f t="shared" si="408"/>
        <v>33235448.243040003</v>
      </c>
      <c r="Y171" s="277">
        <f t="shared" si="408"/>
        <v>0</v>
      </c>
      <c r="Z171" s="277">
        <f t="shared" si="408"/>
        <v>0</v>
      </c>
      <c r="AA171" s="281">
        <f t="shared" si="354"/>
        <v>188755151.34456003</v>
      </c>
      <c r="AB171" s="403">
        <f t="shared" si="340"/>
        <v>352683130.79304004</v>
      </c>
      <c r="AC171" s="326">
        <f t="shared" si="341"/>
        <v>1.0829330274846627</v>
      </c>
    </row>
    <row r="172" spans="1:29" ht="25.5" x14ac:dyDescent="0.2">
      <c r="B172" s="323" t="s">
        <v>576</v>
      </c>
      <c r="C172" s="206" t="s">
        <v>220</v>
      </c>
      <c r="D172" s="324">
        <f>+D168*1.43856%</f>
        <v>9710280</v>
      </c>
      <c r="E172" s="325">
        <f>SUM('ADICIONES  2021'!C172:N172)</f>
        <v>48911040</v>
      </c>
      <c r="F172" s="277">
        <f t="shared" ref="F172:J172" si="409">+F168*1.43856%</f>
        <v>0</v>
      </c>
      <c r="G172" s="277">
        <f t="shared" si="409"/>
        <v>0</v>
      </c>
      <c r="H172" s="277">
        <f t="shared" si="409"/>
        <v>0</v>
      </c>
      <c r="I172" s="277">
        <f t="shared" si="409"/>
        <v>0</v>
      </c>
      <c r="J172" s="277">
        <f t="shared" si="409"/>
        <v>0</v>
      </c>
      <c r="K172" s="281">
        <f t="shared" si="330"/>
        <v>58621320</v>
      </c>
      <c r="L172" s="277">
        <f t="shared" ref="L172:Q172" si="410">+L168*1.43856%</f>
        <v>2442850.8446591999</v>
      </c>
      <c r="M172" s="277">
        <f t="shared" si="410"/>
        <v>6900929.4826800004</v>
      </c>
      <c r="N172" s="277">
        <f t="shared" si="410"/>
        <v>5089344.3292319998</v>
      </c>
      <c r="O172" s="277">
        <f t="shared" si="410"/>
        <v>5101124.1072624</v>
      </c>
      <c r="P172" s="277">
        <f t="shared" si="410"/>
        <v>3547132.7437728001</v>
      </c>
      <c r="Q172" s="277">
        <f t="shared" si="410"/>
        <v>6425654.7931200005</v>
      </c>
      <c r="R172" s="281">
        <f t="shared" si="338"/>
        <v>29507036.300726403</v>
      </c>
      <c r="S172" s="277">
        <f t="shared" ref="S172:Z172" si="411">+S168*1.43856%</f>
        <v>5287083.9244991997</v>
      </c>
      <c r="T172" s="277">
        <f t="shared" si="411"/>
        <v>6641081.5699008005</v>
      </c>
      <c r="U172" s="277">
        <f t="shared" si="411"/>
        <v>11842740.1764288</v>
      </c>
      <c r="V172" s="277">
        <f t="shared" si="411"/>
        <v>1958560.9729056</v>
      </c>
      <c r="W172" s="277">
        <f t="shared" si="411"/>
        <v>2264079.9145391998</v>
      </c>
      <c r="X172" s="277">
        <f t="shared" si="411"/>
        <v>5982380.6837472003</v>
      </c>
      <c r="Y172" s="277">
        <f t="shared" si="411"/>
        <v>0</v>
      </c>
      <c r="Z172" s="277">
        <f t="shared" si="411"/>
        <v>0</v>
      </c>
      <c r="AA172" s="281">
        <f t="shared" si="354"/>
        <v>33975927.242020801</v>
      </c>
      <c r="AB172" s="403">
        <f t="shared" si="340"/>
        <v>63482963.5427472</v>
      </c>
      <c r="AC172" s="326">
        <f t="shared" si="341"/>
        <v>1.0829330274846625</v>
      </c>
    </row>
    <row r="173" spans="1:29" ht="38.25" x14ac:dyDescent="0.2">
      <c r="B173" s="323" t="s">
        <v>577</v>
      </c>
      <c r="C173" s="206" t="s">
        <v>221</v>
      </c>
      <c r="D173" s="324">
        <f>+D168*0.7048944%</f>
        <v>4758037.2</v>
      </c>
      <c r="E173" s="325">
        <f>SUM('ADICIONES  2021'!C173:N173)</f>
        <v>23966409.600000001</v>
      </c>
      <c r="F173" s="277">
        <f t="shared" ref="F173:J173" si="412">+F168*0.7048944%</f>
        <v>0</v>
      </c>
      <c r="G173" s="277">
        <f t="shared" si="412"/>
        <v>0</v>
      </c>
      <c r="H173" s="277">
        <f t="shared" si="412"/>
        <v>0</v>
      </c>
      <c r="I173" s="277">
        <f t="shared" si="412"/>
        <v>0</v>
      </c>
      <c r="J173" s="277">
        <f t="shared" si="412"/>
        <v>0</v>
      </c>
      <c r="K173" s="281">
        <f t="shared" si="330"/>
        <v>28724446.800000001</v>
      </c>
      <c r="L173" s="277">
        <f t="shared" ref="L173:Q173" si="413">+L168*0.7048944%</f>
        <v>1196996.9138830081</v>
      </c>
      <c r="M173" s="277">
        <f t="shared" si="413"/>
        <v>3381455.4465132002</v>
      </c>
      <c r="N173" s="277">
        <f t="shared" si="413"/>
        <v>2493778.7213236801</v>
      </c>
      <c r="O173" s="277">
        <f t="shared" si="413"/>
        <v>2499550.812558576</v>
      </c>
      <c r="P173" s="277">
        <f t="shared" si="413"/>
        <v>1738095.0444486721</v>
      </c>
      <c r="Q173" s="277">
        <f t="shared" si="413"/>
        <v>3148570.8486288004</v>
      </c>
      <c r="R173" s="281">
        <f t="shared" si="338"/>
        <v>14458447.787355937</v>
      </c>
      <c r="S173" s="277">
        <f t="shared" ref="S173:Z173" si="414">+S168*0.7048944%</f>
        <v>2590671.1230046083</v>
      </c>
      <c r="T173" s="277">
        <f t="shared" si="414"/>
        <v>3254129.9692513924</v>
      </c>
      <c r="U173" s="277">
        <f t="shared" si="414"/>
        <v>5802942.6864501126</v>
      </c>
      <c r="V173" s="277">
        <f t="shared" si="414"/>
        <v>959694.87672374409</v>
      </c>
      <c r="W173" s="277">
        <f t="shared" si="414"/>
        <v>1109399.158124208</v>
      </c>
      <c r="X173" s="277">
        <f t="shared" si="414"/>
        <v>2931366.535036128</v>
      </c>
      <c r="Y173" s="277">
        <f t="shared" si="414"/>
        <v>0</v>
      </c>
      <c r="Z173" s="277">
        <f t="shared" si="414"/>
        <v>0</v>
      </c>
      <c r="AA173" s="281">
        <f t="shared" si="354"/>
        <v>16648204.348590193</v>
      </c>
      <c r="AB173" s="403">
        <f t="shared" si="340"/>
        <v>31106652.135946132</v>
      </c>
      <c r="AC173" s="326">
        <f t="shared" si="341"/>
        <v>1.0829330274846627</v>
      </c>
    </row>
    <row r="174" spans="1:29" ht="25.5" x14ac:dyDescent="0.2">
      <c r="B174" s="323" t="s">
        <v>578</v>
      </c>
      <c r="C174" s="206" t="s">
        <v>579</v>
      </c>
      <c r="D174" s="328">
        <f>+D168*20%</f>
        <v>135000000</v>
      </c>
      <c r="E174" s="325">
        <f>SUM('ADICIONES  2021'!C174:N174)</f>
        <v>680000000</v>
      </c>
      <c r="F174" s="278">
        <f t="shared" ref="F174:J174" si="415">+F168*20%</f>
        <v>0</v>
      </c>
      <c r="G174" s="278">
        <f t="shared" si="415"/>
        <v>0</v>
      </c>
      <c r="H174" s="278">
        <f t="shared" si="415"/>
        <v>0</v>
      </c>
      <c r="I174" s="278">
        <f t="shared" si="415"/>
        <v>0</v>
      </c>
      <c r="J174" s="278">
        <f t="shared" si="415"/>
        <v>0</v>
      </c>
      <c r="K174" s="281">
        <f t="shared" si="330"/>
        <v>815000000</v>
      </c>
      <c r="L174" s="278">
        <f t="shared" ref="L174:Q174" si="416">+L168*20%</f>
        <v>33962446.399999999</v>
      </c>
      <c r="M174" s="278">
        <f t="shared" si="416"/>
        <v>95942185</v>
      </c>
      <c r="N174" s="278">
        <f t="shared" si="416"/>
        <v>70756094</v>
      </c>
      <c r="O174" s="278">
        <f t="shared" si="416"/>
        <v>70919865.799999997</v>
      </c>
      <c r="P174" s="278">
        <f t="shared" si="416"/>
        <v>49315047.600000001</v>
      </c>
      <c r="Q174" s="278">
        <f t="shared" si="416"/>
        <v>89334540</v>
      </c>
      <c r="R174" s="281">
        <f t="shared" si="338"/>
        <v>410230178.80000001</v>
      </c>
      <c r="S174" s="278">
        <f t="shared" ref="S174:Z174" si="417">+S168*20%</f>
        <v>73505226.400000006</v>
      </c>
      <c r="T174" s="278">
        <f t="shared" si="417"/>
        <v>92329573.600000009</v>
      </c>
      <c r="U174" s="278">
        <f t="shared" si="417"/>
        <v>164647149.60000002</v>
      </c>
      <c r="V174" s="278">
        <f t="shared" si="417"/>
        <v>27229465.200000003</v>
      </c>
      <c r="W174" s="278">
        <f t="shared" si="417"/>
        <v>31477031.400000002</v>
      </c>
      <c r="X174" s="278">
        <f t="shared" si="417"/>
        <v>83171792.400000006</v>
      </c>
      <c r="Y174" s="278">
        <f t="shared" si="417"/>
        <v>0</v>
      </c>
      <c r="Z174" s="278">
        <f t="shared" si="417"/>
        <v>0</v>
      </c>
      <c r="AA174" s="281">
        <f t="shared" si="354"/>
        <v>472360238.60000002</v>
      </c>
      <c r="AB174" s="403">
        <f t="shared" si="340"/>
        <v>882590417.4000001</v>
      </c>
      <c r="AC174" s="326">
        <f t="shared" si="341"/>
        <v>1.0829330274846627</v>
      </c>
    </row>
    <row r="175" spans="1:29" s="61" customFormat="1" ht="15.75" x14ac:dyDescent="0.2">
      <c r="A175" s="421">
        <v>1</v>
      </c>
      <c r="B175" s="318" t="s">
        <v>580</v>
      </c>
      <c r="C175" s="334" t="s">
        <v>581</v>
      </c>
      <c r="D175" s="330">
        <v>832000000</v>
      </c>
      <c r="E175" s="322">
        <f>SUM('ADICIONES  2021'!C175:N175)</f>
        <v>0</v>
      </c>
      <c r="F175" s="279"/>
      <c r="G175" s="279"/>
      <c r="H175" s="279"/>
      <c r="I175" s="279"/>
      <c r="J175" s="279"/>
      <c r="K175" s="276">
        <f t="shared" si="330"/>
        <v>832000000</v>
      </c>
      <c r="L175" s="279">
        <v>40394000</v>
      </c>
      <c r="M175" s="279">
        <v>72770000</v>
      </c>
      <c r="N175" s="279">
        <v>110342000</v>
      </c>
      <c r="O175" s="279">
        <v>97803000</v>
      </c>
      <c r="P175" s="279">
        <v>48494000</v>
      </c>
      <c r="Q175" s="279">
        <v>73230000</v>
      </c>
      <c r="R175" s="276">
        <f t="shared" si="338"/>
        <v>443033000</v>
      </c>
      <c r="S175" s="279">
        <v>58613000</v>
      </c>
      <c r="T175" s="279">
        <v>90940000</v>
      </c>
      <c r="U175" s="279">
        <v>75985000</v>
      </c>
      <c r="V175" s="279">
        <v>30850200</v>
      </c>
      <c r="W175" s="279">
        <v>20877400</v>
      </c>
      <c r="X175" s="279">
        <v>34288800</v>
      </c>
      <c r="Y175" s="279"/>
      <c r="Z175" s="279"/>
      <c r="AA175" s="276">
        <f t="shared" si="354"/>
        <v>311554400</v>
      </c>
      <c r="AB175" s="402">
        <f t="shared" si="340"/>
        <v>754587400</v>
      </c>
      <c r="AC175" s="321">
        <f t="shared" si="341"/>
        <v>0.90695600961538458</v>
      </c>
    </row>
    <row r="176" spans="1:29" ht="25.5" x14ac:dyDescent="0.2">
      <c r="B176" s="323" t="s">
        <v>582</v>
      </c>
      <c r="C176" s="206" t="s">
        <v>212</v>
      </c>
      <c r="D176" s="324">
        <f>+D175*87.230682%</f>
        <v>725759274.24000001</v>
      </c>
      <c r="E176" s="325">
        <f>SUM('ADICIONES  2021'!C176:N176)</f>
        <v>0</v>
      </c>
      <c r="F176" s="277">
        <f t="shared" ref="F176:J176" si="418">+F175*87.230682%</f>
        <v>0</v>
      </c>
      <c r="G176" s="277">
        <f t="shared" si="418"/>
        <v>0</v>
      </c>
      <c r="H176" s="277">
        <f t="shared" si="418"/>
        <v>0</v>
      </c>
      <c r="I176" s="277">
        <f t="shared" si="418"/>
        <v>0</v>
      </c>
      <c r="J176" s="277">
        <f t="shared" si="418"/>
        <v>0</v>
      </c>
      <c r="K176" s="281">
        <f t="shared" si="330"/>
        <v>725759274.24000001</v>
      </c>
      <c r="L176" s="277">
        <f t="shared" ref="L176:Q176" si="419">+L175*87.230682%</f>
        <v>35235961.687080003</v>
      </c>
      <c r="M176" s="277">
        <f t="shared" si="419"/>
        <v>63477767.2914</v>
      </c>
      <c r="N176" s="277">
        <f t="shared" si="419"/>
        <v>96252079.132440001</v>
      </c>
      <c r="O176" s="277">
        <f t="shared" si="419"/>
        <v>85314223.916460007</v>
      </c>
      <c r="P176" s="277">
        <f t="shared" si="419"/>
        <v>42301646.929080002</v>
      </c>
      <c r="Q176" s="277">
        <f t="shared" si="419"/>
        <v>63879028.428600006</v>
      </c>
      <c r="R176" s="281">
        <f t="shared" si="338"/>
        <v>386460707.38506001</v>
      </c>
      <c r="S176" s="277">
        <f t="shared" ref="S176:Z176" si="420">+S175*87.230682%</f>
        <v>51128519.640660003</v>
      </c>
      <c r="T176" s="277">
        <f t="shared" si="420"/>
        <v>79327582.210800007</v>
      </c>
      <c r="U176" s="277">
        <f t="shared" si="420"/>
        <v>66282233.717700005</v>
      </c>
      <c r="V176" s="277">
        <f t="shared" si="420"/>
        <v>26910839.858364001</v>
      </c>
      <c r="W176" s="277">
        <f t="shared" si="420"/>
        <v>18211498.403868001</v>
      </c>
      <c r="X176" s="277">
        <f t="shared" si="420"/>
        <v>29910354.089616001</v>
      </c>
      <c r="Y176" s="277">
        <f t="shared" si="420"/>
        <v>0</v>
      </c>
      <c r="Z176" s="277">
        <f t="shared" si="420"/>
        <v>0</v>
      </c>
      <c r="AA176" s="281">
        <f t="shared" si="354"/>
        <v>271771027.92100799</v>
      </c>
      <c r="AB176" s="403">
        <f t="shared" si="340"/>
        <v>658231735.30606794</v>
      </c>
      <c r="AC176" s="326">
        <f t="shared" si="341"/>
        <v>0.90695600961538447</v>
      </c>
    </row>
    <row r="177" spans="1:29" ht="25.5" x14ac:dyDescent="0.2">
      <c r="B177" s="323" t="s">
        <v>583</v>
      </c>
      <c r="C177" s="206" t="s">
        <v>213</v>
      </c>
      <c r="D177" s="324">
        <f>+D175*0.1%</f>
        <v>832000</v>
      </c>
      <c r="E177" s="325">
        <f>SUM('ADICIONES  2021'!C177:N177)</f>
        <v>0</v>
      </c>
      <c r="F177" s="277">
        <f t="shared" ref="F177:J177" si="421">+F175*0.1%</f>
        <v>0</v>
      </c>
      <c r="G177" s="277">
        <f t="shared" si="421"/>
        <v>0</v>
      </c>
      <c r="H177" s="277">
        <f t="shared" si="421"/>
        <v>0</v>
      </c>
      <c r="I177" s="277">
        <f t="shared" si="421"/>
        <v>0</v>
      </c>
      <c r="J177" s="277">
        <f t="shared" si="421"/>
        <v>0</v>
      </c>
      <c r="K177" s="281">
        <f t="shared" si="330"/>
        <v>832000</v>
      </c>
      <c r="L177" s="277">
        <f t="shared" ref="L177:Q177" si="422">+L175*0.1%</f>
        <v>40394</v>
      </c>
      <c r="M177" s="277">
        <f t="shared" si="422"/>
        <v>72770</v>
      </c>
      <c r="N177" s="277">
        <f t="shared" si="422"/>
        <v>110342</v>
      </c>
      <c r="O177" s="277">
        <f t="shared" si="422"/>
        <v>97803</v>
      </c>
      <c r="P177" s="277">
        <f t="shared" si="422"/>
        <v>48494</v>
      </c>
      <c r="Q177" s="277">
        <f t="shared" si="422"/>
        <v>73230</v>
      </c>
      <c r="R177" s="281">
        <f t="shared" si="338"/>
        <v>443033</v>
      </c>
      <c r="S177" s="277">
        <f t="shared" ref="S177:Z177" si="423">+S175*0.1%</f>
        <v>58613</v>
      </c>
      <c r="T177" s="277">
        <f t="shared" si="423"/>
        <v>90940</v>
      </c>
      <c r="U177" s="277">
        <f t="shared" si="423"/>
        <v>75985</v>
      </c>
      <c r="V177" s="277">
        <f t="shared" si="423"/>
        <v>30850.2</v>
      </c>
      <c r="W177" s="277">
        <f t="shared" si="423"/>
        <v>20877.400000000001</v>
      </c>
      <c r="X177" s="277">
        <f t="shared" si="423"/>
        <v>34288.800000000003</v>
      </c>
      <c r="Y177" s="277">
        <f t="shared" si="423"/>
        <v>0</v>
      </c>
      <c r="Z177" s="277">
        <f t="shared" si="423"/>
        <v>0</v>
      </c>
      <c r="AA177" s="281">
        <f t="shared" si="354"/>
        <v>311554.40000000002</v>
      </c>
      <c r="AB177" s="403">
        <f t="shared" si="340"/>
        <v>754587.4</v>
      </c>
      <c r="AC177" s="326">
        <f t="shared" si="341"/>
        <v>0.9069560096153847</v>
      </c>
    </row>
    <row r="178" spans="1:29" ht="25.5" x14ac:dyDescent="0.2">
      <c r="B178" s="323" t="s">
        <v>584</v>
      </c>
      <c r="C178" s="206" t="s">
        <v>214</v>
      </c>
      <c r="D178" s="324">
        <f>+D175*9.99%</f>
        <v>83116800</v>
      </c>
      <c r="E178" s="325">
        <f>SUM('ADICIONES  2021'!C178:N178)</f>
        <v>0</v>
      </c>
      <c r="F178" s="277">
        <f t="shared" ref="F178:J178" si="424">+F175*9.99%</f>
        <v>0</v>
      </c>
      <c r="G178" s="277">
        <f t="shared" si="424"/>
        <v>0</v>
      </c>
      <c r="H178" s="277">
        <f t="shared" si="424"/>
        <v>0</v>
      </c>
      <c r="I178" s="277">
        <f t="shared" si="424"/>
        <v>0</v>
      </c>
      <c r="J178" s="277">
        <f t="shared" si="424"/>
        <v>0</v>
      </c>
      <c r="K178" s="281">
        <f t="shared" si="330"/>
        <v>83116800</v>
      </c>
      <c r="L178" s="277">
        <f t="shared" ref="L178:Q178" si="425">+L175*9.99%</f>
        <v>4035360.6</v>
      </c>
      <c r="M178" s="277">
        <f t="shared" si="425"/>
        <v>7269723</v>
      </c>
      <c r="N178" s="277">
        <f t="shared" si="425"/>
        <v>11023165.800000001</v>
      </c>
      <c r="O178" s="277">
        <f t="shared" si="425"/>
        <v>9770519.7000000011</v>
      </c>
      <c r="P178" s="277">
        <f t="shared" si="425"/>
        <v>4844550.6000000006</v>
      </c>
      <c r="Q178" s="277">
        <f t="shared" si="425"/>
        <v>7315677</v>
      </c>
      <c r="R178" s="281">
        <f t="shared" si="338"/>
        <v>44258996.700000003</v>
      </c>
      <c r="S178" s="277">
        <f t="shared" ref="S178:Z178" si="426">+S175*9.99%</f>
        <v>5855438.7000000002</v>
      </c>
      <c r="T178" s="277">
        <f t="shared" si="426"/>
        <v>9084906</v>
      </c>
      <c r="U178" s="277">
        <f t="shared" si="426"/>
        <v>7590901.5</v>
      </c>
      <c r="V178" s="277">
        <f t="shared" si="426"/>
        <v>3081934.98</v>
      </c>
      <c r="W178" s="277">
        <f t="shared" si="426"/>
        <v>2085652.26</v>
      </c>
      <c r="X178" s="277">
        <f t="shared" si="426"/>
        <v>3425451.12</v>
      </c>
      <c r="Y178" s="277">
        <f t="shared" si="426"/>
        <v>0</v>
      </c>
      <c r="Z178" s="277">
        <f t="shared" si="426"/>
        <v>0</v>
      </c>
      <c r="AA178" s="281">
        <f t="shared" si="354"/>
        <v>31124284.560000002</v>
      </c>
      <c r="AB178" s="403">
        <f t="shared" si="340"/>
        <v>75383281.260000005</v>
      </c>
      <c r="AC178" s="326">
        <f t="shared" si="341"/>
        <v>0.9069560096153847</v>
      </c>
    </row>
    <row r="179" spans="1:29" ht="25.5" x14ac:dyDescent="0.2">
      <c r="B179" s="323" t="s">
        <v>585</v>
      </c>
      <c r="C179" s="206" t="s">
        <v>215</v>
      </c>
      <c r="D179" s="324">
        <f>+D175*1.7982%</f>
        <v>14961024.000000002</v>
      </c>
      <c r="E179" s="325">
        <f>SUM('ADICIONES  2021'!C179:N179)</f>
        <v>0</v>
      </c>
      <c r="F179" s="277">
        <f t="shared" ref="F179:J179" si="427">+F175*1.7982%</f>
        <v>0</v>
      </c>
      <c r="G179" s="277">
        <f t="shared" si="427"/>
        <v>0</v>
      </c>
      <c r="H179" s="277">
        <f t="shared" si="427"/>
        <v>0</v>
      </c>
      <c r="I179" s="277">
        <f t="shared" si="427"/>
        <v>0</v>
      </c>
      <c r="J179" s="277">
        <f t="shared" si="427"/>
        <v>0</v>
      </c>
      <c r="K179" s="281">
        <f t="shared" si="330"/>
        <v>14961024.000000002</v>
      </c>
      <c r="L179" s="277">
        <f t="shared" ref="L179:Q179" si="428">+L175*1.7982%</f>
        <v>726364.90800000005</v>
      </c>
      <c r="M179" s="277">
        <f t="shared" si="428"/>
        <v>1308550.1400000001</v>
      </c>
      <c r="N179" s="277">
        <f t="shared" si="428"/>
        <v>1984169.8440000003</v>
      </c>
      <c r="O179" s="277">
        <f t="shared" si="428"/>
        <v>1758693.5460000001</v>
      </c>
      <c r="P179" s="277">
        <f t="shared" si="428"/>
        <v>872019.10800000012</v>
      </c>
      <c r="Q179" s="277">
        <f t="shared" si="428"/>
        <v>1316821.8600000001</v>
      </c>
      <c r="R179" s="281">
        <f t="shared" si="338"/>
        <v>7966619.4060000014</v>
      </c>
      <c r="S179" s="277">
        <f t="shared" ref="S179:Z179" si="429">+S175*1.7982%</f>
        <v>1053978.966</v>
      </c>
      <c r="T179" s="277">
        <f t="shared" si="429"/>
        <v>1635283.08</v>
      </c>
      <c r="U179" s="277">
        <f t="shared" si="429"/>
        <v>1366362.27</v>
      </c>
      <c r="V179" s="277">
        <f t="shared" si="429"/>
        <v>554748.29639999999</v>
      </c>
      <c r="W179" s="277">
        <f t="shared" si="429"/>
        <v>375417.40680000006</v>
      </c>
      <c r="X179" s="277">
        <f t="shared" si="429"/>
        <v>616581.20160000003</v>
      </c>
      <c r="Y179" s="277">
        <f t="shared" si="429"/>
        <v>0</v>
      </c>
      <c r="Z179" s="277">
        <f t="shared" si="429"/>
        <v>0</v>
      </c>
      <c r="AA179" s="281">
        <f t="shared" si="354"/>
        <v>5602371.2208000002</v>
      </c>
      <c r="AB179" s="403">
        <f t="shared" si="340"/>
        <v>13568990.626800001</v>
      </c>
      <c r="AC179" s="326">
        <f t="shared" si="341"/>
        <v>0.90695600961538458</v>
      </c>
    </row>
    <row r="180" spans="1:29" ht="38.25" x14ac:dyDescent="0.2">
      <c r="B180" s="323" t="s">
        <v>586</v>
      </c>
      <c r="C180" s="206" t="s">
        <v>216</v>
      </c>
      <c r="D180" s="324">
        <f>+D175*0.881118%</f>
        <v>7330901.7599999998</v>
      </c>
      <c r="E180" s="325">
        <f>SUM('ADICIONES  2021'!C180:N180)</f>
        <v>0</v>
      </c>
      <c r="F180" s="277">
        <f t="shared" ref="F180:J180" si="430">+F175*0.881118%</f>
        <v>0</v>
      </c>
      <c r="G180" s="277">
        <f t="shared" si="430"/>
        <v>0</v>
      </c>
      <c r="H180" s="277">
        <f t="shared" si="430"/>
        <v>0</v>
      </c>
      <c r="I180" s="277">
        <f t="shared" si="430"/>
        <v>0</v>
      </c>
      <c r="J180" s="277">
        <f t="shared" si="430"/>
        <v>0</v>
      </c>
      <c r="K180" s="281">
        <f t="shared" si="330"/>
        <v>7330901.7599999998</v>
      </c>
      <c r="L180" s="277">
        <f t="shared" ref="L180:Q180" si="431">+L175*0.881118%</f>
        <v>355918.80492000002</v>
      </c>
      <c r="M180" s="277">
        <f t="shared" si="431"/>
        <v>641189.5686</v>
      </c>
      <c r="N180" s="277">
        <f t="shared" si="431"/>
        <v>972243.22355999995</v>
      </c>
      <c r="O180" s="277">
        <f t="shared" si="431"/>
        <v>861759.83753999998</v>
      </c>
      <c r="P180" s="277">
        <f t="shared" si="431"/>
        <v>427289.36291999999</v>
      </c>
      <c r="Q180" s="277">
        <f t="shared" si="431"/>
        <v>645242.71140000003</v>
      </c>
      <c r="R180" s="281">
        <f t="shared" si="338"/>
        <v>3903643.5089399996</v>
      </c>
      <c r="S180" s="277">
        <f t="shared" ref="S180:Z180" si="432">+S175*0.881118%</f>
        <v>516449.69334</v>
      </c>
      <c r="T180" s="277">
        <f t="shared" si="432"/>
        <v>801288.70920000004</v>
      </c>
      <c r="U180" s="277">
        <f t="shared" si="432"/>
        <v>669517.51230000006</v>
      </c>
      <c r="V180" s="277">
        <f t="shared" si="432"/>
        <v>271826.66523600003</v>
      </c>
      <c r="W180" s="277">
        <f t="shared" si="432"/>
        <v>183954.52933200001</v>
      </c>
      <c r="X180" s="277">
        <f t="shared" si="432"/>
        <v>302124.78878399997</v>
      </c>
      <c r="Y180" s="277">
        <f t="shared" si="432"/>
        <v>0</v>
      </c>
      <c r="Z180" s="277">
        <f t="shared" si="432"/>
        <v>0</v>
      </c>
      <c r="AA180" s="281">
        <f t="shared" si="354"/>
        <v>2745161.8981920001</v>
      </c>
      <c r="AB180" s="403">
        <f t="shared" si="340"/>
        <v>6648805.4071319997</v>
      </c>
      <c r="AC180" s="326">
        <f t="shared" si="341"/>
        <v>0.90695600961538458</v>
      </c>
    </row>
    <row r="181" spans="1:29" s="61" customFormat="1" ht="15.75" x14ac:dyDescent="0.2">
      <c r="A181" s="421"/>
      <c r="B181" s="318" t="s">
        <v>587</v>
      </c>
      <c r="C181" s="319" t="s">
        <v>588</v>
      </c>
      <c r="D181" s="283">
        <f>+D182</f>
        <v>260000000</v>
      </c>
      <c r="E181" s="322">
        <f>SUM('ADICIONES  2021'!C181:N181)</f>
        <v>0</v>
      </c>
      <c r="F181" s="275">
        <f t="shared" ref="F181:J184" si="433">+F182</f>
        <v>0</v>
      </c>
      <c r="G181" s="275">
        <f t="shared" si="433"/>
        <v>0</v>
      </c>
      <c r="H181" s="275">
        <f t="shared" si="433"/>
        <v>0</v>
      </c>
      <c r="I181" s="275">
        <f t="shared" si="433"/>
        <v>0</v>
      </c>
      <c r="J181" s="275">
        <f t="shared" si="433"/>
        <v>0</v>
      </c>
      <c r="K181" s="276">
        <f t="shared" si="330"/>
        <v>260000000</v>
      </c>
      <c r="L181" s="275">
        <f t="shared" ref="L181:Q184" si="434">+L182</f>
        <v>18449079</v>
      </c>
      <c r="M181" s="275">
        <f t="shared" si="434"/>
        <v>22269664</v>
      </c>
      <c r="N181" s="275">
        <f t="shared" si="434"/>
        <v>30051717</v>
      </c>
      <c r="O181" s="275">
        <f t="shared" si="434"/>
        <v>18188817</v>
      </c>
      <c r="P181" s="275">
        <f t="shared" si="434"/>
        <v>18039653</v>
      </c>
      <c r="Q181" s="275">
        <f t="shared" si="434"/>
        <v>21039653</v>
      </c>
      <c r="R181" s="276">
        <f t="shared" si="338"/>
        <v>128038583</v>
      </c>
      <c r="S181" s="275">
        <f t="shared" ref="S181:Z184" si="435">+S182</f>
        <v>15370300</v>
      </c>
      <c r="T181" s="275">
        <f t="shared" si="435"/>
        <v>14245300</v>
      </c>
      <c r="U181" s="275">
        <f t="shared" si="435"/>
        <v>15165582</v>
      </c>
      <c r="V181" s="275">
        <f t="shared" si="435"/>
        <v>21365582</v>
      </c>
      <c r="W181" s="275">
        <f t="shared" si="435"/>
        <v>23287087</v>
      </c>
      <c r="X181" s="275">
        <f t="shared" si="435"/>
        <v>20849469</v>
      </c>
      <c r="Y181" s="275">
        <f t="shared" si="435"/>
        <v>0</v>
      </c>
      <c r="Z181" s="275">
        <f t="shared" si="435"/>
        <v>0</v>
      </c>
      <c r="AA181" s="276">
        <f t="shared" si="354"/>
        <v>110283320</v>
      </c>
      <c r="AB181" s="402">
        <f t="shared" si="340"/>
        <v>238321903</v>
      </c>
      <c r="AC181" s="321">
        <f t="shared" si="341"/>
        <v>0.91662270384615385</v>
      </c>
    </row>
    <row r="182" spans="1:29" s="61" customFormat="1" ht="15.75" x14ac:dyDescent="0.2">
      <c r="A182" s="421"/>
      <c r="B182" s="318" t="s">
        <v>589</v>
      </c>
      <c r="C182" s="334" t="s">
        <v>590</v>
      </c>
      <c r="D182" s="283">
        <f>+D183</f>
        <v>260000000</v>
      </c>
      <c r="E182" s="322">
        <f>SUM('ADICIONES  2021'!C182:N182)</f>
        <v>0</v>
      </c>
      <c r="F182" s="275">
        <f t="shared" si="433"/>
        <v>0</v>
      </c>
      <c r="G182" s="275">
        <f t="shared" si="433"/>
        <v>0</v>
      </c>
      <c r="H182" s="275">
        <f t="shared" si="433"/>
        <v>0</v>
      </c>
      <c r="I182" s="275">
        <f t="shared" si="433"/>
        <v>0</v>
      </c>
      <c r="J182" s="275">
        <f t="shared" si="433"/>
        <v>0</v>
      </c>
      <c r="K182" s="276">
        <f t="shared" si="330"/>
        <v>260000000</v>
      </c>
      <c r="L182" s="275">
        <f t="shared" si="434"/>
        <v>18449079</v>
      </c>
      <c r="M182" s="275">
        <f t="shared" si="434"/>
        <v>22269664</v>
      </c>
      <c r="N182" s="275">
        <f t="shared" si="434"/>
        <v>30051717</v>
      </c>
      <c r="O182" s="275">
        <f t="shared" si="434"/>
        <v>18188817</v>
      </c>
      <c r="P182" s="275">
        <f t="shared" si="434"/>
        <v>18039653</v>
      </c>
      <c r="Q182" s="275">
        <f t="shared" si="434"/>
        <v>21039653</v>
      </c>
      <c r="R182" s="276">
        <f t="shared" si="338"/>
        <v>128038583</v>
      </c>
      <c r="S182" s="275">
        <f t="shared" si="435"/>
        <v>15370300</v>
      </c>
      <c r="T182" s="275">
        <f t="shared" si="435"/>
        <v>14245300</v>
      </c>
      <c r="U182" s="275">
        <f t="shared" si="435"/>
        <v>15165582</v>
      </c>
      <c r="V182" s="275">
        <f t="shared" si="435"/>
        <v>21365582</v>
      </c>
      <c r="W182" s="275">
        <f t="shared" si="435"/>
        <v>23287087</v>
      </c>
      <c r="X182" s="275">
        <f t="shared" si="435"/>
        <v>20849469</v>
      </c>
      <c r="Y182" s="275">
        <f t="shared" si="435"/>
        <v>0</v>
      </c>
      <c r="Z182" s="275">
        <f t="shared" si="435"/>
        <v>0</v>
      </c>
      <c r="AA182" s="276">
        <f t="shared" si="354"/>
        <v>110283320</v>
      </c>
      <c r="AB182" s="402">
        <f t="shared" si="340"/>
        <v>238321903</v>
      </c>
      <c r="AC182" s="321">
        <f t="shared" si="341"/>
        <v>0.91662270384615385</v>
      </c>
    </row>
    <row r="183" spans="1:29" s="61" customFormat="1" ht="25.5" x14ac:dyDescent="0.2">
      <c r="A183" s="421"/>
      <c r="B183" s="318" t="s">
        <v>591</v>
      </c>
      <c r="C183" s="319" t="s">
        <v>592</v>
      </c>
      <c r="D183" s="283">
        <f>+D184</f>
        <v>260000000</v>
      </c>
      <c r="E183" s="322">
        <f>SUM('ADICIONES  2021'!C183:N183)</f>
        <v>0</v>
      </c>
      <c r="F183" s="275">
        <f t="shared" si="433"/>
        <v>0</v>
      </c>
      <c r="G183" s="275">
        <f t="shared" si="433"/>
        <v>0</v>
      </c>
      <c r="H183" s="275">
        <f t="shared" si="433"/>
        <v>0</v>
      </c>
      <c r="I183" s="275">
        <f t="shared" si="433"/>
        <v>0</v>
      </c>
      <c r="J183" s="275">
        <f t="shared" si="433"/>
        <v>0</v>
      </c>
      <c r="K183" s="276">
        <f t="shared" si="330"/>
        <v>260000000</v>
      </c>
      <c r="L183" s="275">
        <f t="shared" si="434"/>
        <v>18449079</v>
      </c>
      <c r="M183" s="275">
        <f t="shared" si="434"/>
        <v>22269664</v>
      </c>
      <c r="N183" s="275">
        <f t="shared" si="434"/>
        <v>30051717</v>
      </c>
      <c r="O183" s="275">
        <f t="shared" si="434"/>
        <v>18188817</v>
      </c>
      <c r="P183" s="275">
        <f t="shared" si="434"/>
        <v>18039653</v>
      </c>
      <c r="Q183" s="275">
        <f t="shared" si="434"/>
        <v>21039653</v>
      </c>
      <c r="R183" s="276">
        <f t="shared" si="338"/>
        <v>128038583</v>
      </c>
      <c r="S183" s="275">
        <f t="shared" si="435"/>
        <v>15370300</v>
      </c>
      <c r="T183" s="275">
        <f t="shared" si="435"/>
        <v>14245300</v>
      </c>
      <c r="U183" s="275">
        <f t="shared" si="435"/>
        <v>15165582</v>
      </c>
      <c r="V183" s="275">
        <f t="shared" si="435"/>
        <v>21365582</v>
      </c>
      <c r="W183" s="275">
        <f t="shared" si="435"/>
        <v>23287087</v>
      </c>
      <c r="X183" s="275">
        <f t="shared" si="435"/>
        <v>20849469</v>
      </c>
      <c r="Y183" s="275">
        <f t="shared" si="435"/>
        <v>0</v>
      </c>
      <c r="Z183" s="275">
        <f t="shared" si="435"/>
        <v>0</v>
      </c>
      <c r="AA183" s="276">
        <f t="shared" si="354"/>
        <v>110283320</v>
      </c>
      <c r="AB183" s="402">
        <f t="shared" si="340"/>
        <v>238321903</v>
      </c>
      <c r="AC183" s="321">
        <f t="shared" si="341"/>
        <v>0.91662270384615385</v>
      </c>
    </row>
    <row r="184" spans="1:29" s="61" customFormat="1" ht="25.5" x14ac:dyDescent="0.2">
      <c r="A184" s="421"/>
      <c r="B184" s="318" t="s">
        <v>593</v>
      </c>
      <c r="C184" s="319" t="s">
        <v>594</v>
      </c>
      <c r="D184" s="283">
        <f>+D185</f>
        <v>260000000</v>
      </c>
      <c r="E184" s="322">
        <f>SUM('ADICIONES  2021'!C184:N184)</f>
        <v>0</v>
      </c>
      <c r="F184" s="275">
        <f t="shared" si="433"/>
        <v>0</v>
      </c>
      <c r="G184" s="275">
        <f t="shared" si="433"/>
        <v>0</v>
      </c>
      <c r="H184" s="275">
        <f t="shared" si="433"/>
        <v>0</v>
      </c>
      <c r="I184" s="275">
        <f t="shared" si="433"/>
        <v>0</v>
      </c>
      <c r="J184" s="275">
        <f t="shared" si="433"/>
        <v>0</v>
      </c>
      <c r="K184" s="276">
        <f t="shared" si="330"/>
        <v>260000000</v>
      </c>
      <c r="L184" s="275">
        <f t="shared" si="434"/>
        <v>18449079</v>
      </c>
      <c r="M184" s="275">
        <f t="shared" si="434"/>
        <v>22269664</v>
      </c>
      <c r="N184" s="275">
        <f t="shared" si="434"/>
        <v>30051717</v>
      </c>
      <c r="O184" s="275">
        <f t="shared" si="434"/>
        <v>18188817</v>
      </c>
      <c r="P184" s="275">
        <f t="shared" si="434"/>
        <v>18039653</v>
      </c>
      <c r="Q184" s="275">
        <f t="shared" si="434"/>
        <v>21039653</v>
      </c>
      <c r="R184" s="276">
        <f t="shared" si="338"/>
        <v>128038583</v>
      </c>
      <c r="S184" s="275">
        <f t="shared" si="435"/>
        <v>15370300</v>
      </c>
      <c r="T184" s="275">
        <f t="shared" si="435"/>
        <v>14245300</v>
      </c>
      <c r="U184" s="275">
        <f t="shared" si="435"/>
        <v>15165582</v>
      </c>
      <c r="V184" s="275">
        <f t="shared" si="435"/>
        <v>21365582</v>
      </c>
      <c r="W184" s="275">
        <f t="shared" si="435"/>
        <v>23287087</v>
      </c>
      <c r="X184" s="275">
        <f t="shared" si="435"/>
        <v>20849469</v>
      </c>
      <c r="Y184" s="275">
        <f t="shared" si="435"/>
        <v>0</v>
      </c>
      <c r="Z184" s="275">
        <f t="shared" si="435"/>
        <v>0</v>
      </c>
      <c r="AA184" s="276">
        <f t="shared" si="354"/>
        <v>110283320</v>
      </c>
      <c r="AB184" s="402">
        <f t="shared" si="340"/>
        <v>238321903</v>
      </c>
      <c r="AC184" s="321">
        <f t="shared" si="341"/>
        <v>0.91662270384615385</v>
      </c>
    </row>
    <row r="185" spans="1:29" s="61" customFormat="1" ht="38.25" x14ac:dyDescent="0.2">
      <c r="A185" s="421">
        <v>1</v>
      </c>
      <c r="B185" s="318" t="s">
        <v>595</v>
      </c>
      <c r="C185" s="319" t="s">
        <v>596</v>
      </c>
      <c r="D185" s="330">
        <v>260000000</v>
      </c>
      <c r="E185" s="322">
        <f>SUM('ADICIONES  2021'!C185:N185)</f>
        <v>0</v>
      </c>
      <c r="F185" s="279"/>
      <c r="G185" s="279"/>
      <c r="H185" s="279"/>
      <c r="I185" s="279"/>
      <c r="J185" s="279"/>
      <c r="K185" s="276">
        <f t="shared" si="330"/>
        <v>260000000</v>
      </c>
      <c r="L185" s="279">
        <v>18449079</v>
      </c>
      <c r="M185" s="279">
        <v>22269664</v>
      </c>
      <c r="N185" s="279">
        <v>30051717</v>
      </c>
      <c r="O185" s="279">
        <v>18188817</v>
      </c>
      <c r="P185" s="279">
        <v>18039653</v>
      </c>
      <c r="Q185" s="279">
        <v>21039653</v>
      </c>
      <c r="R185" s="276">
        <f t="shared" si="338"/>
        <v>128038583</v>
      </c>
      <c r="S185" s="279">
        <v>15370300</v>
      </c>
      <c r="T185" s="279">
        <v>14245300</v>
      </c>
      <c r="U185" s="279">
        <v>15165582</v>
      </c>
      <c r="V185" s="279">
        <v>21365582</v>
      </c>
      <c r="W185" s="279">
        <v>23287087</v>
      </c>
      <c r="X185" s="279">
        <v>20849469</v>
      </c>
      <c r="Y185" s="279"/>
      <c r="Z185" s="279"/>
      <c r="AA185" s="276">
        <f t="shared" si="354"/>
        <v>110283320</v>
      </c>
      <c r="AB185" s="402">
        <f t="shared" si="340"/>
        <v>238321903</v>
      </c>
      <c r="AC185" s="321">
        <f t="shared" si="341"/>
        <v>0.91662270384615385</v>
      </c>
    </row>
    <row r="186" spans="1:29" ht="38.25" x14ac:dyDescent="0.2">
      <c r="B186" s="323" t="s">
        <v>597</v>
      </c>
      <c r="C186" s="206" t="s">
        <v>598</v>
      </c>
      <c r="D186" s="324">
        <f>+D185*87.230682%</f>
        <v>226799773.20000002</v>
      </c>
      <c r="E186" s="325">
        <f>SUM('ADICIONES  2021'!C186:N186)</f>
        <v>0</v>
      </c>
      <c r="F186" s="277">
        <f t="shared" ref="F186:J186" si="436">+F185*87.230682%</f>
        <v>0</v>
      </c>
      <c r="G186" s="277">
        <f t="shared" si="436"/>
        <v>0</v>
      </c>
      <c r="H186" s="277">
        <f t="shared" si="436"/>
        <v>0</v>
      </c>
      <c r="I186" s="277">
        <f t="shared" si="436"/>
        <v>0</v>
      </c>
      <c r="J186" s="277">
        <f t="shared" si="436"/>
        <v>0</v>
      </c>
      <c r="K186" s="281">
        <f t="shared" si="330"/>
        <v>226799773.20000002</v>
      </c>
      <c r="L186" s="277">
        <f t="shared" ref="L186:Q186" si="437">+L185*87.230682%</f>
        <v>16093257.434418781</v>
      </c>
      <c r="M186" s="277">
        <f t="shared" si="437"/>
        <v>19425979.786308482</v>
      </c>
      <c r="N186" s="277">
        <f t="shared" si="437"/>
        <v>26214317.691809941</v>
      </c>
      <c r="O186" s="277">
        <f t="shared" si="437"/>
        <v>15866229.116831942</v>
      </c>
      <c r="P186" s="277">
        <f t="shared" si="437"/>
        <v>15736112.34233346</v>
      </c>
      <c r="Q186" s="277">
        <f t="shared" si="437"/>
        <v>18353032.802333459</v>
      </c>
      <c r="R186" s="281">
        <f t="shared" si="338"/>
        <v>111688929.17403607</v>
      </c>
      <c r="S186" s="277">
        <f t="shared" ref="S186:Z186" si="438">+S185*87.230682%</f>
        <v>13407617.515446</v>
      </c>
      <c r="T186" s="277">
        <f t="shared" si="438"/>
        <v>12426272.342946</v>
      </c>
      <c r="U186" s="277">
        <f t="shared" si="438"/>
        <v>13229040.607869241</v>
      </c>
      <c r="V186" s="277">
        <f t="shared" si="438"/>
        <v>18637342.89186924</v>
      </c>
      <c r="W186" s="277">
        <f t="shared" si="438"/>
        <v>20313484.80803334</v>
      </c>
      <c r="X186" s="277">
        <f t="shared" si="438"/>
        <v>18187134.002078582</v>
      </c>
      <c r="Y186" s="277">
        <f t="shared" si="438"/>
        <v>0</v>
      </c>
      <c r="Z186" s="277">
        <f t="shared" si="438"/>
        <v>0</v>
      </c>
      <c r="AA186" s="281">
        <f t="shared" si="354"/>
        <v>96200892.168242395</v>
      </c>
      <c r="AB186" s="403">
        <f t="shared" si="340"/>
        <v>207889821.34227848</v>
      </c>
      <c r="AC186" s="326">
        <f t="shared" si="341"/>
        <v>0.91662270384615385</v>
      </c>
    </row>
    <row r="187" spans="1:29" ht="38.25" x14ac:dyDescent="0.2">
      <c r="B187" s="323" t="s">
        <v>599</v>
      </c>
      <c r="C187" s="206" t="s">
        <v>600</v>
      </c>
      <c r="D187" s="324">
        <f>+D185*0.1%</f>
        <v>260000</v>
      </c>
      <c r="E187" s="325">
        <f>SUM('ADICIONES  2021'!C187:N187)</f>
        <v>0</v>
      </c>
      <c r="F187" s="277">
        <f t="shared" ref="F187:J187" si="439">+F185*0.1%</f>
        <v>0</v>
      </c>
      <c r="G187" s="277">
        <f t="shared" si="439"/>
        <v>0</v>
      </c>
      <c r="H187" s="277">
        <f t="shared" si="439"/>
        <v>0</v>
      </c>
      <c r="I187" s="277">
        <f t="shared" si="439"/>
        <v>0</v>
      </c>
      <c r="J187" s="277">
        <f t="shared" si="439"/>
        <v>0</v>
      </c>
      <c r="K187" s="281">
        <f t="shared" si="330"/>
        <v>260000</v>
      </c>
      <c r="L187" s="277">
        <f t="shared" ref="L187:Q187" si="440">+L185*0.1%</f>
        <v>18449.079000000002</v>
      </c>
      <c r="M187" s="277">
        <f t="shared" si="440"/>
        <v>22269.664000000001</v>
      </c>
      <c r="N187" s="277">
        <f t="shared" si="440"/>
        <v>30051.717000000001</v>
      </c>
      <c r="O187" s="277">
        <f t="shared" si="440"/>
        <v>18188.816999999999</v>
      </c>
      <c r="P187" s="277">
        <f t="shared" si="440"/>
        <v>18039.653000000002</v>
      </c>
      <c r="Q187" s="277">
        <f t="shared" si="440"/>
        <v>21039.653000000002</v>
      </c>
      <c r="R187" s="281">
        <f t="shared" si="338"/>
        <v>128038.58300000001</v>
      </c>
      <c r="S187" s="277">
        <f t="shared" ref="S187:Z187" si="441">+S185*0.1%</f>
        <v>15370.300000000001</v>
      </c>
      <c r="T187" s="277">
        <f t="shared" si="441"/>
        <v>14245.300000000001</v>
      </c>
      <c r="U187" s="277">
        <f t="shared" si="441"/>
        <v>15165.582</v>
      </c>
      <c r="V187" s="277">
        <f t="shared" si="441"/>
        <v>21365.582000000002</v>
      </c>
      <c r="W187" s="277">
        <f t="shared" si="441"/>
        <v>23287.087</v>
      </c>
      <c r="X187" s="277">
        <f t="shared" si="441"/>
        <v>20849.469000000001</v>
      </c>
      <c r="Y187" s="277">
        <f t="shared" si="441"/>
        <v>0</v>
      </c>
      <c r="Z187" s="277">
        <f t="shared" si="441"/>
        <v>0</v>
      </c>
      <c r="AA187" s="281">
        <f t="shared" si="354"/>
        <v>110283.31999999999</v>
      </c>
      <c r="AB187" s="403">
        <f t="shared" si="340"/>
        <v>238321.90299999999</v>
      </c>
      <c r="AC187" s="326">
        <f t="shared" si="341"/>
        <v>0.91662270384615385</v>
      </c>
    </row>
    <row r="188" spans="1:29" ht="38.25" x14ac:dyDescent="0.2">
      <c r="B188" s="323" t="s">
        <v>601</v>
      </c>
      <c r="C188" s="206" t="s">
        <v>602</v>
      </c>
      <c r="D188" s="324">
        <f>+D185*9.99%</f>
        <v>25974000</v>
      </c>
      <c r="E188" s="325">
        <f>SUM('ADICIONES  2021'!C188:N188)</f>
        <v>0</v>
      </c>
      <c r="F188" s="277">
        <f t="shared" ref="F188:J188" si="442">+F185*9.99%</f>
        <v>0</v>
      </c>
      <c r="G188" s="277">
        <f t="shared" si="442"/>
        <v>0</v>
      </c>
      <c r="H188" s="277">
        <f t="shared" si="442"/>
        <v>0</v>
      </c>
      <c r="I188" s="277">
        <f t="shared" si="442"/>
        <v>0</v>
      </c>
      <c r="J188" s="277">
        <f t="shared" si="442"/>
        <v>0</v>
      </c>
      <c r="K188" s="281">
        <f t="shared" si="330"/>
        <v>25974000</v>
      </c>
      <c r="L188" s="277">
        <f t="shared" ref="L188:Q188" si="443">+L185*9.99%</f>
        <v>1843062.9921000001</v>
      </c>
      <c r="M188" s="277">
        <f t="shared" si="443"/>
        <v>2224739.4336000001</v>
      </c>
      <c r="N188" s="277">
        <f t="shared" si="443"/>
        <v>3002166.5282999999</v>
      </c>
      <c r="O188" s="277">
        <f t="shared" si="443"/>
        <v>1817062.8183000002</v>
      </c>
      <c r="P188" s="277">
        <f t="shared" si="443"/>
        <v>1802161.3347</v>
      </c>
      <c r="Q188" s="277">
        <f t="shared" si="443"/>
        <v>2101861.3347</v>
      </c>
      <c r="R188" s="281">
        <f t="shared" si="338"/>
        <v>12791054.441699998</v>
      </c>
      <c r="S188" s="277">
        <f t="shared" ref="S188:Z188" si="444">+S185*9.99%</f>
        <v>1535492.97</v>
      </c>
      <c r="T188" s="277">
        <f t="shared" si="444"/>
        <v>1423105.47</v>
      </c>
      <c r="U188" s="277">
        <f t="shared" si="444"/>
        <v>1515041.6418000001</v>
      </c>
      <c r="V188" s="277">
        <f t="shared" si="444"/>
        <v>2134421.6417999999</v>
      </c>
      <c r="W188" s="277">
        <f t="shared" si="444"/>
        <v>2326379.9912999999</v>
      </c>
      <c r="X188" s="277">
        <f t="shared" si="444"/>
        <v>2082861.9531</v>
      </c>
      <c r="Y188" s="277">
        <f t="shared" si="444"/>
        <v>0</v>
      </c>
      <c r="Z188" s="277">
        <f t="shared" si="444"/>
        <v>0</v>
      </c>
      <c r="AA188" s="281">
        <f t="shared" si="354"/>
        <v>11017303.668</v>
      </c>
      <c r="AB188" s="403">
        <f t="shared" si="340"/>
        <v>23808358.109699998</v>
      </c>
      <c r="AC188" s="326">
        <f t="shared" si="341"/>
        <v>0.91662270384615374</v>
      </c>
    </row>
    <row r="189" spans="1:29" ht="38.25" x14ac:dyDescent="0.2">
      <c r="B189" s="323" t="s">
        <v>603</v>
      </c>
      <c r="C189" s="206" t="s">
        <v>604</v>
      </c>
      <c r="D189" s="324">
        <f>+D185*1.7982%</f>
        <v>4675320</v>
      </c>
      <c r="E189" s="325">
        <f>SUM('ADICIONES  2021'!C189:N189)</f>
        <v>0</v>
      </c>
      <c r="F189" s="277">
        <f t="shared" ref="F189:J189" si="445">+F185*1.7982%</f>
        <v>0</v>
      </c>
      <c r="G189" s="277">
        <f t="shared" si="445"/>
        <v>0</v>
      </c>
      <c r="H189" s="277">
        <f t="shared" si="445"/>
        <v>0</v>
      </c>
      <c r="I189" s="277">
        <f t="shared" si="445"/>
        <v>0</v>
      </c>
      <c r="J189" s="277">
        <f t="shared" si="445"/>
        <v>0</v>
      </c>
      <c r="K189" s="281">
        <f t="shared" si="330"/>
        <v>4675320</v>
      </c>
      <c r="L189" s="277">
        <f t="shared" ref="L189:Q189" si="446">+L185*1.7982%</f>
        <v>331751.33857800002</v>
      </c>
      <c r="M189" s="277">
        <f t="shared" si="446"/>
        <v>400453.09804800001</v>
      </c>
      <c r="N189" s="277">
        <f t="shared" si="446"/>
        <v>540389.97509399999</v>
      </c>
      <c r="O189" s="277">
        <f t="shared" si="446"/>
        <v>327071.307294</v>
      </c>
      <c r="P189" s="277">
        <f t="shared" si="446"/>
        <v>324389.04024600005</v>
      </c>
      <c r="Q189" s="277">
        <f t="shared" si="446"/>
        <v>378335.04024600005</v>
      </c>
      <c r="R189" s="281">
        <f t="shared" si="338"/>
        <v>2302389.7995060002</v>
      </c>
      <c r="S189" s="277">
        <f t="shared" ref="S189:Z189" si="447">+S185*1.7982%</f>
        <v>276388.73460000003</v>
      </c>
      <c r="T189" s="277">
        <f t="shared" si="447"/>
        <v>256158.98460000003</v>
      </c>
      <c r="U189" s="277">
        <f t="shared" si="447"/>
        <v>272707.49552400003</v>
      </c>
      <c r="V189" s="277">
        <f t="shared" si="447"/>
        <v>384195.89552400005</v>
      </c>
      <c r="W189" s="277">
        <f t="shared" si="447"/>
        <v>418748.39843400003</v>
      </c>
      <c r="X189" s="277">
        <f t="shared" si="447"/>
        <v>374915.15155800001</v>
      </c>
      <c r="Y189" s="277">
        <f t="shared" si="447"/>
        <v>0</v>
      </c>
      <c r="Z189" s="277">
        <f t="shared" si="447"/>
        <v>0</v>
      </c>
      <c r="AA189" s="281">
        <f t="shared" si="354"/>
        <v>1983114.6602400001</v>
      </c>
      <c r="AB189" s="403">
        <f t="shared" si="340"/>
        <v>4285504.4597460004</v>
      </c>
      <c r="AC189" s="326">
        <f t="shared" si="341"/>
        <v>0.91662270384615396</v>
      </c>
    </row>
    <row r="190" spans="1:29" ht="38.25" x14ac:dyDescent="0.2">
      <c r="B190" s="323" t="s">
        <v>605</v>
      </c>
      <c r="C190" s="329" t="s">
        <v>606</v>
      </c>
      <c r="D190" s="324">
        <f>+D185*0.881118%</f>
        <v>2290906.7999999998</v>
      </c>
      <c r="E190" s="325">
        <f>SUM('ADICIONES  2021'!C190:N190)</f>
        <v>0</v>
      </c>
      <c r="F190" s="277">
        <f t="shared" ref="F190:J190" si="448">+F185*0.881118%</f>
        <v>0</v>
      </c>
      <c r="G190" s="277">
        <f t="shared" si="448"/>
        <v>0</v>
      </c>
      <c r="H190" s="277">
        <f t="shared" si="448"/>
        <v>0</v>
      </c>
      <c r="I190" s="277">
        <f t="shared" si="448"/>
        <v>0</v>
      </c>
      <c r="J190" s="277">
        <f t="shared" si="448"/>
        <v>0</v>
      </c>
      <c r="K190" s="281">
        <f t="shared" si="330"/>
        <v>2290906.7999999998</v>
      </c>
      <c r="L190" s="277">
        <f t="shared" ref="L190:Q190" si="449">+L185*0.881118%</f>
        <v>162558.15590322</v>
      </c>
      <c r="M190" s="277">
        <f t="shared" si="449"/>
        <v>196222.01804351999</v>
      </c>
      <c r="N190" s="277">
        <f t="shared" si="449"/>
        <v>264791.08779606002</v>
      </c>
      <c r="O190" s="277">
        <f t="shared" si="449"/>
        <v>160264.94057405999</v>
      </c>
      <c r="P190" s="277">
        <f t="shared" si="449"/>
        <v>158950.62972053999</v>
      </c>
      <c r="Q190" s="277">
        <f t="shared" si="449"/>
        <v>185384.16972054</v>
      </c>
      <c r="R190" s="281">
        <f t="shared" si="338"/>
        <v>1128171.00175794</v>
      </c>
      <c r="S190" s="277">
        <f t="shared" ref="S190:Z190" si="450">+S185*0.881118%</f>
        <v>135430.47995400001</v>
      </c>
      <c r="T190" s="277">
        <f t="shared" si="450"/>
        <v>125517.902454</v>
      </c>
      <c r="U190" s="277">
        <f t="shared" si="450"/>
        <v>133626.67280676001</v>
      </c>
      <c r="V190" s="277">
        <f t="shared" si="450"/>
        <v>188255.98880676</v>
      </c>
      <c r="W190" s="277">
        <f t="shared" si="450"/>
        <v>205186.71523266</v>
      </c>
      <c r="X190" s="277">
        <f t="shared" si="450"/>
        <v>183708.42426341999</v>
      </c>
      <c r="Y190" s="277">
        <f t="shared" si="450"/>
        <v>0</v>
      </c>
      <c r="Z190" s="277">
        <f t="shared" si="450"/>
        <v>0</v>
      </c>
      <c r="AA190" s="281">
        <f t="shared" si="354"/>
        <v>971726.18351760018</v>
      </c>
      <c r="AB190" s="403">
        <f t="shared" si="340"/>
        <v>2099897.1852755402</v>
      </c>
      <c r="AC190" s="326">
        <f t="shared" si="341"/>
        <v>0.91662270384615396</v>
      </c>
    </row>
    <row r="191" spans="1:29" s="61" customFormat="1" ht="15.75" x14ac:dyDescent="0.2">
      <c r="A191" s="421">
        <v>1</v>
      </c>
      <c r="B191" s="318" t="s">
        <v>607</v>
      </c>
      <c r="C191" s="319" t="s">
        <v>608</v>
      </c>
      <c r="D191" s="283">
        <f>+D192+D200+D206+D216</f>
        <v>104209963818</v>
      </c>
      <c r="E191" s="322">
        <f>SUM('ADICIONES  2021'!C191:N191)</f>
        <v>10963952830.030001</v>
      </c>
      <c r="F191" s="275">
        <f t="shared" ref="F191:J191" si="451">+F192+F200+F206+F216</f>
        <v>3027284471</v>
      </c>
      <c r="G191" s="275">
        <f t="shared" si="451"/>
        <v>0</v>
      </c>
      <c r="H191" s="275">
        <f t="shared" si="451"/>
        <v>0</v>
      </c>
      <c r="I191" s="275">
        <f t="shared" si="451"/>
        <v>0</v>
      </c>
      <c r="J191" s="275">
        <f t="shared" si="451"/>
        <v>0</v>
      </c>
      <c r="K191" s="276">
        <f t="shared" si="330"/>
        <v>112146632177.03</v>
      </c>
      <c r="L191" s="275">
        <f t="shared" ref="L191:Q191" si="452">+L192+L200+L206+L216</f>
        <v>6634610340.9099998</v>
      </c>
      <c r="M191" s="275">
        <f t="shared" si="452"/>
        <v>8037321341.5299997</v>
      </c>
      <c r="N191" s="275">
        <f t="shared" si="452"/>
        <v>8329136993.6999998</v>
      </c>
      <c r="O191" s="275">
        <f t="shared" si="452"/>
        <v>7571180061.6900005</v>
      </c>
      <c r="P191" s="275">
        <f t="shared" si="452"/>
        <v>8776462305.4599991</v>
      </c>
      <c r="Q191" s="275">
        <f t="shared" si="452"/>
        <v>9584573862.5599995</v>
      </c>
      <c r="R191" s="276">
        <f t="shared" si="338"/>
        <v>48933284905.849998</v>
      </c>
      <c r="S191" s="275">
        <f t="shared" ref="S191:Z191" si="453">+S192+S200+S206+S216</f>
        <v>8034676646.3299999</v>
      </c>
      <c r="T191" s="275">
        <f t="shared" si="453"/>
        <v>7131527284.6899996</v>
      </c>
      <c r="U191" s="275">
        <f t="shared" si="453"/>
        <v>10000723900.539999</v>
      </c>
      <c r="V191" s="275">
        <f t="shared" si="453"/>
        <v>8778484708.1499996</v>
      </c>
      <c r="W191" s="275">
        <f t="shared" si="453"/>
        <v>15329130093.299999</v>
      </c>
      <c r="X191" s="275">
        <f t="shared" si="453"/>
        <v>5663312055.6999998</v>
      </c>
      <c r="Y191" s="275">
        <f t="shared" si="453"/>
        <v>0</v>
      </c>
      <c r="Z191" s="275">
        <f t="shared" si="453"/>
        <v>0</v>
      </c>
      <c r="AA191" s="276">
        <f t="shared" si="354"/>
        <v>54937854688.709991</v>
      </c>
      <c r="AB191" s="402">
        <f t="shared" si="340"/>
        <v>103871139594.56</v>
      </c>
      <c r="AC191" s="321">
        <f t="shared" si="341"/>
        <v>0.92620828265795219</v>
      </c>
    </row>
    <row r="192" spans="1:29" s="61" customFormat="1" ht="15.75" x14ac:dyDescent="0.2">
      <c r="A192" s="421">
        <v>1</v>
      </c>
      <c r="B192" s="318" t="s">
        <v>609</v>
      </c>
      <c r="C192" s="319" t="s">
        <v>610</v>
      </c>
      <c r="D192" s="275">
        <f>+D193+D197+D198+D199</f>
        <v>38056330164</v>
      </c>
      <c r="E192" s="322">
        <f>SUM('ADICIONES  2021'!C192:N192)</f>
        <v>4024675156</v>
      </c>
      <c r="F192" s="275">
        <f t="shared" ref="F192:J192" si="454">+F193+F197+F198+F199</f>
        <v>2343073471</v>
      </c>
      <c r="G192" s="275">
        <f t="shared" si="454"/>
        <v>0</v>
      </c>
      <c r="H192" s="275">
        <f t="shared" si="454"/>
        <v>0</v>
      </c>
      <c r="I192" s="275">
        <f t="shared" si="454"/>
        <v>0</v>
      </c>
      <c r="J192" s="275">
        <f t="shared" si="454"/>
        <v>0</v>
      </c>
      <c r="K192" s="276">
        <f t="shared" si="330"/>
        <v>39737931849</v>
      </c>
      <c r="L192" s="275">
        <f t="shared" ref="L192:Q192" si="455">+L193+L197+L198+L199</f>
        <v>1807132284.9100001</v>
      </c>
      <c r="M192" s="275">
        <f t="shared" si="455"/>
        <v>2535499423.54</v>
      </c>
      <c r="N192" s="275">
        <f t="shared" si="455"/>
        <v>3951800697.96</v>
      </c>
      <c r="O192" s="275">
        <f t="shared" si="455"/>
        <v>2959306782.6900001</v>
      </c>
      <c r="P192" s="275">
        <f t="shared" si="455"/>
        <v>3999985062.46</v>
      </c>
      <c r="Q192" s="275">
        <f t="shared" si="455"/>
        <v>4231944300.0500002</v>
      </c>
      <c r="R192" s="276">
        <f t="shared" si="338"/>
        <v>19485668551.610001</v>
      </c>
      <c r="S192" s="275">
        <f>+S193+S197+S198+S199</f>
        <v>3621814882.3299999</v>
      </c>
      <c r="T192" s="275">
        <f t="shared" ref="T192:Z192" si="456">+T193+T197+T198+T199</f>
        <v>2759807005.9099998</v>
      </c>
      <c r="U192" s="275">
        <f t="shared" si="456"/>
        <v>4218219758.2799997</v>
      </c>
      <c r="V192" s="275">
        <f t="shared" si="456"/>
        <v>3017528673.46</v>
      </c>
      <c r="W192" s="275">
        <f t="shared" si="456"/>
        <v>6091681098</v>
      </c>
      <c r="X192" s="275">
        <f t="shared" si="456"/>
        <v>1644383893.6300001</v>
      </c>
      <c r="Y192" s="275">
        <f t="shared" si="456"/>
        <v>0</v>
      </c>
      <c r="Z192" s="275">
        <f t="shared" si="456"/>
        <v>0</v>
      </c>
      <c r="AA192" s="276">
        <f t="shared" si="354"/>
        <v>21353435311.610001</v>
      </c>
      <c r="AB192" s="402">
        <f t="shared" si="340"/>
        <v>40839103863.220001</v>
      </c>
      <c r="AC192" s="321">
        <f t="shared" si="341"/>
        <v>1.027710853660033</v>
      </c>
    </row>
    <row r="193" spans="1:29" s="61" customFormat="1" ht="15.75" x14ac:dyDescent="0.2">
      <c r="A193" s="421"/>
      <c r="B193" s="318" t="s">
        <v>611</v>
      </c>
      <c r="C193" s="319" t="s">
        <v>612</v>
      </c>
      <c r="D193" s="283">
        <f>SUM(D194:D196)</f>
        <v>28475122042</v>
      </c>
      <c r="E193" s="322">
        <f>SUM('ADICIONES  2021'!C193:N193)</f>
        <v>0</v>
      </c>
      <c r="F193" s="275">
        <f t="shared" ref="F193:J193" si="457">SUM(F194:F196)</f>
        <v>2343073471</v>
      </c>
      <c r="G193" s="275">
        <f t="shared" si="457"/>
        <v>0</v>
      </c>
      <c r="H193" s="275">
        <f t="shared" si="457"/>
        <v>0</v>
      </c>
      <c r="I193" s="275">
        <f t="shared" si="457"/>
        <v>0</v>
      </c>
      <c r="J193" s="275">
        <f t="shared" si="457"/>
        <v>0</v>
      </c>
      <c r="K193" s="276">
        <f t="shared" si="330"/>
        <v>26132048571</v>
      </c>
      <c r="L193" s="275">
        <f t="shared" ref="L193:Q193" si="458">SUM(L194:L196)</f>
        <v>1807132284.9100001</v>
      </c>
      <c r="M193" s="275">
        <f t="shared" si="458"/>
        <v>1368944374.54</v>
      </c>
      <c r="N193" s="275">
        <f t="shared" si="458"/>
        <v>1690104655.96</v>
      </c>
      <c r="O193" s="275">
        <f t="shared" si="458"/>
        <v>1828458761.6900001</v>
      </c>
      <c r="P193" s="275">
        <f t="shared" si="458"/>
        <v>2869137041.46</v>
      </c>
      <c r="Q193" s="275">
        <f t="shared" si="458"/>
        <v>3101096279.0500002</v>
      </c>
      <c r="R193" s="276">
        <f t="shared" si="338"/>
        <v>12664873397.610001</v>
      </c>
      <c r="S193" s="275">
        <f>SUM(S194:S196)</f>
        <v>2490966861.3299999</v>
      </c>
      <c r="T193" s="275">
        <f t="shared" ref="T193:Z193" si="459">SUM(T194:T196)</f>
        <v>1628958984.9100001</v>
      </c>
      <c r="U193" s="275">
        <f t="shared" si="459"/>
        <v>3087371737.2799997</v>
      </c>
      <c r="V193" s="275">
        <f t="shared" si="459"/>
        <v>1886680652.46</v>
      </c>
      <c r="W193" s="275">
        <f t="shared" si="459"/>
        <v>3794278028</v>
      </c>
      <c r="X193" s="275">
        <f t="shared" si="459"/>
        <v>513535874.63</v>
      </c>
      <c r="Y193" s="275">
        <f t="shared" si="459"/>
        <v>0</v>
      </c>
      <c r="Z193" s="275">
        <f t="shared" si="459"/>
        <v>0</v>
      </c>
      <c r="AA193" s="276">
        <f t="shared" si="354"/>
        <v>13401792138.609999</v>
      </c>
      <c r="AB193" s="402">
        <f t="shared" si="340"/>
        <v>26066665536.220001</v>
      </c>
      <c r="AC193" s="321">
        <f t="shared" si="341"/>
        <v>0.99749797515482364</v>
      </c>
    </row>
    <row r="194" spans="1:29" ht="14.25" x14ac:dyDescent="0.2">
      <c r="A194" s="420">
        <v>1</v>
      </c>
      <c r="B194" s="323" t="s">
        <v>613</v>
      </c>
      <c r="C194" s="206" t="s">
        <v>614</v>
      </c>
      <c r="D194" s="324">
        <v>22468768140</v>
      </c>
      <c r="E194" s="325">
        <f>SUM('ADICIONES  2021'!C194:N194)</f>
        <v>0</v>
      </c>
      <c r="F194" s="277">
        <v>2343073471</v>
      </c>
      <c r="G194" s="277"/>
      <c r="H194" s="277"/>
      <c r="I194" s="277"/>
      <c r="J194" s="277"/>
      <c r="K194" s="281">
        <f t="shared" si="330"/>
        <v>20125694669</v>
      </c>
      <c r="L194" s="277">
        <v>1496322037</v>
      </c>
      <c r="M194" s="277">
        <v>1368196271</v>
      </c>
      <c r="N194" s="277">
        <v>1496322037</v>
      </c>
      <c r="O194" s="277">
        <v>1496322037</v>
      </c>
      <c r="P194" s="277">
        <v>1496322037</v>
      </c>
      <c r="Q194" s="277">
        <v>2992644074</v>
      </c>
      <c r="R194" s="281">
        <f t="shared" si="338"/>
        <v>10346128493</v>
      </c>
      <c r="S194" s="277">
        <v>1496322037</v>
      </c>
      <c r="T194" s="277">
        <v>1496322037</v>
      </c>
      <c r="U194" s="277">
        <v>1496322037</v>
      </c>
      <c r="V194" s="277">
        <v>1496322037</v>
      </c>
      <c r="W194" s="277">
        <v>3794278028</v>
      </c>
      <c r="X194" s="277"/>
      <c r="Y194" s="277"/>
      <c r="Z194" s="277"/>
      <c r="AA194" s="281">
        <f t="shared" si="354"/>
        <v>9779566176</v>
      </c>
      <c r="AB194" s="403">
        <f t="shared" si="340"/>
        <v>20125694669</v>
      </c>
      <c r="AC194" s="326">
        <f t="shared" si="341"/>
        <v>1</v>
      </c>
    </row>
    <row r="195" spans="1:29" ht="25.5" x14ac:dyDescent="0.2">
      <c r="A195" s="420">
        <v>1</v>
      </c>
      <c r="B195" s="323" t="s">
        <v>615</v>
      </c>
      <c r="C195" s="206" t="s">
        <v>616</v>
      </c>
      <c r="D195" s="324">
        <v>4054780119</v>
      </c>
      <c r="E195" s="325">
        <f>SUM('ADICIONES  2021'!C195:N195)</f>
        <v>0</v>
      </c>
      <c r="F195" s="277"/>
      <c r="G195" s="277"/>
      <c r="H195" s="277"/>
      <c r="I195" s="277"/>
      <c r="J195" s="277"/>
      <c r="K195" s="281">
        <f t="shared" si="330"/>
        <v>4054780119</v>
      </c>
      <c r="L195" s="277">
        <v>310810247.91000003</v>
      </c>
      <c r="M195" s="277">
        <v>748103.54</v>
      </c>
      <c r="N195" s="277">
        <v>193782618.96000001</v>
      </c>
      <c r="O195" s="277">
        <v>332136724.69</v>
      </c>
      <c r="P195" s="277">
        <v>1372815004.46</v>
      </c>
      <c r="Q195" s="277">
        <v>108452205.05</v>
      </c>
      <c r="R195" s="281">
        <f t="shared" si="338"/>
        <v>2318744904.6100006</v>
      </c>
      <c r="S195" s="277">
        <v>994644824.33000004</v>
      </c>
      <c r="T195" s="277">
        <v>132636947.91</v>
      </c>
      <c r="U195" s="277">
        <v>1591049700.28</v>
      </c>
      <c r="V195" s="277">
        <v>390358615.45999998</v>
      </c>
      <c r="W195" s="277">
        <v>0</v>
      </c>
      <c r="X195" s="277">
        <v>513535874.63</v>
      </c>
      <c r="Y195" s="277"/>
      <c r="Z195" s="277"/>
      <c r="AA195" s="281">
        <f t="shared" si="354"/>
        <v>3622225962.6100001</v>
      </c>
      <c r="AB195" s="403">
        <f t="shared" si="340"/>
        <v>5940970867.2200012</v>
      </c>
      <c r="AC195" s="326">
        <f t="shared" si="341"/>
        <v>1.4651770731985285</v>
      </c>
    </row>
    <row r="196" spans="1:29" ht="14.25" x14ac:dyDescent="0.2">
      <c r="A196" s="420">
        <v>1</v>
      </c>
      <c r="B196" s="323" t="s">
        <v>617</v>
      </c>
      <c r="C196" s="206" t="s">
        <v>618</v>
      </c>
      <c r="D196" s="324">
        <v>1951573783</v>
      </c>
      <c r="E196" s="325">
        <f>SUM('ADICIONES  2021'!C196:N196)</f>
        <v>0</v>
      </c>
      <c r="F196" s="277"/>
      <c r="G196" s="277"/>
      <c r="H196" s="277"/>
      <c r="I196" s="277"/>
      <c r="J196" s="277"/>
      <c r="K196" s="281">
        <f t="shared" si="330"/>
        <v>1951573783</v>
      </c>
      <c r="L196" s="277">
        <v>0</v>
      </c>
      <c r="M196" s="277">
        <v>0</v>
      </c>
      <c r="N196" s="277">
        <v>0</v>
      </c>
      <c r="O196" s="277">
        <v>0</v>
      </c>
      <c r="P196" s="277">
        <v>0</v>
      </c>
      <c r="Q196" s="277">
        <v>0</v>
      </c>
      <c r="R196" s="281">
        <f t="shared" si="338"/>
        <v>0</v>
      </c>
      <c r="S196" s="277">
        <v>0</v>
      </c>
      <c r="T196" s="277">
        <v>0</v>
      </c>
      <c r="U196" s="277">
        <v>0</v>
      </c>
      <c r="V196" s="277">
        <v>0</v>
      </c>
      <c r="W196" s="277">
        <v>0</v>
      </c>
      <c r="X196" s="277"/>
      <c r="Y196" s="277"/>
      <c r="Z196" s="277"/>
      <c r="AA196" s="281">
        <f t="shared" si="354"/>
        <v>0</v>
      </c>
      <c r="AB196" s="403">
        <f t="shared" si="340"/>
        <v>0</v>
      </c>
      <c r="AC196" s="326">
        <f t="shared" si="341"/>
        <v>0</v>
      </c>
    </row>
    <row r="197" spans="1:29" ht="14.25" x14ac:dyDescent="0.2">
      <c r="A197" s="420">
        <v>1</v>
      </c>
      <c r="B197" s="323" t="s">
        <v>619</v>
      </c>
      <c r="C197" s="329" t="s">
        <v>620</v>
      </c>
      <c r="D197" s="324">
        <v>9581208122</v>
      </c>
      <c r="E197" s="325">
        <f>SUM('ADICIONES  2021'!C197:N197)</f>
        <v>0</v>
      </c>
      <c r="F197" s="277"/>
      <c r="G197" s="277"/>
      <c r="H197" s="277"/>
      <c r="I197" s="277"/>
      <c r="J197" s="277"/>
      <c r="K197" s="281">
        <f t="shared" si="330"/>
        <v>9581208122</v>
      </c>
      <c r="L197" s="277">
        <v>0</v>
      </c>
      <c r="M197" s="277">
        <v>1166555049</v>
      </c>
      <c r="N197" s="277">
        <v>2261696042</v>
      </c>
      <c r="O197" s="277">
        <v>1130848021</v>
      </c>
      <c r="P197" s="277">
        <v>1130848021</v>
      </c>
      <c r="Q197" s="277">
        <v>1130848021</v>
      </c>
      <c r="R197" s="281">
        <f t="shared" si="338"/>
        <v>6820795154</v>
      </c>
      <c r="S197" s="277">
        <v>1130848021</v>
      </c>
      <c r="T197" s="277">
        <v>1130848021</v>
      </c>
      <c r="U197" s="277">
        <v>1130848021</v>
      </c>
      <c r="V197" s="277">
        <v>1130848021</v>
      </c>
      <c r="W197" s="277">
        <v>-1762979116</v>
      </c>
      <c r="X197" s="277">
        <v>1130848019</v>
      </c>
      <c r="Y197" s="277"/>
      <c r="Z197" s="277"/>
      <c r="AA197" s="281">
        <f t="shared" si="354"/>
        <v>3891260987</v>
      </c>
      <c r="AB197" s="403">
        <f t="shared" si="340"/>
        <v>10712056141</v>
      </c>
      <c r="AC197" s="326">
        <f t="shared" si="341"/>
        <v>1.118027706381139</v>
      </c>
    </row>
    <row r="198" spans="1:29" ht="14.25" x14ac:dyDescent="0.2">
      <c r="A198" s="420">
        <v>1</v>
      </c>
      <c r="B198" s="323" t="s">
        <v>619</v>
      </c>
      <c r="C198" s="329" t="s">
        <v>620</v>
      </c>
      <c r="D198" s="324"/>
      <c r="E198" s="325">
        <f>SUM('ADICIONES  2021'!C198:N198)</f>
        <v>2858120107</v>
      </c>
      <c r="F198" s="277"/>
      <c r="G198" s="277"/>
      <c r="H198" s="277"/>
      <c r="I198" s="277"/>
      <c r="J198" s="277"/>
      <c r="K198" s="281">
        <f t="shared" si="330"/>
        <v>2858120107</v>
      </c>
      <c r="L198" s="277"/>
      <c r="M198" s="277"/>
      <c r="N198" s="277"/>
      <c r="O198" s="277"/>
      <c r="P198" s="277"/>
      <c r="Q198" s="277"/>
      <c r="R198" s="281">
        <f t="shared" si="338"/>
        <v>0</v>
      </c>
      <c r="S198" s="277"/>
      <c r="T198" s="277">
        <v>0</v>
      </c>
      <c r="U198" s="277">
        <v>0</v>
      </c>
      <c r="V198" s="277">
        <v>0</v>
      </c>
      <c r="W198" s="277">
        <v>2893827137</v>
      </c>
      <c r="X198" s="277"/>
      <c r="Y198" s="277"/>
      <c r="Z198" s="277"/>
      <c r="AA198" s="281">
        <f t="shared" ref="AA198:AA199" si="460">SUM(S198:Z198)</f>
        <v>2893827137</v>
      </c>
      <c r="AB198" s="403">
        <f t="shared" si="340"/>
        <v>2893827137</v>
      </c>
      <c r="AC198" s="326">
        <f t="shared" si="341"/>
        <v>1.0124931873620524</v>
      </c>
    </row>
    <row r="199" spans="1:29" ht="25.5" x14ac:dyDescent="0.2">
      <c r="A199" s="420">
        <v>1</v>
      </c>
      <c r="B199" s="323" t="s">
        <v>1848</v>
      </c>
      <c r="C199" s="329" t="s">
        <v>1849</v>
      </c>
      <c r="D199" s="324"/>
      <c r="E199" s="325">
        <f>SUM('ADICIONES  2021'!C199:N199)</f>
        <v>1166555049</v>
      </c>
      <c r="F199" s="277"/>
      <c r="G199" s="277"/>
      <c r="H199" s="277"/>
      <c r="I199" s="277"/>
      <c r="J199" s="277"/>
      <c r="K199" s="281">
        <f t="shared" si="330"/>
        <v>1166555049</v>
      </c>
      <c r="L199" s="277"/>
      <c r="M199" s="277"/>
      <c r="N199" s="277"/>
      <c r="O199" s="277"/>
      <c r="P199" s="277"/>
      <c r="Q199" s="277"/>
      <c r="R199" s="281">
        <f t="shared" si="338"/>
        <v>0</v>
      </c>
      <c r="S199" s="277"/>
      <c r="T199" s="277">
        <v>0</v>
      </c>
      <c r="U199" s="277">
        <v>0</v>
      </c>
      <c r="V199" s="277">
        <v>0</v>
      </c>
      <c r="W199" s="277">
        <v>1166555049</v>
      </c>
      <c r="X199" s="277"/>
      <c r="Y199" s="277"/>
      <c r="Z199" s="277"/>
      <c r="AA199" s="281">
        <f t="shared" si="460"/>
        <v>1166555049</v>
      </c>
      <c r="AB199" s="403">
        <f t="shared" si="340"/>
        <v>1166555049</v>
      </c>
      <c r="AC199" s="326">
        <f t="shared" si="341"/>
        <v>1</v>
      </c>
    </row>
    <row r="200" spans="1:29" s="61" customFormat="1" ht="15.75" x14ac:dyDescent="0.2">
      <c r="A200" s="421"/>
      <c r="B200" s="318" t="s">
        <v>621</v>
      </c>
      <c r="C200" s="319" t="s">
        <v>622</v>
      </c>
      <c r="D200" s="283">
        <f>+D201</f>
        <v>26607211000</v>
      </c>
      <c r="E200" s="322">
        <f>SUM('ADICIONES  2021'!C200:N200)</f>
        <v>0</v>
      </c>
      <c r="F200" s="275">
        <f t="shared" ref="F200:J201" si="461">+F201</f>
        <v>684211000</v>
      </c>
      <c r="G200" s="275">
        <f t="shared" si="461"/>
        <v>0</v>
      </c>
      <c r="H200" s="275">
        <f t="shared" si="461"/>
        <v>0</v>
      </c>
      <c r="I200" s="275">
        <f t="shared" si="461"/>
        <v>0</v>
      </c>
      <c r="J200" s="275">
        <f t="shared" si="461"/>
        <v>0</v>
      </c>
      <c r="K200" s="276">
        <f t="shared" si="330"/>
        <v>25923000000</v>
      </c>
      <c r="L200" s="275">
        <f t="shared" ref="L200:Q201" si="462">+L201</f>
        <v>2138137700</v>
      </c>
      <c r="M200" s="275">
        <f t="shared" si="462"/>
        <v>2332148877</v>
      </c>
      <c r="N200" s="275">
        <f t="shared" si="462"/>
        <v>2067713952</v>
      </c>
      <c r="O200" s="275">
        <f t="shared" si="462"/>
        <v>2146608857</v>
      </c>
      <c r="P200" s="275">
        <f t="shared" si="462"/>
        <v>2495200340</v>
      </c>
      <c r="Q200" s="275">
        <f t="shared" si="462"/>
        <v>2151327249</v>
      </c>
      <c r="R200" s="276">
        <f t="shared" si="338"/>
        <v>13331136975</v>
      </c>
      <c r="S200" s="275">
        <f t="shared" ref="S200:Z201" si="463">+S201</f>
        <v>1836998746</v>
      </c>
      <c r="T200" s="275">
        <f t="shared" si="463"/>
        <v>1633845027</v>
      </c>
      <c r="U200" s="275">
        <f t="shared" si="463"/>
        <v>2336995605</v>
      </c>
      <c r="V200" s="275">
        <f t="shared" si="463"/>
        <v>2287375454</v>
      </c>
      <c r="W200" s="275">
        <f t="shared" si="463"/>
        <v>2333651495</v>
      </c>
      <c r="X200" s="275">
        <f t="shared" si="463"/>
        <v>2392964749</v>
      </c>
      <c r="Y200" s="275">
        <f t="shared" si="463"/>
        <v>0</v>
      </c>
      <c r="Z200" s="275">
        <f t="shared" si="463"/>
        <v>0</v>
      </c>
      <c r="AA200" s="276">
        <f t="shared" si="354"/>
        <v>12821831076</v>
      </c>
      <c r="AB200" s="402">
        <f t="shared" si="340"/>
        <v>26152968051</v>
      </c>
      <c r="AC200" s="321">
        <f t="shared" si="341"/>
        <v>1.0088711974308529</v>
      </c>
    </row>
    <row r="201" spans="1:29" s="61" customFormat="1" ht="15.75" x14ac:dyDescent="0.2">
      <c r="A201" s="421"/>
      <c r="B201" s="318" t="s">
        <v>623</v>
      </c>
      <c r="C201" s="319" t="s">
        <v>624</v>
      </c>
      <c r="D201" s="283">
        <f>+D202</f>
        <v>26607211000</v>
      </c>
      <c r="E201" s="322">
        <f>SUM('ADICIONES  2021'!C201:N201)</f>
        <v>0</v>
      </c>
      <c r="F201" s="275">
        <f t="shared" si="461"/>
        <v>684211000</v>
      </c>
      <c r="G201" s="275">
        <f t="shared" si="461"/>
        <v>0</v>
      </c>
      <c r="H201" s="275">
        <f t="shared" si="461"/>
        <v>0</v>
      </c>
      <c r="I201" s="275">
        <f t="shared" si="461"/>
        <v>0</v>
      </c>
      <c r="J201" s="275">
        <f t="shared" si="461"/>
        <v>0</v>
      </c>
      <c r="K201" s="276">
        <f t="shared" si="330"/>
        <v>25923000000</v>
      </c>
      <c r="L201" s="275">
        <f t="shared" si="462"/>
        <v>2138137700</v>
      </c>
      <c r="M201" s="275">
        <f t="shared" si="462"/>
        <v>2332148877</v>
      </c>
      <c r="N201" s="275">
        <f t="shared" si="462"/>
        <v>2067713952</v>
      </c>
      <c r="O201" s="275">
        <f t="shared" si="462"/>
        <v>2146608857</v>
      </c>
      <c r="P201" s="275">
        <f t="shared" si="462"/>
        <v>2495200340</v>
      </c>
      <c r="Q201" s="275">
        <f t="shared" si="462"/>
        <v>2151327249</v>
      </c>
      <c r="R201" s="276">
        <f t="shared" si="338"/>
        <v>13331136975</v>
      </c>
      <c r="S201" s="275">
        <f t="shared" si="463"/>
        <v>1836998746</v>
      </c>
      <c r="T201" s="275">
        <f t="shared" si="463"/>
        <v>1633845027</v>
      </c>
      <c r="U201" s="275">
        <f t="shared" si="463"/>
        <v>2336995605</v>
      </c>
      <c r="V201" s="275">
        <f t="shared" si="463"/>
        <v>2287375454</v>
      </c>
      <c r="W201" s="275">
        <f t="shared" si="463"/>
        <v>2333651495</v>
      </c>
      <c r="X201" s="275">
        <f t="shared" si="463"/>
        <v>2392964749</v>
      </c>
      <c r="Y201" s="275">
        <f t="shared" si="463"/>
        <v>0</v>
      </c>
      <c r="Z201" s="275">
        <f t="shared" si="463"/>
        <v>0</v>
      </c>
      <c r="AA201" s="276">
        <f t="shared" si="354"/>
        <v>12821831076</v>
      </c>
      <c r="AB201" s="402">
        <f t="shared" si="340"/>
        <v>26152968051</v>
      </c>
      <c r="AC201" s="321">
        <f t="shared" si="341"/>
        <v>1.0088711974308529</v>
      </c>
    </row>
    <row r="202" spans="1:29" s="61" customFormat="1" ht="15.75" x14ac:dyDescent="0.2">
      <c r="A202" s="421">
        <v>1</v>
      </c>
      <c r="B202" s="318" t="s">
        <v>625</v>
      </c>
      <c r="C202" s="319" t="s">
        <v>626</v>
      </c>
      <c r="D202" s="283">
        <f>SUM(D203:D205)</f>
        <v>26607211000</v>
      </c>
      <c r="E202" s="322">
        <f>SUM('ADICIONES  2021'!C202:N202)</f>
        <v>0</v>
      </c>
      <c r="F202" s="275">
        <f t="shared" ref="F202:J202" si="464">SUM(F203:F205)</f>
        <v>684211000</v>
      </c>
      <c r="G202" s="275">
        <f t="shared" si="464"/>
        <v>0</v>
      </c>
      <c r="H202" s="275">
        <f t="shared" si="464"/>
        <v>0</v>
      </c>
      <c r="I202" s="275">
        <f t="shared" si="464"/>
        <v>0</v>
      </c>
      <c r="J202" s="275">
        <f t="shared" si="464"/>
        <v>0</v>
      </c>
      <c r="K202" s="276">
        <f t="shared" si="330"/>
        <v>25923000000</v>
      </c>
      <c r="L202" s="275">
        <f t="shared" ref="L202:Q202" si="465">SUM(L203:L205)</f>
        <v>2138137700</v>
      </c>
      <c r="M202" s="275">
        <f t="shared" si="465"/>
        <v>2332148877</v>
      </c>
      <c r="N202" s="275">
        <f t="shared" si="465"/>
        <v>2067713952</v>
      </c>
      <c r="O202" s="275">
        <f t="shared" si="465"/>
        <v>2146608857</v>
      </c>
      <c r="P202" s="275">
        <f t="shared" si="465"/>
        <v>2495200340</v>
      </c>
      <c r="Q202" s="275">
        <f t="shared" si="465"/>
        <v>2151327249</v>
      </c>
      <c r="R202" s="276">
        <f t="shared" si="338"/>
        <v>13331136975</v>
      </c>
      <c r="S202" s="275">
        <f t="shared" ref="S202:Z202" si="466">SUM(S203:S205)</f>
        <v>1836998746</v>
      </c>
      <c r="T202" s="275">
        <f t="shared" si="466"/>
        <v>1633845027</v>
      </c>
      <c r="U202" s="275">
        <f t="shared" si="466"/>
        <v>2336995605</v>
      </c>
      <c r="V202" s="275">
        <f t="shared" si="466"/>
        <v>2287375454</v>
      </c>
      <c r="W202" s="275">
        <f t="shared" si="466"/>
        <v>2333651495</v>
      </c>
      <c r="X202" s="275">
        <f t="shared" si="466"/>
        <v>2392964749</v>
      </c>
      <c r="Y202" s="275">
        <f t="shared" si="466"/>
        <v>0</v>
      </c>
      <c r="Z202" s="275">
        <f t="shared" si="466"/>
        <v>0</v>
      </c>
      <c r="AA202" s="276">
        <f t="shared" si="354"/>
        <v>12821831076</v>
      </c>
      <c r="AB202" s="402">
        <f t="shared" si="340"/>
        <v>26152968051</v>
      </c>
      <c r="AC202" s="321">
        <f t="shared" si="341"/>
        <v>1.0088711974308529</v>
      </c>
    </row>
    <row r="203" spans="1:29" ht="14.25" x14ac:dyDescent="0.2">
      <c r="B203" s="323" t="s">
        <v>627</v>
      </c>
      <c r="C203" s="206" t="s">
        <v>628</v>
      </c>
      <c r="D203" s="332">
        <v>13000000000</v>
      </c>
      <c r="E203" s="325">
        <f>SUM('ADICIONES  2021'!C203:N203)</f>
        <v>0</v>
      </c>
      <c r="F203" s="281"/>
      <c r="G203" s="281"/>
      <c r="H203" s="281"/>
      <c r="I203" s="281"/>
      <c r="J203" s="281"/>
      <c r="K203" s="281">
        <f t="shared" si="330"/>
        <v>13000000000</v>
      </c>
      <c r="L203" s="281">
        <v>1069068850</v>
      </c>
      <c r="M203" s="281">
        <v>1166074438.5</v>
      </c>
      <c r="N203" s="281">
        <v>1033856976</v>
      </c>
      <c r="O203" s="281">
        <v>1073304428.5</v>
      </c>
      <c r="P203" s="281">
        <v>1247600170</v>
      </c>
      <c r="Q203" s="281">
        <v>1075663624.5</v>
      </c>
      <c r="R203" s="281">
        <f t="shared" si="338"/>
        <v>6665568487.5</v>
      </c>
      <c r="S203" s="281">
        <v>918499373</v>
      </c>
      <c r="T203" s="281">
        <v>816922513.5</v>
      </c>
      <c r="U203" s="281">
        <v>1168497802.5</v>
      </c>
      <c r="V203" s="281">
        <v>1143687727</v>
      </c>
      <c r="W203" s="281">
        <v>1166825747.5</v>
      </c>
      <c r="X203" s="281">
        <v>1196482374.5</v>
      </c>
      <c r="Y203" s="281"/>
      <c r="Z203" s="281"/>
      <c r="AA203" s="281">
        <f t="shared" si="354"/>
        <v>6410915538</v>
      </c>
      <c r="AB203" s="403">
        <f t="shared" si="340"/>
        <v>13076484025.5</v>
      </c>
      <c r="AC203" s="326">
        <v>0</v>
      </c>
    </row>
    <row r="204" spans="1:29" ht="14.25" x14ac:dyDescent="0.2">
      <c r="B204" s="323" t="s">
        <v>629</v>
      </c>
      <c r="C204" s="206" t="s">
        <v>630</v>
      </c>
      <c r="D204" s="332">
        <v>684211000</v>
      </c>
      <c r="E204" s="325">
        <f>SUM('ADICIONES  2021'!C204:N204)</f>
        <v>0</v>
      </c>
      <c r="F204" s="281">
        <v>684211000</v>
      </c>
      <c r="G204" s="281"/>
      <c r="H204" s="281"/>
      <c r="I204" s="281"/>
      <c r="J204" s="281"/>
      <c r="K204" s="281">
        <f t="shared" si="330"/>
        <v>0</v>
      </c>
      <c r="L204" s="281">
        <v>0</v>
      </c>
      <c r="M204" s="281">
        <v>0</v>
      </c>
      <c r="N204" s="281">
        <v>0</v>
      </c>
      <c r="O204" s="281">
        <v>0</v>
      </c>
      <c r="P204" s="281">
        <v>0</v>
      </c>
      <c r="Q204" s="281">
        <v>0</v>
      </c>
      <c r="R204" s="281">
        <f t="shared" si="338"/>
        <v>0</v>
      </c>
      <c r="S204" s="281">
        <v>0</v>
      </c>
      <c r="T204" s="281">
        <v>0</v>
      </c>
      <c r="U204" s="281">
        <v>0</v>
      </c>
      <c r="V204" s="281">
        <v>0</v>
      </c>
      <c r="W204" s="281">
        <v>0</v>
      </c>
      <c r="X204" s="281">
        <v>0</v>
      </c>
      <c r="Y204" s="281"/>
      <c r="Z204" s="281"/>
      <c r="AA204" s="281">
        <f t="shared" si="354"/>
        <v>0</v>
      </c>
      <c r="AB204" s="403">
        <f t="shared" si="340"/>
        <v>0</v>
      </c>
      <c r="AC204" s="326">
        <v>0</v>
      </c>
    </row>
    <row r="205" spans="1:29" ht="14.25" x14ac:dyDescent="0.2">
      <c r="B205" s="323" t="s">
        <v>631</v>
      </c>
      <c r="C205" s="206" t="s">
        <v>632</v>
      </c>
      <c r="D205" s="332">
        <v>12923000000</v>
      </c>
      <c r="E205" s="325">
        <f>SUM('ADICIONES  2021'!C205:N205)</f>
        <v>0</v>
      </c>
      <c r="F205" s="281"/>
      <c r="G205" s="281"/>
      <c r="H205" s="281"/>
      <c r="I205" s="281"/>
      <c r="J205" s="281"/>
      <c r="K205" s="281">
        <f t="shared" si="330"/>
        <v>12923000000</v>
      </c>
      <c r="L205" s="281">
        <v>1069068850</v>
      </c>
      <c r="M205" s="281">
        <v>1166074438.5</v>
      </c>
      <c r="N205" s="281">
        <v>1033856976</v>
      </c>
      <c r="O205" s="281">
        <v>1073304428.5</v>
      </c>
      <c r="P205" s="281">
        <v>1247600170</v>
      </c>
      <c r="Q205" s="281">
        <v>1075663624.5</v>
      </c>
      <c r="R205" s="281">
        <f t="shared" si="338"/>
        <v>6665568487.5</v>
      </c>
      <c r="S205" s="281">
        <v>918499373</v>
      </c>
      <c r="T205" s="281">
        <v>816922513.5</v>
      </c>
      <c r="U205" s="281">
        <v>1168497802.5</v>
      </c>
      <c r="V205" s="281">
        <v>1143687727</v>
      </c>
      <c r="W205" s="281">
        <v>1166825747.5</v>
      </c>
      <c r="X205" s="281">
        <v>1196482374.5</v>
      </c>
      <c r="Y205" s="281"/>
      <c r="Z205" s="281"/>
      <c r="AA205" s="281">
        <f t="shared" si="354"/>
        <v>6410915538</v>
      </c>
      <c r="AB205" s="403">
        <f t="shared" si="340"/>
        <v>13076484025.5</v>
      </c>
      <c r="AC205" s="326">
        <f t="shared" si="341"/>
        <v>1.0118768107637546</v>
      </c>
    </row>
    <row r="206" spans="1:29" s="61" customFormat="1" ht="25.5" x14ac:dyDescent="0.2">
      <c r="A206" s="421"/>
      <c r="B206" s="318" t="s">
        <v>633</v>
      </c>
      <c r="C206" s="319" t="s">
        <v>634</v>
      </c>
      <c r="D206" s="283">
        <f>+D208+D207</f>
        <v>29546422654</v>
      </c>
      <c r="E206" s="322">
        <f>SUM('ADICIONES  2021'!C206:N206)</f>
        <v>5432385663</v>
      </c>
      <c r="F206" s="283">
        <f t="shared" ref="F206:J206" si="467">+F208+F207</f>
        <v>0</v>
      </c>
      <c r="G206" s="283">
        <f t="shared" si="467"/>
        <v>0</v>
      </c>
      <c r="H206" s="283">
        <f t="shared" si="467"/>
        <v>0</v>
      </c>
      <c r="I206" s="283">
        <f t="shared" si="467"/>
        <v>0</v>
      </c>
      <c r="J206" s="283">
        <f t="shared" si="467"/>
        <v>0</v>
      </c>
      <c r="K206" s="276">
        <f t="shared" ref="K206:K272" si="468">+D206+E206-F206+G206-H206</f>
        <v>34978808317</v>
      </c>
      <c r="L206" s="283">
        <f t="shared" ref="L206:Q206" si="469">+L208+L207</f>
        <v>2689340356</v>
      </c>
      <c r="M206" s="283">
        <f t="shared" si="469"/>
        <v>3121740609</v>
      </c>
      <c r="N206" s="283">
        <f t="shared" si="469"/>
        <v>2232489239</v>
      </c>
      <c r="O206" s="283">
        <f t="shared" si="469"/>
        <v>2465264422</v>
      </c>
      <c r="P206" s="283">
        <f t="shared" si="469"/>
        <v>2281276903</v>
      </c>
      <c r="Q206" s="283">
        <f t="shared" si="469"/>
        <v>2326994969</v>
      </c>
      <c r="R206" s="276">
        <f t="shared" si="338"/>
        <v>15117106498</v>
      </c>
      <c r="S206" s="283">
        <f t="shared" ref="S206:Y206" si="470">+S208+S207</f>
        <v>2575863018</v>
      </c>
      <c r="T206" s="283">
        <f t="shared" si="470"/>
        <v>2244528451</v>
      </c>
      <c r="U206" s="283">
        <f t="shared" si="470"/>
        <v>3352466797</v>
      </c>
      <c r="V206" s="283">
        <f t="shared" si="470"/>
        <v>2979199898</v>
      </c>
      <c r="W206" s="283">
        <f t="shared" si="470"/>
        <v>6795511607</v>
      </c>
      <c r="X206" s="283">
        <f t="shared" si="470"/>
        <v>1478027618</v>
      </c>
      <c r="Y206" s="283">
        <f t="shared" si="470"/>
        <v>0</v>
      </c>
      <c r="Z206" s="283">
        <f>+Z208+Z207</f>
        <v>0</v>
      </c>
      <c r="AA206" s="276">
        <f>SUM(S206:Z206)</f>
        <v>19425597389</v>
      </c>
      <c r="AB206" s="402">
        <f t="shared" si="340"/>
        <v>34542703887</v>
      </c>
      <c r="AC206" s="321">
        <f t="shared" si="341"/>
        <v>0.98753232454211282</v>
      </c>
    </row>
    <row r="207" spans="1:29" s="19" customFormat="1" ht="25.5" x14ac:dyDescent="0.2">
      <c r="A207" s="422">
        <v>1</v>
      </c>
      <c r="B207" s="318" t="s">
        <v>1850</v>
      </c>
      <c r="C207" s="206" t="s">
        <v>1851</v>
      </c>
      <c r="D207" s="328"/>
      <c r="E207" s="325">
        <f>SUM('ADICIONES  2021'!C207:N207)</f>
        <v>5432385663</v>
      </c>
      <c r="F207" s="278"/>
      <c r="G207" s="278"/>
      <c r="H207" s="278"/>
      <c r="I207" s="278"/>
      <c r="J207" s="278"/>
      <c r="K207" s="276">
        <f t="shared" si="468"/>
        <v>5432385663</v>
      </c>
      <c r="L207" s="278"/>
      <c r="M207" s="278"/>
      <c r="N207" s="278"/>
      <c r="O207" s="278"/>
      <c r="P207" s="278"/>
      <c r="Q207" s="278"/>
      <c r="R207" s="276">
        <f t="shared" si="338"/>
        <v>0</v>
      </c>
      <c r="S207" s="278"/>
      <c r="T207" s="278"/>
      <c r="U207" s="278"/>
      <c r="V207" s="278"/>
      <c r="W207" s="278">
        <v>5432385663</v>
      </c>
      <c r="X207" s="278"/>
      <c r="Y207" s="278"/>
      <c r="Z207" s="278"/>
      <c r="AA207" s="276">
        <f>SUM(S207:Z207)</f>
        <v>5432385663</v>
      </c>
      <c r="AB207" s="402">
        <f t="shared" si="340"/>
        <v>5432385663</v>
      </c>
      <c r="AC207" s="321">
        <f t="shared" si="341"/>
        <v>1</v>
      </c>
    </row>
    <row r="208" spans="1:29" s="61" customFormat="1" ht="15.75" x14ac:dyDescent="0.2">
      <c r="A208" s="421"/>
      <c r="B208" s="318" t="s">
        <v>635</v>
      </c>
      <c r="C208" s="319" t="s">
        <v>636</v>
      </c>
      <c r="D208" s="283">
        <f>SUM(D209:D212)</f>
        <v>29546422654</v>
      </c>
      <c r="E208" s="322">
        <f>SUM('ADICIONES  2021'!C208:N208)</f>
        <v>0</v>
      </c>
      <c r="F208" s="275">
        <f t="shared" ref="F208:J208" si="471">SUM(F209:F212)</f>
        <v>0</v>
      </c>
      <c r="G208" s="275">
        <f t="shared" si="471"/>
        <v>0</v>
      </c>
      <c r="H208" s="275">
        <f t="shared" si="471"/>
        <v>0</v>
      </c>
      <c r="I208" s="275">
        <f t="shared" si="471"/>
        <v>0</v>
      </c>
      <c r="J208" s="275">
        <f t="shared" si="471"/>
        <v>0</v>
      </c>
      <c r="K208" s="276">
        <f t="shared" si="468"/>
        <v>29546422654</v>
      </c>
      <c r="L208" s="275">
        <f t="shared" ref="L208:Q208" si="472">SUM(L209:L212)</f>
        <v>2689340356</v>
      </c>
      <c r="M208" s="275">
        <f t="shared" si="472"/>
        <v>3121740609</v>
      </c>
      <c r="N208" s="275">
        <f t="shared" si="472"/>
        <v>2232489239</v>
      </c>
      <c r="O208" s="275">
        <f t="shared" si="472"/>
        <v>2465264422</v>
      </c>
      <c r="P208" s="275">
        <f t="shared" si="472"/>
        <v>2281276903</v>
      </c>
      <c r="Q208" s="275">
        <f t="shared" si="472"/>
        <v>2326994969</v>
      </c>
      <c r="R208" s="276">
        <f t="shared" si="338"/>
        <v>15117106498</v>
      </c>
      <c r="S208" s="275">
        <f t="shared" ref="S208:Z208" si="473">SUM(S209:S212)</f>
        <v>2575863018</v>
      </c>
      <c r="T208" s="275">
        <f t="shared" si="473"/>
        <v>2244528451</v>
      </c>
      <c r="U208" s="275">
        <f t="shared" si="473"/>
        <v>3352466797</v>
      </c>
      <c r="V208" s="275">
        <f t="shared" si="473"/>
        <v>2979199898</v>
      </c>
      <c r="W208" s="275">
        <f t="shared" si="473"/>
        <v>1363125944</v>
      </c>
      <c r="X208" s="275">
        <f t="shared" si="473"/>
        <v>1478027618</v>
      </c>
      <c r="Y208" s="275">
        <f t="shared" si="473"/>
        <v>0</v>
      </c>
      <c r="Z208" s="275">
        <f t="shared" si="473"/>
        <v>0</v>
      </c>
      <c r="AA208" s="276">
        <f t="shared" si="354"/>
        <v>13993211726</v>
      </c>
      <c r="AB208" s="402">
        <f t="shared" si="340"/>
        <v>29110318224</v>
      </c>
      <c r="AC208" s="321">
        <f t="shared" si="341"/>
        <v>0.98524002600562</v>
      </c>
    </row>
    <row r="209" spans="1:29" ht="14.25" x14ac:dyDescent="0.2">
      <c r="A209" s="420">
        <v>1</v>
      </c>
      <c r="B209" s="323" t="s">
        <v>637</v>
      </c>
      <c r="C209" s="206" t="s">
        <v>638</v>
      </c>
      <c r="D209" s="324">
        <v>2000000000</v>
      </c>
      <c r="E209" s="325">
        <f>SUM('ADICIONES  2021'!C209:N209)</f>
        <v>0</v>
      </c>
      <c r="F209" s="277"/>
      <c r="G209" s="277"/>
      <c r="H209" s="277"/>
      <c r="I209" s="277"/>
      <c r="J209" s="277"/>
      <c r="K209" s="281">
        <f t="shared" si="468"/>
        <v>2000000000</v>
      </c>
      <c r="L209" s="277">
        <v>0</v>
      </c>
      <c r="M209" s="277">
        <v>250391108</v>
      </c>
      <c r="N209" s="277">
        <v>7595746</v>
      </c>
      <c r="O209" s="277">
        <v>7749123</v>
      </c>
      <c r="P209" s="277">
        <v>7239528</v>
      </c>
      <c r="Q209" s="277">
        <v>7940102</v>
      </c>
      <c r="R209" s="281">
        <f t="shared" ref="R209:R275" si="474">SUM(L209:Q209)</f>
        <v>280915607</v>
      </c>
      <c r="S209" s="277">
        <v>11152333</v>
      </c>
      <c r="T209" s="277">
        <v>7432241</v>
      </c>
      <c r="U209" s="277">
        <v>7089610</v>
      </c>
      <c r="V209" s="277">
        <v>7455059</v>
      </c>
      <c r="W209" s="277">
        <v>7480352</v>
      </c>
      <c r="X209" s="277">
        <v>27124703</v>
      </c>
      <c r="Y209" s="277"/>
      <c r="Z209" s="277"/>
      <c r="AA209" s="281">
        <f t="shared" si="354"/>
        <v>67734298</v>
      </c>
      <c r="AB209" s="403">
        <f t="shared" ref="AB209:AB275" si="475">+R209+AA209</f>
        <v>348649905</v>
      </c>
      <c r="AC209" s="326">
        <f t="shared" si="341"/>
        <v>0.17432495249999999</v>
      </c>
    </row>
    <row r="210" spans="1:29" ht="14.25" x14ac:dyDescent="0.2">
      <c r="A210" s="420">
        <v>1</v>
      </c>
      <c r="B210" s="323" t="s">
        <v>639</v>
      </c>
      <c r="C210" s="206" t="s">
        <v>640</v>
      </c>
      <c r="D210" s="324">
        <v>13813301332</v>
      </c>
      <c r="E210" s="325">
        <f>SUM('ADICIONES  2021'!C210:N210)</f>
        <v>0</v>
      </c>
      <c r="F210" s="277"/>
      <c r="G210" s="277"/>
      <c r="H210" s="277"/>
      <c r="I210" s="277"/>
      <c r="J210" s="277"/>
      <c r="K210" s="281">
        <f t="shared" si="468"/>
        <v>13813301332</v>
      </c>
      <c r="L210" s="277">
        <v>0</v>
      </c>
      <c r="M210" s="277">
        <v>0</v>
      </c>
      <c r="N210" s="277">
        <v>0</v>
      </c>
      <c r="O210" s="277">
        <v>0</v>
      </c>
      <c r="P210" s="277">
        <v>0</v>
      </c>
      <c r="Q210" s="277">
        <v>0</v>
      </c>
      <c r="R210" s="281">
        <f t="shared" si="474"/>
        <v>0</v>
      </c>
      <c r="S210" s="277">
        <v>0</v>
      </c>
      <c r="T210" s="277">
        <v>0</v>
      </c>
      <c r="U210" s="277">
        <v>2670394009</v>
      </c>
      <c r="V210" s="277">
        <v>2686024499</v>
      </c>
      <c r="W210" s="277">
        <v>8388362850</v>
      </c>
      <c r="X210" s="277"/>
      <c r="Y210" s="277"/>
      <c r="Z210" s="277"/>
      <c r="AA210" s="281">
        <f t="shared" si="354"/>
        <v>13744781358</v>
      </c>
      <c r="AB210" s="403">
        <f t="shared" si="475"/>
        <v>13744781358</v>
      </c>
      <c r="AC210" s="326">
        <f t="shared" si="341"/>
        <v>0.9950395656799822</v>
      </c>
    </row>
    <row r="211" spans="1:29" ht="25.5" x14ac:dyDescent="0.2">
      <c r="A211" s="420">
        <v>1</v>
      </c>
      <c r="B211" s="323" t="s">
        <v>641</v>
      </c>
      <c r="C211" s="206" t="s">
        <v>642</v>
      </c>
      <c r="D211" s="324">
        <v>7046121322</v>
      </c>
      <c r="E211" s="325">
        <f>SUM('ADICIONES  2021'!C211:N211)</f>
        <v>0</v>
      </c>
      <c r="F211" s="277"/>
      <c r="G211" s="277"/>
      <c r="H211" s="277"/>
      <c r="I211" s="277"/>
      <c r="J211" s="277"/>
      <c r="K211" s="281">
        <f t="shared" si="468"/>
        <v>7046121322</v>
      </c>
      <c r="L211" s="277">
        <v>1914493529</v>
      </c>
      <c r="M211" s="277">
        <v>1914493529</v>
      </c>
      <c r="N211" s="277">
        <v>1914493529</v>
      </c>
      <c r="O211" s="277">
        <v>1914493529</v>
      </c>
      <c r="P211" s="277">
        <v>1914493529</v>
      </c>
      <c r="Q211" s="277">
        <v>1914493529</v>
      </c>
      <c r="R211" s="281">
        <f t="shared" si="474"/>
        <v>11486961174</v>
      </c>
      <c r="S211" s="277">
        <v>1973761499</v>
      </c>
      <c r="T211" s="277">
        <v>1973761499</v>
      </c>
      <c r="U211" s="277">
        <v>0</v>
      </c>
      <c r="V211" s="277">
        <v>0</v>
      </c>
      <c r="W211" s="277">
        <v>-8388362850</v>
      </c>
      <c r="X211" s="277"/>
      <c r="Y211" s="277"/>
      <c r="Z211" s="277"/>
      <c r="AA211" s="281">
        <f t="shared" si="354"/>
        <v>-4440839852</v>
      </c>
      <c r="AB211" s="403">
        <f t="shared" si="475"/>
        <v>7046121322</v>
      </c>
      <c r="AC211" s="326">
        <f t="shared" si="341"/>
        <v>1</v>
      </c>
    </row>
    <row r="212" spans="1:29" s="61" customFormat="1" ht="15.75" x14ac:dyDescent="0.2">
      <c r="A212" s="421"/>
      <c r="B212" s="318" t="s">
        <v>643</v>
      </c>
      <c r="C212" s="334" t="s">
        <v>644</v>
      </c>
      <c r="D212" s="283">
        <f>SUM(D213:D215)</f>
        <v>6687000000</v>
      </c>
      <c r="E212" s="322">
        <f>SUM('ADICIONES  2021'!C212:N212)</f>
        <v>0</v>
      </c>
      <c r="F212" s="275">
        <f t="shared" ref="F212:J212" si="476">SUM(F213:F215)</f>
        <v>0</v>
      </c>
      <c r="G212" s="275">
        <f t="shared" si="476"/>
        <v>0</v>
      </c>
      <c r="H212" s="275">
        <f t="shared" si="476"/>
        <v>0</v>
      </c>
      <c r="I212" s="275">
        <f t="shared" si="476"/>
        <v>0</v>
      </c>
      <c r="J212" s="275">
        <f t="shared" si="476"/>
        <v>0</v>
      </c>
      <c r="K212" s="276">
        <f t="shared" si="468"/>
        <v>6687000000</v>
      </c>
      <c r="L212" s="275">
        <f t="shared" ref="L212:Q212" si="477">SUM(L213:L215)</f>
        <v>774846827</v>
      </c>
      <c r="M212" s="275">
        <f t="shared" si="477"/>
        <v>956855972</v>
      </c>
      <c r="N212" s="275">
        <f t="shared" si="477"/>
        <v>310399964</v>
      </c>
      <c r="O212" s="275">
        <f t="shared" si="477"/>
        <v>543021770</v>
      </c>
      <c r="P212" s="275">
        <f t="shared" si="477"/>
        <v>359543846</v>
      </c>
      <c r="Q212" s="275">
        <f t="shared" si="477"/>
        <v>404561338</v>
      </c>
      <c r="R212" s="276">
        <f t="shared" si="474"/>
        <v>3349229717</v>
      </c>
      <c r="S212" s="275">
        <f t="shared" ref="S212:Z212" si="478">SUM(S213:S215)</f>
        <v>590949186</v>
      </c>
      <c r="T212" s="275">
        <f t="shared" si="478"/>
        <v>263334711</v>
      </c>
      <c r="U212" s="275">
        <f t="shared" si="478"/>
        <v>674983178</v>
      </c>
      <c r="V212" s="275">
        <f t="shared" si="478"/>
        <v>285720340</v>
      </c>
      <c r="W212" s="275">
        <f t="shared" si="478"/>
        <v>1355645592</v>
      </c>
      <c r="X212" s="275">
        <f t="shared" si="478"/>
        <v>1450902915</v>
      </c>
      <c r="Y212" s="275">
        <f t="shared" si="478"/>
        <v>0</v>
      </c>
      <c r="Z212" s="275">
        <f t="shared" si="478"/>
        <v>0</v>
      </c>
      <c r="AA212" s="276">
        <f t="shared" si="354"/>
        <v>4621535922</v>
      </c>
      <c r="AB212" s="402">
        <f t="shared" si="475"/>
        <v>7970765639</v>
      </c>
      <c r="AC212" s="321">
        <f t="shared" ref="AC212:AC287" si="479">+AB212/K212</f>
        <v>1.1919793089576791</v>
      </c>
    </row>
    <row r="213" spans="1:29" ht="14.25" x14ac:dyDescent="0.2">
      <c r="A213" s="420">
        <v>1</v>
      </c>
      <c r="B213" s="323" t="s">
        <v>645</v>
      </c>
      <c r="C213" s="206" t="s">
        <v>646</v>
      </c>
      <c r="D213" s="332">
        <v>4100000000</v>
      </c>
      <c r="E213" s="325">
        <f>SUM('ADICIONES  2021'!C213:N213)</f>
        <v>0</v>
      </c>
      <c r="F213" s="281"/>
      <c r="G213" s="281"/>
      <c r="H213" s="281"/>
      <c r="I213" s="281"/>
      <c r="J213" s="281"/>
      <c r="K213" s="281">
        <f t="shared" si="468"/>
        <v>4100000000</v>
      </c>
      <c r="L213" s="281">
        <v>323158015</v>
      </c>
      <c r="M213" s="281">
        <v>641354900</v>
      </c>
      <c r="N213" s="281">
        <v>76236793</v>
      </c>
      <c r="O213" s="281">
        <v>382579570</v>
      </c>
      <c r="P213" s="281">
        <v>232838443</v>
      </c>
      <c r="Q213" s="281">
        <v>225772422</v>
      </c>
      <c r="R213" s="281">
        <f t="shared" si="474"/>
        <v>1881940143</v>
      </c>
      <c r="S213" s="281">
        <v>322677630</v>
      </c>
      <c r="T213" s="281">
        <v>128740681</v>
      </c>
      <c r="U213" s="281">
        <v>316514026</v>
      </c>
      <c r="V213" s="281">
        <v>119027600</v>
      </c>
      <c r="W213" s="281">
        <v>668683200</v>
      </c>
      <c r="X213" s="281">
        <v>408559029</v>
      </c>
      <c r="Y213" s="281"/>
      <c r="Z213" s="281"/>
      <c r="AA213" s="281">
        <f t="shared" si="354"/>
        <v>1964202166</v>
      </c>
      <c r="AB213" s="403">
        <f t="shared" si="475"/>
        <v>3846142309</v>
      </c>
      <c r="AC213" s="326">
        <f t="shared" si="479"/>
        <v>0.93808349000000002</v>
      </c>
    </row>
    <row r="214" spans="1:29" ht="14.25" x14ac:dyDescent="0.2">
      <c r="A214" s="420">
        <v>1</v>
      </c>
      <c r="B214" s="323" t="s">
        <v>647</v>
      </c>
      <c r="C214" s="206" t="s">
        <v>648</v>
      </c>
      <c r="D214" s="332">
        <v>57000000</v>
      </c>
      <c r="E214" s="325">
        <f>SUM('ADICIONES  2021'!C214:N214)</f>
        <v>0</v>
      </c>
      <c r="F214" s="281"/>
      <c r="G214" s="281"/>
      <c r="H214" s="281"/>
      <c r="I214" s="281"/>
      <c r="J214" s="281"/>
      <c r="K214" s="281">
        <f t="shared" si="468"/>
        <v>57000000</v>
      </c>
      <c r="L214" s="281">
        <v>1760508</v>
      </c>
      <c r="M214" s="281">
        <v>170172</v>
      </c>
      <c r="N214" s="281">
        <v>510968</v>
      </c>
      <c r="O214" s="281">
        <v>5800</v>
      </c>
      <c r="P214" s="281">
        <v>43240</v>
      </c>
      <c r="Q214" s="281">
        <v>5772168</v>
      </c>
      <c r="R214" s="281">
        <f t="shared" si="474"/>
        <v>8262856</v>
      </c>
      <c r="S214" s="281">
        <v>490100</v>
      </c>
      <c r="T214" s="281">
        <v>78416</v>
      </c>
      <c r="U214" s="281">
        <v>388388</v>
      </c>
      <c r="V214" s="281">
        <v>3803540</v>
      </c>
      <c r="W214" s="281">
        <v>56492</v>
      </c>
      <c r="X214" s="281">
        <v>125000</v>
      </c>
      <c r="Y214" s="281"/>
      <c r="Z214" s="281"/>
      <c r="AA214" s="281">
        <f t="shared" ref="AA214:AA280" si="480">SUM(S214:Z214)</f>
        <v>4941936</v>
      </c>
      <c r="AB214" s="403">
        <f t="shared" si="475"/>
        <v>13204792</v>
      </c>
      <c r="AC214" s="326">
        <f t="shared" si="479"/>
        <v>0.23166301754385965</v>
      </c>
    </row>
    <row r="215" spans="1:29" ht="14.25" x14ac:dyDescent="0.2">
      <c r="A215" s="420">
        <v>1</v>
      </c>
      <c r="B215" s="323" t="s">
        <v>649</v>
      </c>
      <c r="C215" s="206" t="s">
        <v>650</v>
      </c>
      <c r="D215" s="324">
        <v>2530000000</v>
      </c>
      <c r="E215" s="325">
        <f>SUM('ADICIONES  2021'!C215:N215)</f>
        <v>0</v>
      </c>
      <c r="F215" s="277"/>
      <c r="G215" s="277"/>
      <c r="H215" s="277"/>
      <c r="I215" s="277"/>
      <c r="J215" s="277"/>
      <c r="K215" s="281">
        <f t="shared" si="468"/>
        <v>2530000000</v>
      </c>
      <c r="L215" s="277">
        <v>449928304</v>
      </c>
      <c r="M215" s="277">
        <v>315330900</v>
      </c>
      <c r="N215" s="277">
        <v>233652203</v>
      </c>
      <c r="O215" s="277">
        <v>160436400</v>
      </c>
      <c r="P215" s="277">
        <v>126662163</v>
      </c>
      <c r="Q215" s="277">
        <v>173016748</v>
      </c>
      <c r="R215" s="281">
        <f t="shared" si="474"/>
        <v>1459026718</v>
      </c>
      <c r="S215" s="277">
        <v>267781456</v>
      </c>
      <c r="T215" s="277">
        <v>134515614</v>
      </c>
      <c r="U215" s="277">
        <v>358080764</v>
      </c>
      <c r="V215" s="277">
        <v>162889200</v>
      </c>
      <c r="W215" s="277">
        <v>686905900</v>
      </c>
      <c r="X215" s="277">
        <v>1042218886</v>
      </c>
      <c r="Y215" s="277"/>
      <c r="Z215" s="277"/>
      <c r="AA215" s="281">
        <f t="shared" si="480"/>
        <v>2652391820</v>
      </c>
      <c r="AB215" s="403">
        <f t="shared" si="475"/>
        <v>4111418538</v>
      </c>
      <c r="AC215" s="326">
        <f t="shared" si="479"/>
        <v>1.6250666158102767</v>
      </c>
    </row>
    <row r="216" spans="1:29" s="61" customFormat="1" ht="15.75" x14ac:dyDescent="0.2">
      <c r="A216" s="421"/>
      <c r="B216" s="318" t="s">
        <v>651</v>
      </c>
      <c r="C216" s="319" t="s">
        <v>652</v>
      </c>
      <c r="D216" s="283">
        <f>+D217</f>
        <v>10000000000</v>
      </c>
      <c r="E216" s="322">
        <f>SUM('ADICIONES  2021'!C216:N216)</f>
        <v>1506892011.03</v>
      </c>
      <c r="F216" s="275">
        <f t="shared" ref="F216:J216" si="481">+F217</f>
        <v>0</v>
      </c>
      <c r="G216" s="275">
        <f t="shared" si="481"/>
        <v>0</v>
      </c>
      <c r="H216" s="275">
        <f t="shared" si="481"/>
        <v>0</v>
      </c>
      <c r="I216" s="275">
        <f t="shared" si="481"/>
        <v>0</v>
      </c>
      <c r="J216" s="275">
        <f t="shared" si="481"/>
        <v>0</v>
      </c>
      <c r="K216" s="276">
        <f t="shared" si="468"/>
        <v>11506892011.030001</v>
      </c>
      <c r="L216" s="275">
        <f t="shared" ref="L216:Q216" si="482">+L217</f>
        <v>0</v>
      </c>
      <c r="M216" s="275">
        <f t="shared" si="482"/>
        <v>47932431.990000002</v>
      </c>
      <c r="N216" s="275">
        <f t="shared" si="482"/>
        <v>77133104.739999995</v>
      </c>
      <c r="O216" s="275">
        <f t="shared" si="482"/>
        <v>0</v>
      </c>
      <c r="P216" s="275">
        <f t="shared" si="482"/>
        <v>0</v>
      </c>
      <c r="Q216" s="275">
        <f t="shared" si="482"/>
        <v>874307344.50999999</v>
      </c>
      <c r="R216" s="276">
        <f t="shared" si="474"/>
        <v>999372881.24000001</v>
      </c>
      <c r="S216" s="275">
        <f t="shared" ref="S216:Z216" si="483">+S217</f>
        <v>0</v>
      </c>
      <c r="T216" s="275">
        <f t="shared" si="483"/>
        <v>493346800.77999997</v>
      </c>
      <c r="U216" s="275">
        <f t="shared" si="483"/>
        <v>93041740.260000005</v>
      </c>
      <c r="V216" s="275">
        <f t="shared" si="483"/>
        <v>494380682.69</v>
      </c>
      <c r="W216" s="275">
        <f t="shared" si="483"/>
        <v>108285893.29999995</v>
      </c>
      <c r="X216" s="275">
        <f t="shared" si="483"/>
        <v>147935795.06999999</v>
      </c>
      <c r="Y216" s="275">
        <f t="shared" si="483"/>
        <v>0</v>
      </c>
      <c r="Z216" s="275">
        <f t="shared" si="483"/>
        <v>0</v>
      </c>
      <c r="AA216" s="276">
        <f t="shared" si="480"/>
        <v>1336990912.0999999</v>
      </c>
      <c r="AB216" s="402">
        <f t="shared" si="475"/>
        <v>2336363793.3400002</v>
      </c>
      <c r="AC216" s="321">
        <f t="shared" si="479"/>
        <v>0.20304038580534731</v>
      </c>
    </row>
    <row r="217" spans="1:29" s="61" customFormat="1" ht="15.75" x14ac:dyDescent="0.2">
      <c r="A217" s="421"/>
      <c r="B217" s="318" t="s">
        <v>653</v>
      </c>
      <c r="C217" s="319" t="s">
        <v>654</v>
      </c>
      <c r="D217" s="283">
        <f>SUM(D218:D220)</f>
        <v>10000000000</v>
      </c>
      <c r="E217" s="322">
        <f>SUM('ADICIONES  2021'!C217:N217)</f>
        <v>1506892011.03</v>
      </c>
      <c r="F217" s="275">
        <f>SUM(F218:F220)</f>
        <v>0</v>
      </c>
      <c r="G217" s="275">
        <f t="shared" ref="G217:J217" si="484">SUM(G218:G220)</f>
        <v>0</v>
      </c>
      <c r="H217" s="275">
        <f t="shared" si="484"/>
        <v>0</v>
      </c>
      <c r="I217" s="275">
        <f t="shared" si="484"/>
        <v>0</v>
      </c>
      <c r="J217" s="275">
        <f t="shared" si="484"/>
        <v>0</v>
      </c>
      <c r="K217" s="276">
        <f t="shared" si="468"/>
        <v>11506892011.030001</v>
      </c>
      <c r="L217" s="275">
        <f t="shared" ref="L217:Q217" si="485">SUM(L218:L220)</f>
        <v>0</v>
      </c>
      <c r="M217" s="275">
        <f t="shared" si="485"/>
        <v>47932431.990000002</v>
      </c>
      <c r="N217" s="275">
        <f t="shared" si="485"/>
        <v>77133104.739999995</v>
      </c>
      <c r="O217" s="275">
        <f t="shared" si="485"/>
        <v>0</v>
      </c>
      <c r="P217" s="275">
        <f t="shared" si="485"/>
        <v>0</v>
      </c>
      <c r="Q217" s="275">
        <f t="shared" si="485"/>
        <v>874307344.50999999</v>
      </c>
      <c r="R217" s="276">
        <f t="shared" si="474"/>
        <v>999372881.24000001</v>
      </c>
      <c r="S217" s="275">
        <f t="shared" ref="S217:Z217" si="486">SUM(S218:S220)</f>
        <v>0</v>
      </c>
      <c r="T217" s="275">
        <f t="shared" si="486"/>
        <v>493346800.77999997</v>
      </c>
      <c r="U217" s="275">
        <f t="shared" si="486"/>
        <v>93041740.260000005</v>
      </c>
      <c r="V217" s="275">
        <f t="shared" si="486"/>
        <v>494380682.69</v>
      </c>
      <c r="W217" s="275">
        <f t="shared" si="486"/>
        <v>108285893.29999995</v>
      </c>
      <c r="X217" s="275">
        <f t="shared" si="486"/>
        <v>147935795.06999999</v>
      </c>
      <c r="Y217" s="275">
        <f t="shared" si="486"/>
        <v>0</v>
      </c>
      <c r="Z217" s="275">
        <f t="shared" si="486"/>
        <v>0</v>
      </c>
      <c r="AA217" s="276">
        <f t="shared" si="480"/>
        <v>1336990912.0999999</v>
      </c>
      <c r="AB217" s="402">
        <f t="shared" si="475"/>
        <v>2336363793.3400002</v>
      </c>
      <c r="AC217" s="321">
        <f t="shared" si="479"/>
        <v>0.20304038580534731</v>
      </c>
    </row>
    <row r="218" spans="1:29" ht="14.25" x14ac:dyDescent="0.2">
      <c r="A218" s="420">
        <v>1</v>
      </c>
      <c r="B218" s="323" t="s">
        <v>655</v>
      </c>
      <c r="C218" s="206" t="s">
        <v>656</v>
      </c>
      <c r="D218" s="324">
        <v>0</v>
      </c>
      <c r="E218" s="325">
        <f>SUM('ADICIONES  2021'!C218:N218)</f>
        <v>0</v>
      </c>
      <c r="F218" s="277"/>
      <c r="G218" s="277"/>
      <c r="H218" s="277"/>
      <c r="I218" s="277"/>
      <c r="J218" s="277"/>
      <c r="K218" s="281">
        <f t="shared" si="468"/>
        <v>0</v>
      </c>
      <c r="L218" s="277">
        <v>0</v>
      </c>
      <c r="M218" s="277">
        <v>47932431.990000002</v>
      </c>
      <c r="N218" s="277">
        <v>77133104.739999995</v>
      </c>
      <c r="O218" s="277">
        <v>0</v>
      </c>
      <c r="P218" s="277"/>
      <c r="Q218" s="277">
        <v>874307344.50999999</v>
      </c>
      <c r="R218" s="281">
        <f t="shared" si="474"/>
        <v>999372881.24000001</v>
      </c>
      <c r="S218" s="277">
        <v>0</v>
      </c>
      <c r="T218" s="277">
        <v>493346800.77999997</v>
      </c>
      <c r="U218" s="277">
        <v>93041740.260000005</v>
      </c>
      <c r="V218" s="277">
        <v>494380682.69</v>
      </c>
      <c r="W218" s="277">
        <v>-1398606117.73</v>
      </c>
      <c r="X218" s="277">
        <v>147935795.06999999</v>
      </c>
      <c r="Y218" s="277"/>
      <c r="Z218" s="277"/>
      <c r="AA218" s="281">
        <f t="shared" si="480"/>
        <v>-169901098.93000001</v>
      </c>
      <c r="AB218" s="403">
        <f t="shared" si="475"/>
        <v>829471782.30999994</v>
      </c>
      <c r="AC218" s="326">
        <v>0</v>
      </c>
    </row>
    <row r="219" spans="1:29" ht="14.25" x14ac:dyDescent="0.2">
      <c r="A219" s="420">
        <v>1</v>
      </c>
      <c r="B219" s="323" t="s">
        <v>655</v>
      </c>
      <c r="C219" s="206" t="s">
        <v>656</v>
      </c>
      <c r="D219" s="324"/>
      <c r="E219" s="325">
        <f>SUM('ADICIONES  2021'!C219:N219)</f>
        <v>1506892011.03</v>
      </c>
      <c r="F219" s="277"/>
      <c r="G219" s="277"/>
      <c r="H219" s="277"/>
      <c r="I219" s="277"/>
      <c r="J219" s="277"/>
      <c r="K219" s="281">
        <f t="shared" si="468"/>
        <v>1506892011.03</v>
      </c>
      <c r="L219" s="277"/>
      <c r="M219" s="277"/>
      <c r="N219" s="277"/>
      <c r="O219" s="277"/>
      <c r="P219" s="277"/>
      <c r="Q219" s="277"/>
      <c r="R219" s="281">
        <f t="shared" si="474"/>
        <v>0</v>
      </c>
      <c r="S219" s="277"/>
      <c r="T219" s="277"/>
      <c r="U219" s="277"/>
      <c r="V219" s="277"/>
      <c r="W219" s="277">
        <v>1506892011.03</v>
      </c>
      <c r="X219" s="277">
        <v>0</v>
      </c>
      <c r="Y219" s="277"/>
      <c r="Z219" s="277"/>
      <c r="AA219" s="281">
        <f t="shared" si="480"/>
        <v>1506892011.03</v>
      </c>
      <c r="AB219" s="403">
        <f t="shared" si="475"/>
        <v>1506892011.03</v>
      </c>
      <c r="AC219" s="326">
        <v>1</v>
      </c>
    </row>
    <row r="220" spans="1:29" ht="25.5" x14ac:dyDescent="0.2">
      <c r="A220" s="420">
        <v>1</v>
      </c>
      <c r="B220" s="323" t="s">
        <v>657</v>
      </c>
      <c r="C220" s="206" t="s">
        <v>658</v>
      </c>
      <c r="D220" s="324">
        <v>10000000000</v>
      </c>
      <c r="E220" s="325">
        <f>SUM('ADICIONES  2021'!C220:N220)</f>
        <v>0</v>
      </c>
      <c r="F220" s="281"/>
      <c r="G220" s="281"/>
      <c r="H220" s="281"/>
      <c r="I220" s="281"/>
      <c r="J220" s="281"/>
      <c r="K220" s="281">
        <f t="shared" si="468"/>
        <v>10000000000</v>
      </c>
      <c r="L220" s="281">
        <v>0</v>
      </c>
      <c r="M220" s="281">
        <v>0</v>
      </c>
      <c r="N220" s="281">
        <v>0</v>
      </c>
      <c r="O220" s="281">
        <v>0</v>
      </c>
      <c r="P220" s="281"/>
      <c r="Q220" s="281">
        <v>0</v>
      </c>
      <c r="R220" s="281">
        <f t="shared" si="474"/>
        <v>0</v>
      </c>
      <c r="S220" s="281">
        <v>0</v>
      </c>
      <c r="T220" s="281">
        <v>0</v>
      </c>
      <c r="U220" s="281">
        <v>0</v>
      </c>
      <c r="V220" s="281">
        <v>0</v>
      </c>
      <c r="W220" s="281">
        <v>0</v>
      </c>
      <c r="X220" s="281">
        <v>0</v>
      </c>
      <c r="Y220" s="281"/>
      <c r="Z220" s="281"/>
      <c r="AA220" s="281">
        <f t="shared" si="480"/>
        <v>0</v>
      </c>
      <c r="AB220" s="403">
        <f t="shared" si="475"/>
        <v>0</v>
      </c>
      <c r="AC220" s="326">
        <f t="shared" si="479"/>
        <v>0</v>
      </c>
    </row>
    <row r="221" spans="1:29" s="61" customFormat="1" ht="15.75" x14ac:dyDescent="0.2">
      <c r="A221" s="421"/>
      <c r="B221" s="318" t="s">
        <v>659</v>
      </c>
      <c r="C221" s="319" t="s">
        <v>660</v>
      </c>
      <c r="D221" s="283">
        <f>+D222</f>
        <v>10852525000</v>
      </c>
      <c r="E221" s="322">
        <f>SUM('ADICIONES  2021'!C221:N221)</f>
        <v>0</v>
      </c>
      <c r="F221" s="275">
        <f t="shared" ref="F221:J223" si="487">+F222</f>
        <v>0</v>
      </c>
      <c r="G221" s="275">
        <f t="shared" si="487"/>
        <v>0</v>
      </c>
      <c r="H221" s="275">
        <f t="shared" si="487"/>
        <v>0</v>
      </c>
      <c r="I221" s="275">
        <f t="shared" si="487"/>
        <v>0</v>
      </c>
      <c r="J221" s="275">
        <f t="shared" si="487"/>
        <v>0</v>
      </c>
      <c r="K221" s="276">
        <f t="shared" si="468"/>
        <v>10852525000</v>
      </c>
      <c r="L221" s="275">
        <f t="shared" ref="L221:Q223" si="488">+L222</f>
        <v>2049544273.3199999</v>
      </c>
      <c r="M221" s="275">
        <f t="shared" si="488"/>
        <v>284517805.75920004</v>
      </c>
      <c r="N221" s="275">
        <f t="shared" si="488"/>
        <v>1538455203.9090004</v>
      </c>
      <c r="O221" s="275">
        <f t="shared" si="488"/>
        <v>18575260.469999999</v>
      </c>
      <c r="P221" s="275">
        <f t="shared" si="488"/>
        <v>413440660.61999995</v>
      </c>
      <c r="Q221" s="275">
        <f t="shared" si="488"/>
        <v>639021396.77999997</v>
      </c>
      <c r="R221" s="276">
        <f t="shared" si="474"/>
        <v>4943554600.8582001</v>
      </c>
      <c r="S221" s="275">
        <f t="shared" ref="S221:Z223" si="489">+S222</f>
        <v>1695978999.0000002</v>
      </c>
      <c r="T221" s="275">
        <f t="shared" si="489"/>
        <v>251134638.30000001</v>
      </c>
      <c r="U221" s="275">
        <f t="shared" si="489"/>
        <v>2247003365.4900002</v>
      </c>
      <c r="V221" s="275">
        <f t="shared" si="489"/>
        <v>564191404.92000008</v>
      </c>
      <c r="W221" s="275">
        <f t="shared" si="489"/>
        <v>1743878652.7500002</v>
      </c>
      <c r="X221" s="275">
        <f t="shared" si="489"/>
        <v>317341897.47000003</v>
      </c>
      <c r="Y221" s="275">
        <f t="shared" si="489"/>
        <v>82528859.209999993</v>
      </c>
      <c r="Z221" s="275">
        <f t="shared" si="489"/>
        <v>0</v>
      </c>
      <c r="AA221" s="276">
        <f t="shared" si="480"/>
        <v>6902057817.1400013</v>
      </c>
      <c r="AB221" s="402">
        <f t="shared" si="475"/>
        <v>11845612417.998201</v>
      </c>
      <c r="AC221" s="321">
        <f t="shared" si="479"/>
        <v>1.0915074987616431</v>
      </c>
    </row>
    <row r="222" spans="1:29" s="61" customFormat="1" ht="38.25" x14ac:dyDescent="0.2">
      <c r="A222" s="421">
        <v>1</v>
      </c>
      <c r="B222" s="318" t="s">
        <v>661</v>
      </c>
      <c r="C222" s="319" t="s">
        <v>662</v>
      </c>
      <c r="D222" s="283">
        <f>+D223</f>
        <v>10852525000</v>
      </c>
      <c r="E222" s="322">
        <f>SUM('ADICIONES  2021'!C222:N222)</f>
        <v>0</v>
      </c>
      <c r="F222" s="275">
        <f t="shared" si="487"/>
        <v>0</v>
      </c>
      <c r="G222" s="275">
        <f t="shared" si="487"/>
        <v>0</v>
      </c>
      <c r="H222" s="275">
        <f t="shared" si="487"/>
        <v>0</v>
      </c>
      <c r="I222" s="275">
        <f t="shared" si="487"/>
        <v>0</v>
      </c>
      <c r="J222" s="275">
        <f t="shared" si="487"/>
        <v>0</v>
      </c>
      <c r="K222" s="276">
        <f t="shared" si="468"/>
        <v>10852525000</v>
      </c>
      <c r="L222" s="275">
        <f t="shared" si="488"/>
        <v>2049544273.3199999</v>
      </c>
      <c r="M222" s="275">
        <f t="shared" si="488"/>
        <v>284517805.75920004</v>
      </c>
      <c r="N222" s="275">
        <f t="shared" si="488"/>
        <v>1538455203.9090004</v>
      </c>
      <c r="O222" s="275">
        <f t="shared" si="488"/>
        <v>18575260.469999999</v>
      </c>
      <c r="P222" s="275">
        <f t="shared" si="488"/>
        <v>413440660.61999995</v>
      </c>
      <c r="Q222" s="275">
        <f t="shared" si="488"/>
        <v>639021396.77999997</v>
      </c>
      <c r="R222" s="276">
        <f t="shared" si="474"/>
        <v>4943554600.8582001</v>
      </c>
      <c r="S222" s="275">
        <f t="shared" si="489"/>
        <v>1695978999.0000002</v>
      </c>
      <c r="T222" s="275">
        <f t="shared" si="489"/>
        <v>251134638.30000001</v>
      </c>
      <c r="U222" s="275">
        <f t="shared" si="489"/>
        <v>2247003365.4900002</v>
      </c>
      <c r="V222" s="275">
        <f t="shared" si="489"/>
        <v>564191404.92000008</v>
      </c>
      <c r="W222" s="275">
        <f t="shared" si="489"/>
        <v>1743878652.7500002</v>
      </c>
      <c r="X222" s="275">
        <f t="shared" si="489"/>
        <v>317341897.47000003</v>
      </c>
      <c r="Y222" s="275">
        <f t="shared" si="489"/>
        <v>82528859.209999993</v>
      </c>
      <c r="Z222" s="275">
        <f t="shared" si="489"/>
        <v>0</v>
      </c>
      <c r="AA222" s="276">
        <f t="shared" si="480"/>
        <v>6902057817.1400013</v>
      </c>
      <c r="AB222" s="402">
        <f t="shared" si="475"/>
        <v>11845612417.998201</v>
      </c>
      <c r="AC222" s="321">
        <f t="shared" si="479"/>
        <v>1.0915074987616431</v>
      </c>
    </row>
    <row r="223" spans="1:29" s="61" customFormat="1" ht="25.5" x14ac:dyDescent="0.2">
      <c r="A223" s="421"/>
      <c r="B223" s="318" t="s">
        <v>663</v>
      </c>
      <c r="C223" s="319" t="s">
        <v>664</v>
      </c>
      <c r="D223" s="283">
        <f>+D224</f>
        <v>10852525000</v>
      </c>
      <c r="E223" s="322">
        <f>SUM('ADICIONES  2021'!C223:N223)</f>
        <v>0</v>
      </c>
      <c r="F223" s="275">
        <f t="shared" si="487"/>
        <v>0</v>
      </c>
      <c r="G223" s="275">
        <f t="shared" si="487"/>
        <v>0</v>
      </c>
      <c r="H223" s="275">
        <f t="shared" si="487"/>
        <v>0</v>
      </c>
      <c r="I223" s="275">
        <f t="shared" si="487"/>
        <v>0</v>
      </c>
      <c r="J223" s="275">
        <f t="shared" si="487"/>
        <v>0</v>
      </c>
      <c r="K223" s="276">
        <f t="shared" si="468"/>
        <v>10852525000</v>
      </c>
      <c r="L223" s="275">
        <f t="shared" si="488"/>
        <v>2049544273.3199999</v>
      </c>
      <c r="M223" s="275">
        <f t="shared" si="488"/>
        <v>284517805.75920004</v>
      </c>
      <c r="N223" s="275">
        <f t="shared" si="488"/>
        <v>1538455203.9090004</v>
      </c>
      <c r="O223" s="275">
        <f t="shared" si="488"/>
        <v>18575260.469999999</v>
      </c>
      <c r="P223" s="275">
        <f t="shared" si="488"/>
        <v>413440660.61999995</v>
      </c>
      <c r="Q223" s="275">
        <f t="shared" si="488"/>
        <v>639021396.77999997</v>
      </c>
      <c r="R223" s="276">
        <f t="shared" si="474"/>
        <v>4943554600.8582001</v>
      </c>
      <c r="S223" s="275">
        <f t="shared" si="489"/>
        <v>1695978999.0000002</v>
      </c>
      <c r="T223" s="275">
        <f t="shared" si="489"/>
        <v>251134638.30000001</v>
      </c>
      <c r="U223" s="275">
        <f t="shared" si="489"/>
        <v>2247003365.4900002</v>
      </c>
      <c r="V223" s="275">
        <f t="shared" si="489"/>
        <v>564191404.92000008</v>
      </c>
      <c r="W223" s="275">
        <f t="shared" si="489"/>
        <v>1743878652.7500002</v>
      </c>
      <c r="X223" s="275">
        <f t="shared" si="489"/>
        <v>317341897.47000003</v>
      </c>
      <c r="Y223" s="275">
        <f t="shared" si="489"/>
        <v>82528859.209999993</v>
      </c>
      <c r="Z223" s="275">
        <f t="shared" si="489"/>
        <v>0</v>
      </c>
      <c r="AA223" s="276">
        <f t="shared" si="480"/>
        <v>6902057817.1400013</v>
      </c>
      <c r="AB223" s="402">
        <f t="shared" si="475"/>
        <v>11845612417.998201</v>
      </c>
      <c r="AC223" s="321">
        <f t="shared" si="479"/>
        <v>1.0915074987616431</v>
      </c>
    </row>
    <row r="224" spans="1:29" s="61" customFormat="1" ht="25.5" x14ac:dyDescent="0.2">
      <c r="A224" s="421"/>
      <c r="B224" s="318" t="s">
        <v>665</v>
      </c>
      <c r="C224" s="319" t="s">
        <v>666</v>
      </c>
      <c r="D224" s="283">
        <f>+D225+D236</f>
        <v>10852525000</v>
      </c>
      <c r="E224" s="322">
        <f>SUM('ADICIONES  2021'!C224:N224)</f>
        <v>0</v>
      </c>
      <c r="F224" s="275">
        <f t="shared" ref="F224:J224" si="490">+F225+F236</f>
        <v>0</v>
      </c>
      <c r="G224" s="275">
        <f t="shared" si="490"/>
        <v>0</v>
      </c>
      <c r="H224" s="275">
        <f t="shared" si="490"/>
        <v>0</v>
      </c>
      <c r="I224" s="275">
        <f t="shared" si="490"/>
        <v>0</v>
      </c>
      <c r="J224" s="275">
        <f t="shared" si="490"/>
        <v>0</v>
      </c>
      <c r="K224" s="276">
        <f t="shared" si="468"/>
        <v>10852525000</v>
      </c>
      <c r="L224" s="275">
        <f t="shared" ref="L224:Q224" si="491">+L225+L236</f>
        <v>2049544273.3199999</v>
      </c>
      <c r="M224" s="275">
        <f t="shared" si="491"/>
        <v>284517805.75920004</v>
      </c>
      <c r="N224" s="275">
        <f t="shared" si="491"/>
        <v>1538455203.9090004</v>
      </c>
      <c r="O224" s="275">
        <f t="shared" si="491"/>
        <v>18575260.469999999</v>
      </c>
      <c r="P224" s="275">
        <f t="shared" si="491"/>
        <v>413440660.61999995</v>
      </c>
      <c r="Q224" s="275">
        <f t="shared" si="491"/>
        <v>639021396.77999997</v>
      </c>
      <c r="R224" s="276">
        <f t="shared" si="474"/>
        <v>4943554600.8582001</v>
      </c>
      <c r="S224" s="275">
        <f t="shared" ref="S224:Z224" si="492">+S225+S236</f>
        <v>1695978999.0000002</v>
      </c>
      <c r="T224" s="275">
        <f t="shared" si="492"/>
        <v>251134638.30000001</v>
      </c>
      <c r="U224" s="275">
        <f t="shared" si="492"/>
        <v>2247003365.4900002</v>
      </c>
      <c r="V224" s="275">
        <f t="shared" si="492"/>
        <v>564191404.92000008</v>
      </c>
      <c r="W224" s="275">
        <f t="shared" si="492"/>
        <v>1743878652.7500002</v>
      </c>
      <c r="X224" s="275">
        <f t="shared" si="492"/>
        <v>317341897.47000003</v>
      </c>
      <c r="Y224" s="275">
        <f t="shared" si="492"/>
        <v>82528859.209999993</v>
      </c>
      <c r="Z224" s="275">
        <f t="shared" si="492"/>
        <v>0</v>
      </c>
      <c r="AA224" s="276">
        <f t="shared" si="480"/>
        <v>6902057817.1400013</v>
      </c>
      <c r="AB224" s="402">
        <f t="shared" si="475"/>
        <v>11845612417.998201</v>
      </c>
      <c r="AC224" s="321">
        <f t="shared" si="479"/>
        <v>1.0915074987616431</v>
      </c>
    </row>
    <row r="225" spans="1:29" s="61" customFormat="1" ht="25.5" x14ac:dyDescent="0.2">
      <c r="A225" s="421"/>
      <c r="B225" s="318" t="s">
        <v>667</v>
      </c>
      <c r="C225" s="319" t="s">
        <v>668</v>
      </c>
      <c r="D225" s="283">
        <f>SUM(D226:D235)</f>
        <v>7804967500</v>
      </c>
      <c r="E225" s="322">
        <f>SUM('ADICIONES  2021'!C225:N225)</f>
        <v>0</v>
      </c>
      <c r="F225" s="276"/>
      <c r="G225" s="276"/>
      <c r="H225" s="276"/>
      <c r="I225" s="276"/>
      <c r="J225" s="276"/>
      <c r="K225" s="276">
        <f t="shared" si="468"/>
        <v>7804967500</v>
      </c>
      <c r="L225" s="275">
        <f t="shared" ref="L225:S225" si="493">SUM(L226:L235)</f>
        <v>2049544273.3199999</v>
      </c>
      <c r="M225" s="275">
        <f t="shared" si="493"/>
        <v>284517805.75920004</v>
      </c>
      <c r="N225" s="275">
        <f t="shared" si="493"/>
        <v>1538455203.9090004</v>
      </c>
      <c r="O225" s="275">
        <f t="shared" si="493"/>
        <v>18575260.469999999</v>
      </c>
      <c r="P225" s="275">
        <f t="shared" si="493"/>
        <v>413440660.61999995</v>
      </c>
      <c r="Q225" s="275">
        <f t="shared" si="493"/>
        <v>639021396.77999997</v>
      </c>
      <c r="R225" s="276">
        <f t="shared" si="474"/>
        <v>4943554600.8582001</v>
      </c>
      <c r="S225" s="275">
        <f t="shared" si="493"/>
        <v>1695978999.0000002</v>
      </c>
      <c r="T225" s="275">
        <f t="shared" ref="T225:Y225" si="494">SUM(T226:T235)</f>
        <v>251134638.30000001</v>
      </c>
      <c r="U225" s="275">
        <f t="shared" si="494"/>
        <v>2247003365.4900002</v>
      </c>
      <c r="V225" s="275">
        <f t="shared" si="494"/>
        <v>564191404.92000008</v>
      </c>
      <c r="W225" s="275">
        <f t="shared" si="494"/>
        <v>1743878652.7500002</v>
      </c>
      <c r="X225" s="275">
        <f t="shared" si="494"/>
        <v>317341897.47000003</v>
      </c>
      <c r="Y225" s="275">
        <f t="shared" si="494"/>
        <v>82528859.209999993</v>
      </c>
      <c r="Z225" s="275"/>
      <c r="AA225" s="275">
        <f t="shared" si="480"/>
        <v>6902057817.1400013</v>
      </c>
      <c r="AB225" s="402">
        <f t="shared" si="475"/>
        <v>11845612417.998201</v>
      </c>
      <c r="AC225" s="321">
        <f t="shared" si="479"/>
        <v>1.5177016967717292</v>
      </c>
    </row>
    <row r="226" spans="1:29" ht="38.25" hidden="1" x14ac:dyDescent="0.2">
      <c r="B226" s="323" t="s">
        <v>669</v>
      </c>
      <c r="C226" s="206" t="s">
        <v>279</v>
      </c>
      <c r="D226" s="324"/>
      <c r="E226" s="325">
        <f>SUM('ADICIONES  2021'!C226:N226)</f>
        <v>0</v>
      </c>
      <c r="F226" s="277">
        <f>+F225*0%</f>
        <v>0</v>
      </c>
      <c r="G226" s="277">
        <f t="shared" ref="G226:J226" si="495">+G225*0%</f>
        <v>0</v>
      </c>
      <c r="H226" s="277">
        <f t="shared" si="495"/>
        <v>0</v>
      </c>
      <c r="I226" s="277">
        <f t="shared" si="495"/>
        <v>0</v>
      </c>
      <c r="J226" s="277">
        <f t="shared" si="495"/>
        <v>0</v>
      </c>
      <c r="K226" s="281">
        <f t="shared" si="468"/>
        <v>0</v>
      </c>
      <c r="L226" s="277">
        <f>1211239200*0%</f>
        <v>0</v>
      </c>
      <c r="M226" s="277">
        <f>322089552*0%</f>
        <v>0</v>
      </c>
      <c r="N226" s="277">
        <f>1741614540*0%</f>
        <v>0</v>
      </c>
      <c r="O226" s="277">
        <f>21028200*0%</f>
        <v>0</v>
      </c>
      <c r="P226" s="277">
        <f>468037200*0%</f>
        <v>0</v>
      </c>
      <c r="Q226" s="277">
        <f>723406800*0%</f>
        <v>0</v>
      </c>
      <c r="R226" s="281">
        <f t="shared" si="474"/>
        <v>0</v>
      </c>
      <c r="S226" s="277">
        <f>1919940000*0%</f>
        <v>0</v>
      </c>
      <c r="T226" s="277">
        <f>284298000*0%</f>
        <v>0</v>
      </c>
      <c r="U226" s="277">
        <f>2543729400*0%</f>
        <v>0</v>
      </c>
      <c r="V226" s="277">
        <f>638695200*0%</f>
        <v>0</v>
      </c>
      <c r="W226" s="277">
        <f>1974165000*0%</f>
        <v>0</v>
      </c>
      <c r="X226" s="277">
        <f>359248200*0%</f>
        <v>0</v>
      </c>
      <c r="Y226" s="277"/>
      <c r="Z226" s="277">
        <f t="shared" ref="Z226" si="496">+Z225*0%</f>
        <v>0</v>
      </c>
      <c r="AA226" s="281">
        <f t="shared" si="480"/>
        <v>0</v>
      </c>
      <c r="AB226" s="403">
        <f t="shared" si="475"/>
        <v>0</v>
      </c>
      <c r="AC226" s="326" t="e">
        <f t="shared" si="479"/>
        <v>#DIV/0!</v>
      </c>
    </row>
    <row r="227" spans="1:29" ht="38.25" hidden="1" x14ac:dyDescent="0.2">
      <c r="B227" s="323" t="s">
        <v>670</v>
      </c>
      <c r="C227" s="206" t="s">
        <v>280</v>
      </c>
      <c r="D227" s="324">
        <v>0</v>
      </c>
      <c r="E227" s="325">
        <f>SUM('ADICIONES  2021'!C227:N227)</f>
        <v>0</v>
      </c>
      <c r="F227" s="277">
        <f>+F225*0%</f>
        <v>0</v>
      </c>
      <c r="G227" s="277">
        <f t="shared" ref="G227:J227" si="497">+G225*0%</f>
        <v>0</v>
      </c>
      <c r="H227" s="277">
        <f t="shared" si="497"/>
        <v>0</v>
      </c>
      <c r="I227" s="277">
        <f t="shared" si="497"/>
        <v>0</v>
      </c>
      <c r="J227" s="277">
        <f t="shared" si="497"/>
        <v>0</v>
      </c>
      <c r="K227" s="281">
        <f t="shared" si="468"/>
        <v>0</v>
      </c>
      <c r="L227" s="277">
        <f>1211239200*0%</f>
        <v>0</v>
      </c>
      <c r="M227" s="277">
        <f>322089552*0%</f>
        <v>0</v>
      </c>
      <c r="N227" s="277">
        <f>1741614540*0%</f>
        <v>0</v>
      </c>
      <c r="O227" s="277">
        <f>21028200*0%</f>
        <v>0</v>
      </c>
      <c r="P227" s="277">
        <f>468037200*0%</f>
        <v>0</v>
      </c>
      <c r="Q227" s="277">
        <f>723406800*0%</f>
        <v>0</v>
      </c>
      <c r="R227" s="281">
        <f t="shared" si="474"/>
        <v>0</v>
      </c>
      <c r="S227" s="277">
        <f>1919940000*0%</f>
        <v>0</v>
      </c>
      <c r="T227" s="277">
        <f>284298000*0%</f>
        <v>0</v>
      </c>
      <c r="U227" s="277">
        <f>2543729400*0%</f>
        <v>0</v>
      </c>
      <c r="V227" s="277">
        <f>638695200*0%</f>
        <v>0</v>
      </c>
      <c r="W227" s="277">
        <f>1974165000*0%</f>
        <v>0</v>
      </c>
      <c r="X227" s="277">
        <f>359248200*0%</f>
        <v>0</v>
      </c>
      <c r="Y227" s="277"/>
      <c r="Z227" s="277">
        <f t="shared" ref="Z227" si="498">+Z225*0%</f>
        <v>0</v>
      </c>
      <c r="AA227" s="281">
        <f t="shared" si="480"/>
        <v>0</v>
      </c>
      <c r="AB227" s="403">
        <f t="shared" si="475"/>
        <v>0</v>
      </c>
      <c r="AC227" s="326" t="e">
        <f t="shared" si="479"/>
        <v>#DIV/0!</v>
      </c>
    </row>
    <row r="228" spans="1:29" ht="38.25" x14ac:dyDescent="0.2">
      <c r="B228" s="323" t="s">
        <v>671</v>
      </c>
      <c r="C228" s="206" t="s">
        <v>672</v>
      </c>
      <c r="D228" s="324">
        <v>939032499.99999976</v>
      </c>
      <c r="E228" s="325">
        <f>SUM('ADICIONES  2021'!C228:N228)</f>
        <v>0</v>
      </c>
      <c r="F228" s="277">
        <f>+F225*11.665%</f>
        <v>0</v>
      </c>
      <c r="G228" s="277">
        <f t="shared" ref="G228:J228" si="499">+G225*11.665%</f>
        <v>0</v>
      </c>
      <c r="H228" s="277">
        <f t="shared" si="499"/>
        <v>0</v>
      </c>
      <c r="I228" s="277">
        <f t="shared" si="499"/>
        <v>0</v>
      </c>
      <c r="J228" s="277">
        <f t="shared" si="499"/>
        <v>0</v>
      </c>
      <c r="K228" s="281">
        <f t="shared" si="468"/>
        <v>939032499.99999976</v>
      </c>
      <c r="L228" s="277">
        <f>1211239200*11.665%</f>
        <v>141291052.67999998</v>
      </c>
      <c r="M228" s="277">
        <f>322089552*11.665%</f>
        <v>37571746.240799993</v>
      </c>
      <c r="N228" s="277">
        <f>1741614540*11.665%</f>
        <v>203159336.09099999</v>
      </c>
      <c r="O228" s="277">
        <f>21028200*11.665%</f>
        <v>2452939.5299999998</v>
      </c>
      <c r="P228" s="277">
        <f>468037200*11.665%</f>
        <v>54596539.379999995</v>
      </c>
      <c r="Q228" s="277">
        <f>723406800*11.665%</f>
        <v>84385403.219999999</v>
      </c>
      <c r="R228" s="281">
        <f t="shared" si="474"/>
        <v>523457017.14179993</v>
      </c>
      <c r="S228" s="277">
        <f>1919940000*11.665%</f>
        <v>223961000.99999997</v>
      </c>
      <c r="T228" s="277">
        <f>284298000*11.665%</f>
        <v>33163361.699999996</v>
      </c>
      <c r="U228" s="277">
        <f>2543729400*11.665%</f>
        <v>296726034.50999999</v>
      </c>
      <c r="V228" s="277">
        <f>638695200*11.665%</f>
        <v>74503795.079999998</v>
      </c>
      <c r="W228" s="277">
        <f>1974165000*11.665%</f>
        <v>230286347.24999997</v>
      </c>
      <c r="X228" s="277">
        <f>359248200*11.665%</f>
        <v>41906302.529999994</v>
      </c>
      <c r="Y228" s="277">
        <v>82528859.209999993</v>
      </c>
      <c r="Z228" s="277">
        <f t="shared" ref="Z228" si="500">+Z225*11.665%</f>
        <v>0</v>
      </c>
      <c r="AA228" s="281">
        <f t="shared" si="480"/>
        <v>983075701.27999997</v>
      </c>
      <c r="AB228" s="403">
        <f t="shared" si="475"/>
        <v>1506532718.4217999</v>
      </c>
      <c r="AC228" s="326">
        <f t="shared" si="479"/>
        <v>1.6043456626067791</v>
      </c>
    </row>
    <row r="229" spans="1:29" ht="38.25" x14ac:dyDescent="0.2">
      <c r="B229" s="323" t="s">
        <v>673</v>
      </c>
      <c r="C229" s="206" t="s">
        <v>674</v>
      </c>
      <c r="D229" s="324">
        <v>694000000</v>
      </c>
      <c r="E229" s="325">
        <f>SUM('ADICIONES  2021'!C229:N229)</f>
        <v>0</v>
      </c>
      <c r="F229" s="277">
        <f>+F225*0%</f>
        <v>0</v>
      </c>
      <c r="G229" s="277">
        <f t="shared" ref="G229:J229" si="501">+G225*0%</f>
        <v>0</v>
      </c>
      <c r="H229" s="277">
        <f t="shared" si="501"/>
        <v>0</v>
      </c>
      <c r="I229" s="277">
        <f t="shared" si="501"/>
        <v>0</v>
      </c>
      <c r="J229" s="277">
        <f t="shared" si="501"/>
        <v>0</v>
      </c>
      <c r="K229" s="281">
        <f t="shared" si="468"/>
        <v>694000000</v>
      </c>
      <c r="L229" s="277">
        <v>979596126</v>
      </c>
      <c r="M229" s="277">
        <v>0</v>
      </c>
      <c r="N229" s="277">
        <v>0</v>
      </c>
      <c r="O229" s="277"/>
      <c r="P229" s="277"/>
      <c r="Q229" s="277"/>
      <c r="R229" s="281">
        <f t="shared" si="474"/>
        <v>979596126</v>
      </c>
      <c r="S229" s="277"/>
      <c r="T229" s="277"/>
      <c r="U229" s="277"/>
      <c r="V229" s="277"/>
      <c r="W229" s="277"/>
      <c r="X229" s="277"/>
      <c r="Y229" s="277"/>
      <c r="Z229" s="277"/>
      <c r="AA229" s="281">
        <f t="shared" si="480"/>
        <v>0</v>
      </c>
      <c r="AB229" s="403">
        <f t="shared" si="475"/>
        <v>979596126</v>
      </c>
      <c r="AC229" s="326">
        <v>0</v>
      </c>
    </row>
    <row r="230" spans="1:29" ht="38.25" x14ac:dyDescent="0.2">
      <c r="B230" s="323" t="s">
        <v>675</v>
      </c>
      <c r="C230" s="206" t="s">
        <v>676</v>
      </c>
      <c r="D230" s="324">
        <v>4890066193.0966997</v>
      </c>
      <c r="E230" s="325">
        <f>SUM('ADICIONES  2021'!C230:N230)</f>
        <v>0</v>
      </c>
      <c r="F230" s="277">
        <f>+F225*60.7461638894%</f>
        <v>0</v>
      </c>
      <c r="G230" s="277">
        <f t="shared" ref="G230:J230" si="502">+G225*60.7461638894%</f>
        <v>0</v>
      </c>
      <c r="H230" s="277">
        <f t="shared" si="502"/>
        <v>0</v>
      </c>
      <c r="I230" s="277">
        <f t="shared" si="502"/>
        <v>0</v>
      </c>
      <c r="J230" s="277">
        <f t="shared" si="502"/>
        <v>0</v>
      </c>
      <c r="K230" s="281">
        <f t="shared" si="468"/>
        <v>4890066193.0966997</v>
      </c>
      <c r="L230" s="277">
        <f>1211239200*60.7461638894%</f>
        <v>735781349.52465749</v>
      </c>
      <c r="M230" s="277">
        <f>322089552*60.7461638894%</f>
        <v>195657047.12855425</v>
      </c>
      <c r="N230" s="277">
        <f>1741614540*60.7461638894%</f>
        <v>1057964022.79002</v>
      </c>
      <c r="O230" s="277">
        <f>21028200*60.7461638894%</f>
        <v>12773824.834990812</v>
      </c>
      <c r="P230" s="277">
        <f>468037200*60.7461638894%</f>
        <v>284314644.57535887</v>
      </c>
      <c r="Q230" s="277">
        <f>723406800*60.7461638894%</f>
        <v>439441880.31506413</v>
      </c>
      <c r="R230" s="281">
        <f t="shared" si="474"/>
        <v>2725932769.1686454</v>
      </c>
      <c r="S230" s="277">
        <f>1919940000*60.7461638894%</f>
        <v>1166289898.9781466</v>
      </c>
      <c r="T230" s="277">
        <f>284298000*60.7461638894%</f>
        <v>172700129.01428643</v>
      </c>
      <c r="U230" s="277">
        <f>2543729400*60.7461638894%</f>
        <v>1545218030.2268515</v>
      </c>
      <c r="V230" s="277">
        <f>638695200*60.7461638894%</f>
        <v>387982832.94573116</v>
      </c>
      <c r="W230" s="277">
        <f>1974165000*60.7461638894%</f>
        <v>1199229506.3471737</v>
      </c>
      <c r="X230" s="277">
        <f>359248200*60.7461638894%</f>
        <v>218229500.34171951</v>
      </c>
      <c r="Y230" s="277"/>
      <c r="Z230" s="277">
        <f t="shared" ref="Z230" si="503">+Z225*60.7461638894%</f>
        <v>0</v>
      </c>
      <c r="AA230" s="281">
        <f t="shared" si="480"/>
        <v>4689649897.8539095</v>
      </c>
      <c r="AB230" s="403">
        <f t="shared" si="475"/>
        <v>7415582667.0225544</v>
      </c>
      <c r="AC230" s="326">
        <v>0</v>
      </c>
    </row>
    <row r="231" spans="1:29" ht="38.25" x14ac:dyDescent="0.2">
      <c r="B231" s="323" t="s">
        <v>677</v>
      </c>
      <c r="C231" s="206" t="s">
        <v>678</v>
      </c>
      <c r="D231" s="324">
        <v>6171935</v>
      </c>
      <c r="E231" s="325">
        <f>SUM('ADICIONES  2021'!C231:N231)</f>
        <v>0</v>
      </c>
      <c r="F231" s="277">
        <f>+F225*0.07667%</f>
        <v>0</v>
      </c>
      <c r="G231" s="277">
        <f t="shared" ref="G231:J231" si="504">+G225*0.07667%</f>
        <v>0</v>
      </c>
      <c r="H231" s="277">
        <f t="shared" si="504"/>
        <v>0</v>
      </c>
      <c r="I231" s="277">
        <f t="shared" si="504"/>
        <v>0</v>
      </c>
      <c r="J231" s="277">
        <f t="shared" si="504"/>
        <v>0</v>
      </c>
      <c r="K231" s="281">
        <f t="shared" si="468"/>
        <v>6171935</v>
      </c>
      <c r="L231" s="277">
        <f>1211239200*0.07667%</f>
        <v>928657.09464000002</v>
      </c>
      <c r="M231" s="277">
        <f>322089552*0.07667%</f>
        <v>246946.05951840003</v>
      </c>
      <c r="N231" s="277">
        <f>1741614540*0.07667%</f>
        <v>1335295.867818</v>
      </c>
      <c r="O231" s="277">
        <f>21028200*0.07667%</f>
        <v>16122.320940000001</v>
      </c>
      <c r="P231" s="277">
        <f>468037200*0.07667%</f>
        <v>358844.12124000001</v>
      </c>
      <c r="Q231" s="277">
        <f>723406800*0.07667%</f>
        <v>554635.99355999997</v>
      </c>
      <c r="R231" s="281">
        <f t="shared" si="474"/>
        <v>3440501.4577164003</v>
      </c>
      <c r="S231" s="277">
        <f>1919940000*0.07667%</f>
        <v>1472017.9980000001</v>
      </c>
      <c r="T231" s="277">
        <f>284298000*0.07667%</f>
        <v>217971.27660000001</v>
      </c>
      <c r="U231" s="277">
        <f>2543729400*0.07667%</f>
        <v>1950277.3309800001</v>
      </c>
      <c r="V231" s="277">
        <f>638695200*0.07667%</f>
        <v>489687.60984000005</v>
      </c>
      <c r="W231" s="277">
        <f>1974165000*0.07667%</f>
        <v>1513592.3055</v>
      </c>
      <c r="X231" s="277">
        <f>359248200*0.07667%</f>
        <v>275435.59494000004</v>
      </c>
      <c r="Y231" s="277"/>
      <c r="Z231" s="277">
        <f t="shared" ref="Z231" si="505">+Z225*0.07667%</f>
        <v>0</v>
      </c>
      <c r="AA231" s="281">
        <f t="shared" si="480"/>
        <v>5918982.1158600003</v>
      </c>
      <c r="AB231" s="403">
        <f t="shared" si="475"/>
        <v>9359483.5735764001</v>
      </c>
      <c r="AC231" s="326">
        <f t="shared" si="479"/>
        <v>1.5164585455900621</v>
      </c>
    </row>
    <row r="232" spans="1:29" ht="38.25" x14ac:dyDescent="0.2">
      <c r="B232" s="323" t="s">
        <v>679</v>
      </c>
      <c r="C232" s="206" t="s">
        <v>282</v>
      </c>
      <c r="D232" s="324">
        <v>616576306.5</v>
      </c>
      <c r="E232" s="325">
        <f>SUM('ADICIONES  2021'!C232:N232)</f>
        <v>0</v>
      </c>
      <c r="F232" s="277">
        <f>+F225*7.659333%</f>
        <v>0</v>
      </c>
      <c r="G232" s="277">
        <f t="shared" ref="G232:J232" si="506">+G225*7.659333%</f>
        <v>0</v>
      </c>
      <c r="H232" s="277">
        <f t="shared" si="506"/>
        <v>0</v>
      </c>
      <c r="I232" s="277">
        <f t="shared" si="506"/>
        <v>0</v>
      </c>
      <c r="J232" s="277">
        <f t="shared" si="506"/>
        <v>0</v>
      </c>
      <c r="K232" s="281">
        <f t="shared" si="468"/>
        <v>616576306.5</v>
      </c>
      <c r="L232" s="277">
        <f>1211239200*7.659333%</f>
        <v>92772843.754536003</v>
      </c>
      <c r="M232" s="277">
        <f>322089552*7.659333%</f>
        <v>24669911.34588816</v>
      </c>
      <c r="N232" s="277">
        <f>1741614540*7.659333%</f>
        <v>133396057.1950182</v>
      </c>
      <c r="O232" s="277">
        <f>21028200*7.659333%</f>
        <v>1610619.8619059999</v>
      </c>
      <c r="P232" s="277">
        <f>468037200*7.659333%</f>
        <v>35848527.711875997</v>
      </c>
      <c r="Q232" s="277">
        <f>723406800*7.659333%</f>
        <v>55408135.756644003</v>
      </c>
      <c r="R232" s="281">
        <f t="shared" si="474"/>
        <v>343706095.62586838</v>
      </c>
      <c r="S232" s="277">
        <f>1919940000*7.659333%</f>
        <v>147054598.0002</v>
      </c>
      <c r="T232" s="277">
        <f>284298000*7.659333%</f>
        <v>21775330.532340001</v>
      </c>
      <c r="U232" s="277">
        <f>2543729400*7.659333%</f>
        <v>194832705.36490199</v>
      </c>
      <c r="V232" s="277">
        <f>638695200*7.659333%</f>
        <v>48919792.223016001</v>
      </c>
      <c r="W232" s="277">
        <f>1974165000*7.659333%</f>
        <v>151207871.31944999</v>
      </c>
      <c r="X232" s="277">
        <f>359248200*7.659333%</f>
        <v>27516015.934505999</v>
      </c>
      <c r="Y232" s="277"/>
      <c r="Z232" s="277">
        <f t="shared" ref="Z232" si="507">+Z225*7.659333%</f>
        <v>0</v>
      </c>
      <c r="AA232" s="281">
        <f t="shared" si="480"/>
        <v>591306313.37441397</v>
      </c>
      <c r="AB232" s="403">
        <f t="shared" si="475"/>
        <v>935012409.00028229</v>
      </c>
      <c r="AC232" s="326">
        <f t="shared" si="479"/>
        <v>1.5164585455900621</v>
      </c>
    </row>
    <row r="233" spans="1:29" ht="38.25" x14ac:dyDescent="0.2">
      <c r="B233" s="323" t="s">
        <v>680</v>
      </c>
      <c r="C233" s="206" t="s">
        <v>283</v>
      </c>
      <c r="D233" s="324">
        <v>110983735.17</v>
      </c>
      <c r="E233" s="325">
        <f>SUM('ADICIONES  2021'!C233:N233)</f>
        <v>0</v>
      </c>
      <c r="F233" s="277">
        <f>+F225*1.37867994%</f>
        <v>0</v>
      </c>
      <c r="G233" s="277">
        <f t="shared" ref="G233:J233" si="508">+G225*1.37867994%</f>
        <v>0</v>
      </c>
      <c r="H233" s="277">
        <f t="shared" si="508"/>
        <v>0</v>
      </c>
      <c r="I233" s="277">
        <f t="shared" si="508"/>
        <v>0</v>
      </c>
      <c r="J233" s="277">
        <f t="shared" si="508"/>
        <v>0</v>
      </c>
      <c r="K233" s="281">
        <f t="shared" si="468"/>
        <v>110983735.17</v>
      </c>
      <c r="L233" s="277">
        <f>1211239200*1.37867994%</f>
        <v>16699111.875816481</v>
      </c>
      <c r="M233" s="277">
        <f>322089552*1.37867994%</f>
        <v>4440584.0422598692</v>
      </c>
      <c r="N233" s="277">
        <f>1741614540*1.37867994%</f>
        <v>24011290.295103278</v>
      </c>
      <c r="O233" s="277">
        <f>21028200*1.37867994%</f>
        <v>289911.57514308003</v>
      </c>
      <c r="P233" s="277">
        <f>468037200*1.37867994%</f>
        <v>6452734.9881376801</v>
      </c>
      <c r="Q233" s="277">
        <f>723406800*1.37867994%</f>
        <v>9973464.4361959212</v>
      </c>
      <c r="R233" s="281">
        <f t="shared" si="474"/>
        <v>61867097.212656304</v>
      </c>
      <c r="S233" s="277">
        <f>1919940000*1.37867994%</f>
        <v>26469827.640036002</v>
      </c>
      <c r="T233" s="277">
        <f>284298000*1.37867994%</f>
        <v>3919559.4958212003</v>
      </c>
      <c r="U233" s="277">
        <f>2543729400*1.37867994%</f>
        <v>35069886.965682365</v>
      </c>
      <c r="V233" s="277">
        <f>638695200*1.37867994%</f>
        <v>8805562.6001428813</v>
      </c>
      <c r="W233" s="277">
        <f>1974165000*1.37867994%</f>
        <v>27217416.837501001</v>
      </c>
      <c r="X233" s="277">
        <f>359248200*1.37867994%</f>
        <v>4952882.8682110803</v>
      </c>
      <c r="Y233" s="277"/>
      <c r="Z233" s="277">
        <f t="shared" ref="Z233" si="509">+Z225*1.37867994%</f>
        <v>0</v>
      </c>
      <c r="AA233" s="281">
        <f t="shared" si="480"/>
        <v>106435136.40739453</v>
      </c>
      <c r="AB233" s="403">
        <f t="shared" si="475"/>
        <v>168302233.62005085</v>
      </c>
      <c r="AC233" s="326">
        <f t="shared" si="479"/>
        <v>1.5164585455900623</v>
      </c>
    </row>
    <row r="234" spans="1:29" ht="38.25" x14ac:dyDescent="0.2">
      <c r="B234" s="323" t="s">
        <v>681</v>
      </c>
      <c r="C234" s="206" t="s">
        <v>682</v>
      </c>
      <c r="D234" s="324">
        <v>54382030.2333</v>
      </c>
      <c r="E234" s="325">
        <f>SUM('ADICIONES  2021'!C234:N234)</f>
        <v>0</v>
      </c>
      <c r="F234" s="277">
        <f>+F225*0.6755531706%</f>
        <v>0</v>
      </c>
      <c r="G234" s="277">
        <f t="shared" ref="G234:J234" si="510">+G225*0.6755531706%</f>
        <v>0</v>
      </c>
      <c r="H234" s="277">
        <f t="shared" si="510"/>
        <v>0</v>
      </c>
      <c r="I234" s="277">
        <f t="shared" si="510"/>
        <v>0</v>
      </c>
      <c r="J234" s="277">
        <f t="shared" si="510"/>
        <v>0</v>
      </c>
      <c r="K234" s="281">
        <f t="shared" si="468"/>
        <v>54382030.2333</v>
      </c>
      <c r="L234" s="277">
        <f>1211239200*0.6755531706%</f>
        <v>8182564.8191500753</v>
      </c>
      <c r="M234" s="277">
        <f>322089552*0.6755531706%</f>
        <v>2175886.1807073359</v>
      </c>
      <c r="N234" s="277">
        <f>1741614540*0.6755531706%</f>
        <v>11765532.244600605</v>
      </c>
      <c r="O234" s="277">
        <f>21028200*0.6755531706%</f>
        <v>142056.67182010922</v>
      </c>
      <c r="P234" s="277">
        <f>468037200*0.6755531706%</f>
        <v>3161840.1441874634</v>
      </c>
      <c r="Q234" s="277">
        <f>723406800*0.6755531706%</f>
        <v>4886997.5737360008</v>
      </c>
      <c r="R234" s="281">
        <f t="shared" si="474"/>
        <v>30314877.63420159</v>
      </c>
      <c r="S234" s="277">
        <f>1919940000*0.6755531706%</f>
        <v>12970215.54361764</v>
      </c>
      <c r="T234" s="277">
        <f>284298000*0.6755531706%</f>
        <v>1920584.1529523882</v>
      </c>
      <c r="U234" s="277">
        <f>2543729400*0.6755531706%</f>
        <v>17184244.613184355</v>
      </c>
      <c r="V234" s="277">
        <f>638695200*0.6755531706%</f>
        <v>4314725.6740700109</v>
      </c>
      <c r="W234" s="277">
        <f>1974165000*0.6755531706%</f>
        <v>13336534.250375491</v>
      </c>
      <c r="X234" s="277">
        <f>359248200*0.6755531706%</f>
        <v>2426912.605423429</v>
      </c>
      <c r="Y234" s="277"/>
      <c r="Z234" s="277">
        <f t="shared" ref="Z234" si="511">+Z225*0.6755531706%</f>
        <v>0</v>
      </c>
      <c r="AA234" s="281">
        <f t="shared" si="480"/>
        <v>52153216.83962331</v>
      </c>
      <c r="AB234" s="403">
        <f t="shared" si="475"/>
        <v>82468094.473824903</v>
      </c>
      <c r="AC234" s="326">
        <f t="shared" si="479"/>
        <v>1.5164585455900621</v>
      </c>
    </row>
    <row r="235" spans="1:29" ht="38.25" x14ac:dyDescent="0.2">
      <c r="B235" s="323" t="s">
        <v>683</v>
      </c>
      <c r="C235" s="206" t="s">
        <v>684</v>
      </c>
      <c r="D235" s="324">
        <v>493754800</v>
      </c>
      <c r="E235" s="325">
        <f>SUM('ADICIONES  2021'!C235:N235)</f>
        <v>0</v>
      </c>
      <c r="F235" s="277">
        <f>+F225*6.1336%</f>
        <v>0</v>
      </c>
      <c r="G235" s="277">
        <f t="shared" ref="G235:J235" si="512">+G225*6.1336%</f>
        <v>0</v>
      </c>
      <c r="H235" s="277">
        <f t="shared" si="512"/>
        <v>0</v>
      </c>
      <c r="I235" s="277">
        <f t="shared" si="512"/>
        <v>0</v>
      </c>
      <c r="J235" s="277">
        <f t="shared" si="512"/>
        <v>0</v>
      </c>
      <c r="K235" s="281">
        <f t="shared" si="468"/>
        <v>493754800</v>
      </c>
      <c r="L235" s="277">
        <f>1211239200*6.1336%</f>
        <v>74292567.571199998</v>
      </c>
      <c r="M235" s="277">
        <f>322089552*6.1336%</f>
        <v>19755684.761472002</v>
      </c>
      <c r="N235" s="277">
        <f>1741614540*6.1336%</f>
        <v>106823669.42544</v>
      </c>
      <c r="O235" s="277">
        <f>21028200*6.1336%</f>
        <v>1289785.6751999999</v>
      </c>
      <c r="P235" s="277">
        <f>468037200*6.1336%</f>
        <v>28707529.699200001</v>
      </c>
      <c r="Q235" s="277">
        <f>723406800*6.1336%</f>
        <v>44370879.484800003</v>
      </c>
      <c r="R235" s="281">
        <f t="shared" si="474"/>
        <v>275240116.61731201</v>
      </c>
      <c r="S235" s="277">
        <f>1919940000*6.1336%</f>
        <v>117761439.84</v>
      </c>
      <c r="T235" s="277">
        <f>284298000*6.1336%</f>
        <v>17437702.127999999</v>
      </c>
      <c r="U235" s="277">
        <f>2543729400*6.1336%</f>
        <v>156022186.47839999</v>
      </c>
      <c r="V235" s="277">
        <f>638695200*6.1336%</f>
        <v>39175008.787200004</v>
      </c>
      <c r="W235" s="277">
        <f>1974165000*6.1336%</f>
        <v>121087384.44</v>
      </c>
      <c r="X235" s="277">
        <f>359248200*6.1336%</f>
        <v>22034847.595200002</v>
      </c>
      <c r="Y235" s="277"/>
      <c r="Z235" s="277">
        <f t="shared" ref="Z235" si="513">+Z225*6.1336%</f>
        <v>0</v>
      </c>
      <c r="AA235" s="281">
        <f t="shared" si="480"/>
        <v>473518569.26880002</v>
      </c>
      <c r="AB235" s="403">
        <f t="shared" si="475"/>
        <v>748758685.88611197</v>
      </c>
      <c r="AC235" s="326">
        <f t="shared" si="479"/>
        <v>1.5164585455900621</v>
      </c>
    </row>
    <row r="236" spans="1:29" s="61" customFormat="1" ht="25.5" x14ac:dyDescent="0.2">
      <c r="A236" s="421"/>
      <c r="B236" s="318" t="s">
        <v>685</v>
      </c>
      <c r="C236" s="319" t="s">
        <v>686</v>
      </c>
      <c r="D236" s="283">
        <f>SUM(D237:D246)</f>
        <v>3047557500</v>
      </c>
      <c r="E236" s="322">
        <f>SUM('ADICIONES  2021'!C236:N236)</f>
        <v>0</v>
      </c>
      <c r="F236" s="275"/>
      <c r="G236" s="275"/>
      <c r="H236" s="275"/>
      <c r="I236" s="275"/>
      <c r="J236" s="275"/>
      <c r="K236" s="276">
        <f t="shared" si="468"/>
        <v>3047557500</v>
      </c>
      <c r="L236" s="275">
        <v>0</v>
      </c>
      <c r="M236" s="275">
        <v>0</v>
      </c>
      <c r="N236" s="275">
        <v>0</v>
      </c>
      <c r="O236" s="275">
        <v>0</v>
      </c>
      <c r="P236" s="275">
        <v>0</v>
      </c>
      <c r="Q236" s="275"/>
      <c r="R236" s="276">
        <f t="shared" si="474"/>
        <v>0</v>
      </c>
      <c r="S236" s="275">
        <v>0</v>
      </c>
      <c r="T236" s="275">
        <v>0</v>
      </c>
      <c r="U236" s="275"/>
      <c r="V236" s="275"/>
      <c r="W236" s="275"/>
      <c r="X236" s="275"/>
      <c r="Y236" s="275"/>
      <c r="Z236" s="275"/>
      <c r="AA236" s="276">
        <f t="shared" si="480"/>
        <v>0</v>
      </c>
      <c r="AB236" s="402">
        <f t="shared" si="475"/>
        <v>0</v>
      </c>
      <c r="AC236" s="321">
        <f t="shared" si="479"/>
        <v>0</v>
      </c>
    </row>
    <row r="237" spans="1:29" ht="38.25" hidden="1" x14ac:dyDescent="0.2">
      <c r="B237" s="323" t="s">
        <v>687</v>
      </c>
      <c r="C237" s="206" t="s">
        <v>279</v>
      </c>
      <c r="D237" s="324"/>
      <c r="E237" s="325">
        <f>SUM('ADICIONES  2021'!C237:N237)</f>
        <v>0</v>
      </c>
      <c r="F237" s="277">
        <f>+F236*0%</f>
        <v>0</v>
      </c>
      <c r="G237" s="277">
        <f t="shared" ref="G237:J237" si="514">+G236*0%</f>
        <v>0</v>
      </c>
      <c r="H237" s="277">
        <f t="shared" si="514"/>
        <v>0</v>
      </c>
      <c r="I237" s="277">
        <f t="shared" si="514"/>
        <v>0</v>
      </c>
      <c r="J237" s="277">
        <f t="shared" si="514"/>
        <v>0</v>
      </c>
      <c r="K237" s="281">
        <f t="shared" si="468"/>
        <v>0</v>
      </c>
      <c r="L237" s="277">
        <f t="shared" ref="L237:Q237" si="515">+L236*0%</f>
        <v>0</v>
      </c>
      <c r="M237" s="277">
        <f t="shared" si="515"/>
        <v>0</v>
      </c>
      <c r="N237" s="277">
        <f t="shared" si="515"/>
        <v>0</v>
      </c>
      <c r="O237" s="277">
        <f t="shared" si="515"/>
        <v>0</v>
      </c>
      <c r="P237" s="277">
        <f t="shared" si="515"/>
        <v>0</v>
      </c>
      <c r="Q237" s="277">
        <f t="shared" si="515"/>
        <v>0</v>
      </c>
      <c r="R237" s="281">
        <f t="shared" si="474"/>
        <v>0</v>
      </c>
      <c r="S237" s="277">
        <f t="shared" ref="S237:Z237" si="516">+S236*0%</f>
        <v>0</v>
      </c>
      <c r="T237" s="277">
        <f t="shared" si="516"/>
        <v>0</v>
      </c>
      <c r="U237" s="277">
        <f t="shared" si="516"/>
        <v>0</v>
      </c>
      <c r="V237" s="277">
        <f t="shared" si="516"/>
        <v>0</v>
      </c>
      <c r="W237" s="277">
        <f t="shared" si="516"/>
        <v>0</v>
      </c>
      <c r="X237" s="277">
        <f t="shared" si="516"/>
        <v>0</v>
      </c>
      <c r="Y237" s="277">
        <f t="shared" si="516"/>
        <v>0</v>
      </c>
      <c r="Z237" s="277">
        <f t="shared" si="516"/>
        <v>0</v>
      </c>
      <c r="AA237" s="281">
        <f t="shared" si="480"/>
        <v>0</v>
      </c>
      <c r="AB237" s="403">
        <f t="shared" si="475"/>
        <v>0</v>
      </c>
      <c r="AC237" s="326" t="e">
        <f t="shared" si="479"/>
        <v>#DIV/0!</v>
      </c>
    </row>
    <row r="238" spans="1:29" ht="38.25" hidden="1" x14ac:dyDescent="0.2">
      <c r="B238" s="323" t="s">
        <v>688</v>
      </c>
      <c r="C238" s="206" t="s">
        <v>280</v>
      </c>
      <c r="D238" s="324">
        <v>0</v>
      </c>
      <c r="E238" s="325">
        <f>SUM('ADICIONES  2021'!C238:N238)</f>
        <v>0</v>
      </c>
      <c r="F238" s="277">
        <f>+F236*0%</f>
        <v>0</v>
      </c>
      <c r="G238" s="277">
        <f t="shared" ref="G238:J238" si="517">+G236*0%</f>
        <v>0</v>
      </c>
      <c r="H238" s="277">
        <f t="shared" si="517"/>
        <v>0</v>
      </c>
      <c r="I238" s="277">
        <f t="shared" si="517"/>
        <v>0</v>
      </c>
      <c r="J238" s="277">
        <f t="shared" si="517"/>
        <v>0</v>
      </c>
      <c r="K238" s="281">
        <f t="shared" si="468"/>
        <v>0</v>
      </c>
      <c r="L238" s="277">
        <f t="shared" ref="L238:Q238" si="518">+L236*0%</f>
        <v>0</v>
      </c>
      <c r="M238" s="277">
        <f t="shared" si="518"/>
        <v>0</v>
      </c>
      <c r="N238" s="277">
        <f t="shared" si="518"/>
        <v>0</v>
      </c>
      <c r="O238" s="277">
        <f t="shared" si="518"/>
        <v>0</v>
      </c>
      <c r="P238" s="277">
        <f t="shared" si="518"/>
        <v>0</v>
      </c>
      <c r="Q238" s="277">
        <f t="shared" si="518"/>
        <v>0</v>
      </c>
      <c r="R238" s="281">
        <f t="shared" si="474"/>
        <v>0</v>
      </c>
      <c r="S238" s="277">
        <f t="shared" ref="S238:Z238" si="519">+S236*0%</f>
        <v>0</v>
      </c>
      <c r="T238" s="277">
        <f t="shared" si="519"/>
        <v>0</v>
      </c>
      <c r="U238" s="277">
        <f t="shared" si="519"/>
        <v>0</v>
      </c>
      <c r="V238" s="277">
        <f t="shared" si="519"/>
        <v>0</v>
      </c>
      <c r="W238" s="277">
        <f t="shared" si="519"/>
        <v>0</v>
      </c>
      <c r="X238" s="277">
        <f t="shared" si="519"/>
        <v>0</v>
      </c>
      <c r="Y238" s="277">
        <f t="shared" si="519"/>
        <v>0</v>
      </c>
      <c r="Z238" s="277">
        <f t="shared" si="519"/>
        <v>0</v>
      </c>
      <c r="AA238" s="281">
        <f t="shared" si="480"/>
        <v>0</v>
      </c>
      <c r="AB238" s="403">
        <f t="shared" si="475"/>
        <v>0</v>
      </c>
      <c r="AC238" s="326" t="e">
        <f t="shared" si="479"/>
        <v>#DIV/0!</v>
      </c>
    </row>
    <row r="239" spans="1:29" ht="38.25" x14ac:dyDescent="0.2">
      <c r="B239" s="323" t="s">
        <v>689</v>
      </c>
      <c r="C239" s="206" t="s">
        <v>672</v>
      </c>
      <c r="D239" s="324">
        <v>402442499.99999994</v>
      </c>
      <c r="E239" s="325">
        <f>SUM('ADICIONES  2021'!C239:N239)</f>
        <v>0</v>
      </c>
      <c r="F239" s="277">
        <f>+F236*11.665%</f>
        <v>0</v>
      </c>
      <c r="G239" s="277">
        <f t="shared" ref="G239:J239" si="520">+G236*11.665%</f>
        <v>0</v>
      </c>
      <c r="H239" s="277">
        <f t="shared" si="520"/>
        <v>0</v>
      </c>
      <c r="I239" s="277">
        <f t="shared" si="520"/>
        <v>0</v>
      </c>
      <c r="J239" s="277">
        <f t="shared" si="520"/>
        <v>0</v>
      </c>
      <c r="K239" s="281">
        <f t="shared" si="468"/>
        <v>402442499.99999994</v>
      </c>
      <c r="L239" s="277">
        <f t="shared" ref="L239:Q239" si="521">+L236*11.665%</f>
        <v>0</v>
      </c>
      <c r="M239" s="277">
        <f t="shared" si="521"/>
        <v>0</v>
      </c>
      <c r="N239" s="277">
        <f t="shared" si="521"/>
        <v>0</v>
      </c>
      <c r="O239" s="277">
        <f t="shared" si="521"/>
        <v>0</v>
      </c>
      <c r="P239" s="277">
        <f t="shared" si="521"/>
        <v>0</v>
      </c>
      <c r="Q239" s="277">
        <f t="shared" si="521"/>
        <v>0</v>
      </c>
      <c r="R239" s="281">
        <f t="shared" si="474"/>
        <v>0</v>
      </c>
      <c r="S239" s="277">
        <f t="shared" ref="S239:Z239" si="522">+S236*11.665%</f>
        <v>0</v>
      </c>
      <c r="T239" s="277">
        <f t="shared" si="522"/>
        <v>0</v>
      </c>
      <c r="U239" s="277">
        <f t="shared" si="522"/>
        <v>0</v>
      </c>
      <c r="V239" s="277">
        <f t="shared" si="522"/>
        <v>0</v>
      </c>
      <c r="W239" s="277">
        <f t="shared" si="522"/>
        <v>0</v>
      </c>
      <c r="X239" s="277">
        <f t="shared" si="522"/>
        <v>0</v>
      </c>
      <c r="Y239" s="277">
        <f t="shared" si="522"/>
        <v>0</v>
      </c>
      <c r="Z239" s="277">
        <f t="shared" si="522"/>
        <v>0</v>
      </c>
      <c r="AA239" s="281">
        <f t="shared" si="480"/>
        <v>0</v>
      </c>
      <c r="AB239" s="403">
        <f t="shared" si="475"/>
        <v>0</v>
      </c>
      <c r="AC239" s="326">
        <f t="shared" si="479"/>
        <v>0</v>
      </c>
    </row>
    <row r="240" spans="1:29" ht="38.25" hidden="1" x14ac:dyDescent="0.2">
      <c r="B240" s="323" t="s">
        <v>690</v>
      </c>
      <c r="C240" s="206" t="s">
        <v>674</v>
      </c>
      <c r="D240" s="324">
        <v>0</v>
      </c>
      <c r="E240" s="325">
        <f>SUM('ADICIONES  2021'!C240:N240)</f>
        <v>0</v>
      </c>
      <c r="F240" s="277">
        <f>+F236*0%</f>
        <v>0</v>
      </c>
      <c r="G240" s="277">
        <f t="shared" ref="G240:J240" si="523">+G236*0%</f>
        <v>0</v>
      </c>
      <c r="H240" s="277">
        <f t="shared" si="523"/>
        <v>0</v>
      </c>
      <c r="I240" s="277">
        <f t="shared" si="523"/>
        <v>0</v>
      </c>
      <c r="J240" s="277">
        <f t="shared" si="523"/>
        <v>0</v>
      </c>
      <c r="K240" s="281">
        <f t="shared" si="468"/>
        <v>0</v>
      </c>
      <c r="L240" s="277">
        <f t="shared" ref="L240:Q240" si="524">+L236*0%</f>
        <v>0</v>
      </c>
      <c r="M240" s="277">
        <f t="shared" si="524"/>
        <v>0</v>
      </c>
      <c r="N240" s="277">
        <f t="shared" si="524"/>
        <v>0</v>
      </c>
      <c r="O240" s="277">
        <f t="shared" si="524"/>
        <v>0</v>
      </c>
      <c r="P240" s="277">
        <f t="shared" si="524"/>
        <v>0</v>
      </c>
      <c r="Q240" s="277">
        <f t="shared" si="524"/>
        <v>0</v>
      </c>
      <c r="R240" s="281">
        <f t="shared" si="474"/>
        <v>0</v>
      </c>
      <c r="S240" s="277">
        <f t="shared" ref="S240:Z240" si="525">+S236*0%</f>
        <v>0</v>
      </c>
      <c r="T240" s="277">
        <f t="shared" si="525"/>
        <v>0</v>
      </c>
      <c r="U240" s="277">
        <f t="shared" si="525"/>
        <v>0</v>
      </c>
      <c r="V240" s="277">
        <f t="shared" si="525"/>
        <v>0</v>
      </c>
      <c r="W240" s="277">
        <f t="shared" si="525"/>
        <v>0</v>
      </c>
      <c r="X240" s="277">
        <f t="shared" si="525"/>
        <v>0</v>
      </c>
      <c r="Y240" s="277">
        <f t="shared" si="525"/>
        <v>0</v>
      </c>
      <c r="Z240" s="277">
        <f t="shared" si="525"/>
        <v>0</v>
      </c>
      <c r="AA240" s="281">
        <f t="shared" si="480"/>
        <v>0</v>
      </c>
      <c r="AB240" s="403">
        <f t="shared" si="475"/>
        <v>0</v>
      </c>
      <c r="AC240" s="326" t="e">
        <f t="shared" si="479"/>
        <v>#DIV/0!</v>
      </c>
    </row>
    <row r="241" spans="1:29" ht="38.25" x14ac:dyDescent="0.2">
      <c r="B241" s="323" t="s">
        <v>691</v>
      </c>
      <c r="C241" s="206" t="s">
        <v>281</v>
      </c>
      <c r="D241" s="324">
        <v>2095742654.1842999</v>
      </c>
      <c r="E241" s="325">
        <f>SUM('ADICIONES  2021'!C241:N241)</f>
        <v>0</v>
      </c>
      <c r="F241" s="277">
        <f>+F236*60.7461638894%</f>
        <v>0</v>
      </c>
      <c r="G241" s="277">
        <f t="shared" ref="G241:J241" si="526">+G236*60.7461638894%</f>
        <v>0</v>
      </c>
      <c r="H241" s="277">
        <f t="shared" si="526"/>
        <v>0</v>
      </c>
      <c r="I241" s="277">
        <f t="shared" si="526"/>
        <v>0</v>
      </c>
      <c r="J241" s="277">
        <f t="shared" si="526"/>
        <v>0</v>
      </c>
      <c r="K241" s="281">
        <f t="shared" si="468"/>
        <v>2095742654.1842999</v>
      </c>
      <c r="L241" s="277">
        <f t="shared" ref="L241:Q241" si="527">+L236*60.7461638894%</f>
        <v>0</v>
      </c>
      <c r="M241" s="277">
        <f t="shared" si="527"/>
        <v>0</v>
      </c>
      <c r="N241" s="277">
        <f t="shared" si="527"/>
        <v>0</v>
      </c>
      <c r="O241" s="277">
        <f t="shared" si="527"/>
        <v>0</v>
      </c>
      <c r="P241" s="277">
        <f t="shared" si="527"/>
        <v>0</v>
      </c>
      <c r="Q241" s="277">
        <f t="shared" si="527"/>
        <v>0</v>
      </c>
      <c r="R241" s="281">
        <f t="shared" si="474"/>
        <v>0</v>
      </c>
      <c r="S241" s="277">
        <f t="shared" ref="S241:Z241" si="528">+S236*60.7461638894%</f>
        <v>0</v>
      </c>
      <c r="T241" s="277">
        <f t="shared" si="528"/>
        <v>0</v>
      </c>
      <c r="U241" s="277">
        <f t="shared" si="528"/>
        <v>0</v>
      </c>
      <c r="V241" s="277">
        <f t="shared" si="528"/>
        <v>0</v>
      </c>
      <c r="W241" s="277">
        <f t="shared" si="528"/>
        <v>0</v>
      </c>
      <c r="X241" s="277">
        <f t="shared" si="528"/>
        <v>0</v>
      </c>
      <c r="Y241" s="277">
        <f t="shared" si="528"/>
        <v>0</v>
      </c>
      <c r="Z241" s="277">
        <f t="shared" si="528"/>
        <v>0</v>
      </c>
      <c r="AA241" s="281">
        <f t="shared" si="480"/>
        <v>0</v>
      </c>
      <c r="AB241" s="403">
        <f t="shared" si="475"/>
        <v>0</v>
      </c>
      <c r="AC241" s="326">
        <f t="shared" si="479"/>
        <v>0</v>
      </c>
    </row>
    <row r="242" spans="1:29" ht="38.25" x14ac:dyDescent="0.2">
      <c r="B242" s="323" t="s">
        <v>692</v>
      </c>
      <c r="C242" s="206" t="s">
        <v>678</v>
      </c>
      <c r="D242" s="324">
        <v>2645115</v>
      </c>
      <c r="E242" s="325">
        <f>SUM('ADICIONES  2021'!C242:N242)</f>
        <v>0</v>
      </c>
      <c r="F242" s="277">
        <f>+F236*0.07667%</f>
        <v>0</v>
      </c>
      <c r="G242" s="277">
        <f t="shared" ref="G242:J242" si="529">+G236*0.07667%</f>
        <v>0</v>
      </c>
      <c r="H242" s="277">
        <f t="shared" si="529"/>
        <v>0</v>
      </c>
      <c r="I242" s="277">
        <f t="shared" si="529"/>
        <v>0</v>
      </c>
      <c r="J242" s="277">
        <f t="shared" si="529"/>
        <v>0</v>
      </c>
      <c r="K242" s="281">
        <f t="shared" si="468"/>
        <v>2645115</v>
      </c>
      <c r="L242" s="277">
        <f t="shared" ref="L242:Q242" si="530">+L236*0.07667%</f>
        <v>0</v>
      </c>
      <c r="M242" s="277">
        <f t="shared" si="530"/>
        <v>0</v>
      </c>
      <c r="N242" s="277">
        <f t="shared" si="530"/>
        <v>0</v>
      </c>
      <c r="O242" s="277">
        <f t="shared" si="530"/>
        <v>0</v>
      </c>
      <c r="P242" s="277">
        <f t="shared" si="530"/>
        <v>0</v>
      </c>
      <c r="Q242" s="277">
        <f t="shared" si="530"/>
        <v>0</v>
      </c>
      <c r="R242" s="281">
        <f t="shared" si="474"/>
        <v>0</v>
      </c>
      <c r="S242" s="277">
        <f t="shared" ref="S242:Z242" si="531">+S236*0.07667%</f>
        <v>0</v>
      </c>
      <c r="T242" s="277">
        <f t="shared" si="531"/>
        <v>0</v>
      </c>
      <c r="U242" s="277">
        <f t="shared" si="531"/>
        <v>0</v>
      </c>
      <c r="V242" s="277">
        <f t="shared" si="531"/>
        <v>0</v>
      </c>
      <c r="W242" s="277">
        <f t="shared" si="531"/>
        <v>0</v>
      </c>
      <c r="X242" s="277">
        <f t="shared" si="531"/>
        <v>0</v>
      </c>
      <c r="Y242" s="277">
        <f t="shared" si="531"/>
        <v>0</v>
      </c>
      <c r="Z242" s="277">
        <f t="shared" si="531"/>
        <v>0</v>
      </c>
      <c r="AA242" s="281">
        <f t="shared" si="480"/>
        <v>0</v>
      </c>
      <c r="AB242" s="403">
        <f t="shared" si="475"/>
        <v>0</v>
      </c>
      <c r="AC242" s="326">
        <f t="shared" si="479"/>
        <v>0</v>
      </c>
    </row>
    <row r="243" spans="1:29" ht="38.25" x14ac:dyDescent="0.2">
      <c r="B243" s="323" t="s">
        <v>693</v>
      </c>
      <c r="C243" s="206" t="s">
        <v>282</v>
      </c>
      <c r="D243" s="324">
        <v>264246988.5</v>
      </c>
      <c r="E243" s="325">
        <f>SUM('ADICIONES  2021'!C243:N243)</f>
        <v>0</v>
      </c>
      <c r="F243" s="277">
        <f>+F236*7.659333%</f>
        <v>0</v>
      </c>
      <c r="G243" s="277">
        <f t="shared" ref="G243:J243" si="532">+G236*7.659333%</f>
        <v>0</v>
      </c>
      <c r="H243" s="277">
        <f t="shared" si="532"/>
        <v>0</v>
      </c>
      <c r="I243" s="277">
        <f t="shared" si="532"/>
        <v>0</v>
      </c>
      <c r="J243" s="277">
        <f t="shared" si="532"/>
        <v>0</v>
      </c>
      <c r="K243" s="281">
        <f t="shared" si="468"/>
        <v>264246988.5</v>
      </c>
      <c r="L243" s="277">
        <f t="shared" ref="L243:Q243" si="533">+L236*7.659333%</f>
        <v>0</v>
      </c>
      <c r="M243" s="277">
        <f t="shared" si="533"/>
        <v>0</v>
      </c>
      <c r="N243" s="277">
        <f t="shared" si="533"/>
        <v>0</v>
      </c>
      <c r="O243" s="277">
        <f t="shared" si="533"/>
        <v>0</v>
      </c>
      <c r="P243" s="277">
        <f t="shared" si="533"/>
        <v>0</v>
      </c>
      <c r="Q243" s="277">
        <f t="shared" si="533"/>
        <v>0</v>
      </c>
      <c r="R243" s="281">
        <f t="shared" si="474"/>
        <v>0</v>
      </c>
      <c r="S243" s="277">
        <f t="shared" ref="S243:Z243" si="534">+S236*7.659333%</f>
        <v>0</v>
      </c>
      <c r="T243" s="277">
        <f t="shared" si="534"/>
        <v>0</v>
      </c>
      <c r="U243" s="277">
        <f t="shared" si="534"/>
        <v>0</v>
      </c>
      <c r="V243" s="277">
        <f t="shared" si="534"/>
        <v>0</v>
      </c>
      <c r="W243" s="277">
        <f t="shared" si="534"/>
        <v>0</v>
      </c>
      <c r="X243" s="277">
        <f t="shared" si="534"/>
        <v>0</v>
      </c>
      <c r="Y243" s="277">
        <f t="shared" si="534"/>
        <v>0</v>
      </c>
      <c r="Z243" s="277">
        <f t="shared" si="534"/>
        <v>0</v>
      </c>
      <c r="AA243" s="281">
        <f t="shared" si="480"/>
        <v>0</v>
      </c>
      <c r="AB243" s="403">
        <f t="shared" si="475"/>
        <v>0</v>
      </c>
      <c r="AC243" s="326">
        <f t="shared" si="479"/>
        <v>0</v>
      </c>
    </row>
    <row r="244" spans="1:29" ht="38.25" x14ac:dyDescent="0.2">
      <c r="B244" s="323" t="s">
        <v>694</v>
      </c>
      <c r="C244" s="206" t="s">
        <v>283</v>
      </c>
      <c r="D244" s="324">
        <v>47564457.93</v>
      </c>
      <c r="E244" s="325">
        <f>SUM('ADICIONES  2021'!C244:N244)</f>
        <v>0</v>
      </c>
      <c r="F244" s="277">
        <f>+F236*1.37867994%</f>
        <v>0</v>
      </c>
      <c r="G244" s="277">
        <f t="shared" ref="G244:J244" si="535">+G236*1.37867994%</f>
        <v>0</v>
      </c>
      <c r="H244" s="277">
        <f t="shared" si="535"/>
        <v>0</v>
      </c>
      <c r="I244" s="277">
        <f t="shared" si="535"/>
        <v>0</v>
      </c>
      <c r="J244" s="277">
        <f t="shared" si="535"/>
        <v>0</v>
      </c>
      <c r="K244" s="281">
        <f t="shared" si="468"/>
        <v>47564457.93</v>
      </c>
      <c r="L244" s="277">
        <f t="shared" ref="L244:Q244" si="536">+L236*1.37867994%</f>
        <v>0</v>
      </c>
      <c r="M244" s="277">
        <f t="shared" si="536"/>
        <v>0</v>
      </c>
      <c r="N244" s="277">
        <f t="shared" si="536"/>
        <v>0</v>
      </c>
      <c r="O244" s="277">
        <f t="shared" si="536"/>
        <v>0</v>
      </c>
      <c r="P244" s="277">
        <f t="shared" si="536"/>
        <v>0</v>
      </c>
      <c r="Q244" s="277">
        <f t="shared" si="536"/>
        <v>0</v>
      </c>
      <c r="R244" s="281">
        <f t="shared" si="474"/>
        <v>0</v>
      </c>
      <c r="S244" s="277">
        <f t="shared" ref="S244:Z244" si="537">+S236*1.37867994%</f>
        <v>0</v>
      </c>
      <c r="T244" s="277">
        <f t="shared" si="537"/>
        <v>0</v>
      </c>
      <c r="U244" s="277">
        <f t="shared" si="537"/>
        <v>0</v>
      </c>
      <c r="V244" s="277">
        <f t="shared" si="537"/>
        <v>0</v>
      </c>
      <c r="W244" s="277">
        <f t="shared" si="537"/>
        <v>0</v>
      </c>
      <c r="X244" s="277">
        <f t="shared" si="537"/>
        <v>0</v>
      </c>
      <c r="Y244" s="277">
        <f t="shared" si="537"/>
        <v>0</v>
      </c>
      <c r="Z244" s="277">
        <f t="shared" si="537"/>
        <v>0</v>
      </c>
      <c r="AA244" s="281">
        <f t="shared" si="480"/>
        <v>0</v>
      </c>
      <c r="AB244" s="403">
        <f t="shared" si="475"/>
        <v>0</v>
      </c>
      <c r="AC244" s="326">
        <f t="shared" si="479"/>
        <v>0</v>
      </c>
    </row>
    <row r="245" spans="1:29" ht="38.25" x14ac:dyDescent="0.2">
      <c r="B245" s="323" t="s">
        <v>695</v>
      </c>
      <c r="C245" s="206" t="s">
        <v>682</v>
      </c>
      <c r="D245" s="324">
        <v>23306584.385700002</v>
      </c>
      <c r="E245" s="325">
        <f>SUM('ADICIONES  2021'!C245:N245)</f>
        <v>0</v>
      </c>
      <c r="F245" s="277">
        <f>+F236*0.6755531706%</f>
        <v>0</v>
      </c>
      <c r="G245" s="277">
        <f t="shared" ref="G245:J245" si="538">+G236*0.6755531706%</f>
        <v>0</v>
      </c>
      <c r="H245" s="277">
        <f t="shared" si="538"/>
        <v>0</v>
      </c>
      <c r="I245" s="277">
        <f t="shared" si="538"/>
        <v>0</v>
      </c>
      <c r="J245" s="277">
        <f t="shared" si="538"/>
        <v>0</v>
      </c>
      <c r="K245" s="281">
        <f t="shared" si="468"/>
        <v>23306584.385700002</v>
      </c>
      <c r="L245" s="277">
        <f t="shared" ref="L245:Q245" si="539">+L236*0.6755531706%</f>
        <v>0</v>
      </c>
      <c r="M245" s="277">
        <f t="shared" si="539"/>
        <v>0</v>
      </c>
      <c r="N245" s="277">
        <f t="shared" si="539"/>
        <v>0</v>
      </c>
      <c r="O245" s="277">
        <f t="shared" si="539"/>
        <v>0</v>
      </c>
      <c r="P245" s="277">
        <f t="shared" si="539"/>
        <v>0</v>
      </c>
      <c r="Q245" s="277">
        <f t="shared" si="539"/>
        <v>0</v>
      </c>
      <c r="R245" s="281">
        <f t="shared" si="474"/>
        <v>0</v>
      </c>
      <c r="S245" s="277">
        <f t="shared" ref="S245:Z245" si="540">+S236*0.6755531706%</f>
        <v>0</v>
      </c>
      <c r="T245" s="277">
        <f t="shared" si="540"/>
        <v>0</v>
      </c>
      <c r="U245" s="277">
        <f t="shared" si="540"/>
        <v>0</v>
      </c>
      <c r="V245" s="277">
        <f t="shared" si="540"/>
        <v>0</v>
      </c>
      <c r="W245" s="277">
        <f t="shared" si="540"/>
        <v>0</v>
      </c>
      <c r="X245" s="277">
        <f t="shared" si="540"/>
        <v>0</v>
      </c>
      <c r="Y245" s="277">
        <f t="shared" si="540"/>
        <v>0</v>
      </c>
      <c r="Z245" s="277">
        <f t="shared" si="540"/>
        <v>0</v>
      </c>
      <c r="AA245" s="281">
        <f t="shared" si="480"/>
        <v>0</v>
      </c>
      <c r="AB245" s="403">
        <f t="shared" si="475"/>
        <v>0</v>
      </c>
      <c r="AC245" s="326">
        <f t="shared" si="479"/>
        <v>0</v>
      </c>
    </row>
    <row r="246" spans="1:29" ht="38.25" x14ac:dyDescent="0.2">
      <c r="B246" s="323" t="s">
        <v>696</v>
      </c>
      <c r="C246" s="206" t="s">
        <v>684</v>
      </c>
      <c r="D246" s="324">
        <v>211609200</v>
      </c>
      <c r="E246" s="325">
        <f>SUM('ADICIONES  2021'!C246:N246)</f>
        <v>0</v>
      </c>
      <c r="F246" s="277">
        <f>+F236*6.1336%</f>
        <v>0</v>
      </c>
      <c r="G246" s="277">
        <f t="shared" ref="G246:J246" si="541">+G236*6.1336%</f>
        <v>0</v>
      </c>
      <c r="H246" s="277">
        <f t="shared" si="541"/>
        <v>0</v>
      </c>
      <c r="I246" s="277">
        <f t="shared" si="541"/>
        <v>0</v>
      </c>
      <c r="J246" s="277">
        <f t="shared" si="541"/>
        <v>0</v>
      </c>
      <c r="K246" s="281">
        <f t="shared" si="468"/>
        <v>211609200</v>
      </c>
      <c r="L246" s="277">
        <f t="shared" ref="L246:Q246" si="542">+L236*6.1336%</f>
        <v>0</v>
      </c>
      <c r="M246" s="277">
        <f t="shared" si="542"/>
        <v>0</v>
      </c>
      <c r="N246" s="277">
        <f t="shared" si="542"/>
        <v>0</v>
      </c>
      <c r="O246" s="277">
        <f t="shared" si="542"/>
        <v>0</v>
      </c>
      <c r="P246" s="277">
        <f t="shared" si="542"/>
        <v>0</v>
      </c>
      <c r="Q246" s="277">
        <f t="shared" si="542"/>
        <v>0</v>
      </c>
      <c r="R246" s="281">
        <f t="shared" si="474"/>
        <v>0</v>
      </c>
      <c r="S246" s="277">
        <f t="shared" ref="S246:Z246" si="543">+S236*6.1336%</f>
        <v>0</v>
      </c>
      <c r="T246" s="277">
        <f t="shared" si="543"/>
        <v>0</v>
      </c>
      <c r="U246" s="277">
        <f t="shared" si="543"/>
        <v>0</v>
      </c>
      <c r="V246" s="277">
        <f t="shared" si="543"/>
        <v>0</v>
      </c>
      <c r="W246" s="277">
        <f t="shared" si="543"/>
        <v>0</v>
      </c>
      <c r="X246" s="277">
        <f t="shared" si="543"/>
        <v>0</v>
      </c>
      <c r="Y246" s="277">
        <f t="shared" si="543"/>
        <v>0</v>
      </c>
      <c r="Z246" s="277">
        <f t="shared" si="543"/>
        <v>0</v>
      </c>
      <c r="AA246" s="281">
        <f t="shared" si="480"/>
        <v>0</v>
      </c>
      <c r="AB246" s="403">
        <f t="shared" si="475"/>
        <v>0</v>
      </c>
      <c r="AC246" s="326">
        <f t="shared" si="479"/>
        <v>0</v>
      </c>
    </row>
    <row r="247" spans="1:29" s="185" customFormat="1" ht="19.5" x14ac:dyDescent="0.2">
      <c r="A247" s="182">
        <v>1</v>
      </c>
      <c r="B247" s="312" t="s">
        <v>697</v>
      </c>
      <c r="C247" s="313" t="s">
        <v>85</v>
      </c>
      <c r="D247" s="335">
        <f>+D254+D348+D605+D248+D251+D611+D337+D343+D696</f>
        <v>124388897000</v>
      </c>
      <c r="E247" s="320">
        <f>SUM('ADICIONES  2021'!C247:N247)</f>
        <v>361975024458.90991</v>
      </c>
      <c r="F247" s="335">
        <f t="shared" ref="F247:J247" si="544">+F254+F348+F605+F248+F251+F611+F337+F343+F696</f>
        <v>1950062900</v>
      </c>
      <c r="G247" s="335">
        <f t="shared" si="544"/>
        <v>0</v>
      </c>
      <c r="H247" s="335">
        <f t="shared" si="544"/>
        <v>3129206267</v>
      </c>
      <c r="I247" s="335">
        <f t="shared" si="544"/>
        <v>0</v>
      </c>
      <c r="J247" s="335">
        <f t="shared" si="544"/>
        <v>0</v>
      </c>
      <c r="K247" s="316">
        <f t="shared" si="468"/>
        <v>481284652291.90991</v>
      </c>
      <c r="L247" s="335">
        <f t="shared" ref="L247:Q247" si="545">+L254+L348+L605+L248+L251+L611+L337+L343+L696</f>
        <v>434962185.77999991</v>
      </c>
      <c r="M247" s="335">
        <f t="shared" si="545"/>
        <v>599361430.99000013</v>
      </c>
      <c r="N247" s="335">
        <f t="shared" si="545"/>
        <v>8071853555.3299999</v>
      </c>
      <c r="O247" s="335">
        <f t="shared" si="545"/>
        <v>818757609.36999989</v>
      </c>
      <c r="P247" s="335">
        <f t="shared" si="545"/>
        <v>145307816836.19998</v>
      </c>
      <c r="Q247" s="335">
        <f t="shared" si="545"/>
        <v>15022756802.869999</v>
      </c>
      <c r="R247" s="316">
        <f t="shared" si="474"/>
        <v>170255508420.53998</v>
      </c>
      <c r="S247" s="335">
        <f t="shared" ref="S247:Z247" si="546">+S254+S348+S605+S248+S251+S611+S337+S343+S696</f>
        <v>537808084.79999995</v>
      </c>
      <c r="T247" s="335">
        <f t="shared" si="546"/>
        <v>12399937491.67</v>
      </c>
      <c r="U247" s="335">
        <f t="shared" si="546"/>
        <v>27377900434.049999</v>
      </c>
      <c r="V247" s="335">
        <f t="shared" si="546"/>
        <v>369569017.87999994</v>
      </c>
      <c r="W247" s="335">
        <f t="shared" si="546"/>
        <v>27466240891.110001</v>
      </c>
      <c r="X247" s="335">
        <f t="shared" si="546"/>
        <v>66059834453.540001</v>
      </c>
      <c r="Y247" s="335">
        <f t="shared" si="546"/>
        <v>0</v>
      </c>
      <c r="Z247" s="335">
        <f t="shared" si="546"/>
        <v>0</v>
      </c>
      <c r="AA247" s="316">
        <f>SUM(S247:Z247)</f>
        <v>134211290373.04999</v>
      </c>
      <c r="AB247" s="401">
        <f t="shared" si="475"/>
        <v>304466798793.58997</v>
      </c>
      <c r="AC247" s="317">
        <f t="shared" si="479"/>
        <v>0.63261273207798874</v>
      </c>
    </row>
    <row r="248" spans="1:29" s="61" customFormat="1" ht="15.75" hidden="1" x14ac:dyDescent="0.2">
      <c r="A248" s="421"/>
      <c r="B248" s="318" t="s">
        <v>698</v>
      </c>
      <c r="C248" s="319" t="s">
        <v>699</v>
      </c>
      <c r="D248" s="333">
        <f t="shared" ref="D248:S249" si="547">+D249</f>
        <v>0</v>
      </c>
      <c r="E248" s="325">
        <f>SUM('ADICIONES  2021'!C248:N248)</f>
        <v>0</v>
      </c>
      <c r="F248" s="282">
        <f t="shared" si="547"/>
        <v>0</v>
      </c>
      <c r="G248" s="282">
        <f t="shared" si="547"/>
        <v>0</v>
      </c>
      <c r="H248" s="282">
        <f t="shared" si="547"/>
        <v>0</v>
      </c>
      <c r="I248" s="282">
        <f t="shared" si="547"/>
        <v>0</v>
      </c>
      <c r="J248" s="282">
        <f t="shared" si="547"/>
        <v>0</v>
      </c>
      <c r="K248" s="276">
        <f t="shared" si="468"/>
        <v>0</v>
      </c>
      <c r="L248" s="282">
        <f t="shared" si="547"/>
        <v>0</v>
      </c>
      <c r="M248" s="282">
        <f t="shared" si="547"/>
        <v>0</v>
      </c>
      <c r="N248" s="282">
        <f t="shared" si="547"/>
        <v>0</v>
      </c>
      <c r="O248" s="282">
        <f t="shared" si="547"/>
        <v>0</v>
      </c>
      <c r="P248" s="282">
        <f t="shared" si="547"/>
        <v>0</v>
      </c>
      <c r="Q248" s="282">
        <f t="shared" si="547"/>
        <v>0</v>
      </c>
      <c r="R248" s="276">
        <f t="shared" si="474"/>
        <v>0</v>
      </c>
      <c r="S248" s="282">
        <f t="shared" si="547"/>
        <v>0</v>
      </c>
      <c r="T248" s="282">
        <f t="shared" ref="S248:Z249" si="548">+T249</f>
        <v>0</v>
      </c>
      <c r="U248" s="282">
        <f t="shared" si="548"/>
        <v>0</v>
      </c>
      <c r="V248" s="282">
        <f t="shared" si="548"/>
        <v>0</v>
      </c>
      <c r="W248" s="282">
        <f t="shared" si="548"/>
        <v>0</v>
      </c>
      <c r="X248" s="282">
        <f t="shared" si="548"/>
        <v>0</v>
      </c>
      <c r="Y248" s="282">
        <f t="shared" si="548"/>
        <v>0</v>
      </c>
      <c r="Z248" s="282">
        <f t="shared" si="548"/>
        <v>0</v>
      </c>
      <c r="AA248" s="276">
        <f t="shared" si="480"/>
        <v>0</v>
      </c>
      <c r="AB248" s="402">
        <f t="shared" si="475"/>
        <v>0</v>
      </c>
      <c r="AC248" s="321" t="e">
        <f t="shared" si="479"/>
        <v>#DIV/0!</v>
      </c>
    </row>
    <row r="249" spans="1:29" s="61" customFormat="1" ht="25.5" hidden="1" x14ac:dyDescent="0.2">
      <c r="A249" s="421"/>
      <c r="B249" s="318" t="s">
        <v>700</v>
      </c>
      <c r="C249" s="319" t="s">
        <v>701</v>
      </c>
      <c r="D249" s="333">
        <f t="shared" si="547"/>
        <v>0</v>
      </c>
      <c r="E249" s="322">
        <f>SUM('ADICIONES  2021'!C249:N249)</f>
        <v>0</v>
      </c>
      <c r="F249" s="282">
        <f t="shared" si="547"/>
        <v>0</v>
      </c>
      <c r="G249" s="282">
        <f t="shared" si="547"/>
        <v>0</v>
      </c>
      <c r="H249" s="282">
        <f t="shared" si="547"/>
        <v>0</v>
      </c>
      <c r="I249" s="282">
        <f t="shared" si="547"/>
        <v>0</v>
      </c>
      <c r="J249" s="282">
        <f t="shared" si="547"/>
        <v>0</v>
      </c>
      <c r="K249" s="276">
        <f t="shared" si="468"/>
        <v>0</v>
      </c>
      <c r="L249" s="282">
        <f t="shared" si="547"/>
        <v>0</v>
      </c>
      <c r="M249" s="282">
        <f t="shared" si="547"/>
        <v>0</v>
      </c>
      <c r="N249" s="282">
        <f t="shared" si="547"/>
        <v>0</v>
      </c>
      <c r="O249" s="282">
        <f t="shared" si="547"/>
        <v>0</v>
      </c>
      <c r="P249" s="282">
        <f t="shared" si="547"/>
        <v>0</v>
      </c>
      <c r="Q249" s="282">
        <f t="shared" si="547"/>
        <v>0</v>
      </c>
      <c r="R249" s="276">
        <f t="shared" si="474"/>
        <v>0</v>
      </c>
      <c r="S249" s="282">
        <f t="shared" si="548"/>
        <v>0</v>
      </c>
      <c r="T249" s="282">
        <f t="shared" si="548"/>
        <v>0</v>
      </c>
      <c r="U249" s="282">
        <f t="shared" si="548"/>
        <v>0</v>
      </c>
      <c r="V249" s="282">
        <f t="shared" si="548"/>
        <v>0</v>
      </c>
      <c r="W249" s="282">
        <f t="shared" si="548"/>
        <v>0</v>
      </c>
      <c r="X249" s="282">
        <f t="shared" si="548"/>
        <v>0</v>
      </c>
      <c r="Y249" s="282">
        <f t="shared" si="548"/>
        <v>0</v>
      </c>
      <c r="Z249" s="282">
        <f t="shared" si="548"/>
        <v>0</v>
      </c>
      <c r="AA249" s="276">
        <f t="shared" si="480"/>
        <v>0</v>
      </c>
      <c r="AB249" s="402">
        <f t="shared" si="475"/>
        <v>0</v>
      </c>
      <c r="AC249" s="321" t="e">
        <f t="shared" si="479"/>
        <v>#DIV/0!</v>
      </c>
    </row>
    <row r="250" spans="1:29" ht="14.25" hidden="1" x14ac:dyDescent="0.2">
      <c r="A250" s="420">
        <v>1</v>
      </c>
      <c r="B250" s="323" t="s">
        <v>702</v>
      </c>
      <c r="C250" s="206" t="s">
        <v>262</v>
      </c>
      <c r="D250" s="324">
        <v>0</v>
      </c>
      <c r="E250" s="325">
        <f>SUM('ADICIONES  2021'!C250:N250)</f>
        <v>0</v>
      </c>
      <c r="F250" s="277"/>
      <c r="G250" s="277"/>
      <c r="H250" s="277"/>
      <c r="I250" s="277"/>
      <c r="J250" s="277"/>
      <c r="K250" s="281">
        <f t="shared" si="468"/>
        <v>0</v>
      </c>
      <c r="L250" s="277"/>
      <c r="M250" s="277"/>
      <c r="N250" s="277"/>
      <c r="O250" s="277"/>
      <c r="P250" s="277"/>
      <c r="Q250" s="277"/>
      <c r="R250" s="281">
        <f t="shared" si="474"/>
        <v>0</v>
      </c>
      <c r="S250" s="277"/>
      <c r="T250" s="277"/>
      <c r="U250" s="277"/>
      <c r="V250" s="277"/>
      <c r="W250" s="277"/>
      <c r="X250" s="277"/>
      <c r="Y250" s="277"/>
      <c r="Z250" s="277"/>
      <c r="AA250" s="281">
        <f t="shared" si="480"/>
        <v>0</v>
      </c>
      <c r="AB250" s="403">
        <f t="shared" si="475"/>
        <v>0</v>
      </c>
      <c r="AC250" s="326" t="e">
        <f t="shared" si="479"/>
        <v>#DIV/0!</v>
      </c>
    </row>
    <row r="251" spans="1:29" s="61" customFormat="1" ht="25.5" x14ac:dyDescent="0.2">
      <c r="A251" s="421"/>
      <c r="B251" s="318" t="s">
        <v>703</v>
      </c>
      <c r="C251" s="319" t="s">
        <v>704</v>
      </c>
      <c r="D251" s="283">
        <f>+D252</f>
        <v>33000000000</v>
      </c>
      <c r="E251" s="322">
        <f>SUM('ADICIONES  2021'!C251:N251)</f>
        <v>0</v>
      </c>
      <c r="F251" s="336">
        <f t="shared" ref="F251:J252" si="549">+F252</f>
        <v>1950062900</v>
      </c>
      <c r="G251" s="275">
        <f t="shared" si="549"/>
        <v>0</v>
      </c>
      <c r="H251" s="275">
        <f t="shared" si="549"/>
        <v>0</v>
      </c>
      <c r="I251" s="275">
        <f t="shared" si="549"/>
        <v>0</v>
      </c>
      <c r="J251" s="275">
        <f t="shared" si="549"/>
        <v>0</v>
      </c>
      <c r="K251" s="276">
        <f t="shared" si="468"/>
        <v>31049937100</v>
      </c>
      <c r="L251" s="275">
        <f t="shared" ref="L251:Q252" si="550">+L252</f>
        <v>0</v>
      </c>
      <c r="M251" s="275">
        <f t="shared" si="550"/>
        <v>0</v>
      </c>
      <c r="N251" s="275">
        <f t="shared" si="550"/>
        <v>0</v>
      </c>
      <c r="O251" s="275">
        <f t="shared" si="550"/>
        <v>0</v>
      </c>
      <c r="P251" s="275">
        <f t="shared" si="550"/>
        <v>0</v>
      </c>
      <c r="Q251" s="275">
        <f t="shared" si="550"/>
        <v>14592787518</v>
      </c>
      <c r="R251" s="276">
        <f t="shared" si="474"/>
        <v>14592787518</v>
      </c>
      <c r="S251" s="275">
        <f t="shared" ref="S251:Z252" si="551">+S252</f>
        <v>0</v>
      </c>
      <c r="T251" s="275">
        <f t="shared" si="551"/>
        <v>0</v>
      </c>
      <c r="U251" s="275">
        <f t="shared" si="551"/>
        <v>0</v>
      </c>
      <c r="V251" s="275">
        <f t="shared" si="551"/>
        <v>0</v>
      </c>
      <c r="W251" s="275">
        <f t="shared" si="551"/>
        <v>0</v>
      </c>
      <c r="X251" s="275">
        <f t="shared" si="551"/>
        <v>0</v>
      </c>
      <c r="Y251" s="275">
        <f t="shared" si="551"/>
        <v>0</v>
      </c>
      <c r="Z251" s="275">
        <f t="shared" si="551"/>
        <v>0</v>
      </c>
      <c r="AA251" s="276">
        <f t="shared" si="480"/>
        <v>0</v>
      </c>
      <c r="AB251" s="402">
        <f t="shared" si="475"/>
        <v>14592787518</v>
      </c>
      <c r="AC251" s="321">
        <f t="shared" si="479"/>
        <v>0.46997800578475246</v>
      </c>
    </row>
    <row r="252" spans="1:29" s="61" customFormat="1" ht="25.5" x14ac:dyDescent="0.2">
      <c r="A252" s="421"/>
      <c r="B252" s="318" t="s">
        <v>705</v>
      </c>
      <c r="C252" s="319" t="s">
        <v>701</v>
      </c>
      <c r="D252" s="283">
        <f>+D253</f>
        <v>33000000000</v>
      </c>
      <c r="E252" s="322">
        <f>SUM('ADICIONES  2021'!C252:N252)</f>
        <v>0</v>
      </c>
      <c r="F252" s="336">
        <f t="shared" si="549"/>
        <v>1950062900</v>
      </c>
      <c r="G252" s="275">
        <f t="shared" si="549"/>
        <v>0</v>
      </c>
      <c r="H252" s="275">
        <f t="shared" si="549"/>
        <v>0</v>
      </c>
      <c r="I252" s="275">
        <f t="shared" si="549"/>
        <v>0</v>
      </c>
      <c r="J252" s="275">
        <f t="shared" si="549"/>
        <v>0</v>
      </c>
      <c r="K252" s="276">
        <f t="shared" si="468"/>
        <v>31049937100</v>
      </c>
      <c r="L252" s="275">
        <f t="shared" si="550"/>
        <v>0</v>
      </c>
      <c r="M252" s="275">
        <f t="shared" si="550"/>
        <v>0</v>
      </c>
      <c r="N252" s="275">
        <f t="shared" si="550"/>
        <v>0</v>
      </c>
      <c r="O252" s="275">
        <f t="shared" si="550"/>
        <v>0</v>
      </c>
      <c r="P252" s="275">
        <f t="shared" si="550"/>
        <v>0</v>
      </c>
      <c r="Q252" s="275">
        <f t="shared" si="550"/>
        <v>14592787518</v>
      </c>
      <c r="R252" s="276">
        <f t="shared" si="474"/>
        <v>14592787518</v>
      </c>
      <c r="S252" s="275">
        <f t="shared" si="551"/>
        <v>0</v>
      </c>
      <c r="T252" s="275">
        <f t="shared" si="551"/>
        <v>0</v>
      </c>
      <c r="U252" s="275">
        <f t="shared" si="551"/>
        <v>0</v>
      </c>
      <c r="V252" s="275">
        <f t="shared" si="551"/>
        <v>0</v>
      </c>
      <c r="W252" s="275">
        <f t="shared" si="551"/>
        <v>0</v>
      </c>
      <c r="X252" s="275">
        <f t="shared" si="551"/>
        <v>0</v>
      </c>
      <c r="Y252" s="275">
        <f t="shared" si="551"/>
        <v>0</v>
      </c>
      <c r="Z252" s="275">
        <f t="shared" si="551"/>
        <v>0</v>
      </c>
      <c r="AA252" s="276">
        <f t="shared" si="480"/>
        <v>0</v>
      </c>
      <c r="AB252" s="402">
        <f t="shared" si="475"/>
        <v>14592787518</v>
      </c>
      <c r="AC252" s="321">
        <f t="shared" si="479"/>
        <v>0.46997800578475246</v>
      </c>
    </row>
    <row r="253" spans="1:29" ht="14.25" x14ac:dyDescent="0.2">
      <c r="A253" s="420">
        <v>1</v>
      </c>
      <c r="B253" s="323" t="s">
        <v>706</v>
      </c>
      <c r="C253" s="206" t="s">
        <v>103</v>
      </c>
      <c r="D253" s="324">
        <v>33000000000</v>
      </c>
      <c r="E253" s="325">
        <f>SUM('ADICIONES  2021'!C253:N253)</f>
        <v>0</v>
      </c>
      <c r="F253" s="281">
        <v>1950062900</v>
      </c>
      <c r="G253" s="281"/>
      <c r="H253" s="281"/>
      <c r="I253" s="281"/>
      <c r="J253" s="281"/>
      <c r="K253" s="281">
        <f t="shared" si="468"/>
        <v>31049937100</v>
      </c>
      <c r="L253" s="281"/>
      <c r="M253" s="281"/>
      <c r="N253" s="281"/>
      <c r="O253" s="281"/>
      <c r="P253" s="281"/>
      <c r="Q253" s="281">
        <v>14592787518</v>
      </c>
      <c r="R253" s="281">
        <f t="shared" si="474"/>
        <v>14592787518</v>
      </c>
      <c r="S253" s="281">
        <v>0</v>
      </c>
      <c r="T253" s="281"/>
      <c r="U253" s="281"/>
      <c r="V253" s="281"/>
      <c r="W253" s="281"/>
      <c r="X253" s="281"/>
      <c r="Y253" s="281"/>
      <c r="Z253" s="281"/>
      <c r="AA253" s="281">
        <f t="shared" si="480"/>
        <v>0</v>
      </c>
      <c r="AB253" s="403">
        <f t="shared" si="475"/>
        <v>14592787518</v>
      </c>
      <c r="AC253" s="326">
        <f t="shared" si="479"/>
        <v>0.46997800578475246</v>
      </c>
    </row>
    <row r="254" spans="1:29" s="61" customFormat="1" ht="15.75" x14ac:dyDescent="0.2">
      <c r="A254" s="421">
        <v>1</v>
      </c>
      <c r="B254" s="318" t="s">
        <v>707</v>
      </c>
      <c r="C254" s="319" t="s">
        <v>708</v>
      </c>
      <c r="D254" s="283">
        <f>+D255</f>
        <v>3771000000</v>
      </c>
      <c r="E254" s="322">
        <f>SUM('ADICIONES  2021'!C254:N254)</f>
        <v>157849196.97</v>
      </c>
      <c r="F254" s="275">
        <f t="shared" ref="F254:J254" si="552">+F255</f>
        <v>0</v>
      </c>
      <c r="G254" s="275">
        <f t="shared" si="552"/>
        <v>0</v>
      </c>
      <c r="H254" s="275">
        <f t="shared" si="552"/>
        <v>0</v>
      </c>
      <c r="I254" s="275">
        <f t="shared" si="552"/>
        <v>0</v>
      </c>
      <c r="J254" s="275">
        <f t="shared" si="552"/>
        <v>0</v>
      </c>
      <c r="K254" s="276">
        <f t="shared" si="468"/>
        <v>3928849196.9699998</v>
      </c>
      <c r="L254" s="275">
        <f t="shared" ref="L254:Q254" si="553">+L255</f>
        <v>434962185.77999991</v>
      </c>
      <c r="M254" s="275">
        <f t="shared" si="553"/>
        <v>597443201.72000015</v>
      </c>
      <c r="N254" s="275">
        <f t="shared" si="553"/>
        <v>384125907.50999999</v>
      </c>
      <c r="O254" s="275">
        <f t="shared" si="553"/>
        <v>373960205.21999997</v>
      </c>
      <c r="P254" s="275">
        <f t="shared" si="553"/>
        <v>367723316.88999999</v>
      </c>
      <c r="Q254" s="275">
        <f t="shared" si="553"/>
        <v>400645927.72999996</v>
      </c>
      <c r="R254" s="276">
        <f t="shared" si="474"/>
        <v>2558860744.8499999</v>
      </c>
      <c r="S254" s="275">
        <f t="shared" ref="S254:Z254" si="554">+S255</f>
        <v>402030484.00999999</v>
      </c>
      <c r="T254" s="275">
        <f t="shared" si="554"/>
        <v>358365943.33999985</v>
      </c>
      <c r="U254" s="275">
        <f t="shared" si="554"/>
        <v>389743307.63</v>
      </c>
      <c r="V254" s="275">
        <f t="shared" si="554"/>
        <v>353705392.62999994</v>
      </c>
      <c r="W254" s="275">
        <f t="shared" si="554"/>
        <v>415646862.87</v>
      </c>
      <c r="X254" s="275">
        <f t="shared" si="554"/>
        <v>484547079.32000005</v>
      </c>
      <c r="Y254" s="275">
        <f t="shared" si="554"/>
        <v>0</v>
      </c>
      <c r="Z254" s="275">
        <f t="shared" si="554"/>
        <v>0</v>
      </c>
      <c r="AA254" s="276">
        <f t="shared" si="480"/>
        <v>2404039069.8000002</v>
      </c>
      <c r="AB254" s="402">
        <f t="shared" si="475"/>
        <v>4962899814.6499996</v>
      </c>
      <c r="AC254" s="321">
        <f t="shared" si="479"/>
        <v>1.2631942754324799</v>
      </c>
    </row>
    <row r="255" spans="1:29" s="61" customFormat="1" ht="15.75" x14ac:dyDescent="0.2">
      <c r="A255" s="421"/>
      <c r="B255" s="318" t="s">
        <v>709</v>
      </c>
      <c r="C255" s="319" t="s">
        <v>710</v>
      </c>
      <c r="D255" s="283">
        <f>+D256+D258+D259+D260+D261+D291+D292+D294+D295+D296+D297+D298+D300+D301+D302+D303+D304+D305+D306+D307+D308+D310+D311+D312+D313+D316+D317+D318+D319+D320+D321+D322+D323+D324+D325+D326+D327+D328+D329+D330+D331+D332+D299+D314+D340+D341+D333+D334+D257+D293+D309+D315+D335+D336</f>
        <v>3771000000</v>
      </c>
      <c r="E255" s="322">
        <f>SUM('ADICIONES  2021'!C255:N255)</f>
        <v>157849196.97</v>
      </c>
      <c r="F255" s="283">
        <f t="shared" ref="F255:J255" si="555">+F256+F258+F259+F260+F261+F291+F292+F294+F295+F296+F297+F298+F300+F301+F302+F303+F304+F305+F306+F307+F308+F310+F311+F312+F313+F316+F317+F318+F319+F320+F321+F322+F323+F324+F325+F326+F327+F328+F329+F330+F331+F332+F299+F314+F340+F341+F333+F334+F257+F293+F309+F315+F335+F336</f>
        <v>0</v>
      </c>
      <c r="G255" s="283">
        <f>+G256+G258+G259+G260+G261+G291+G292+G294+G295+G296+G297+G298+G300+G301+G302+G303+G304+G305+G306+G307+G308+G310+G311+G312+G313+G316+G317+G318+G319+G320+G321+G322+G323+G324+G325+G326+G327+G328+G329+G330+G331+G332+G299+G314+G340+G341+G333+G334+G257+G293+G309+G315+G335+G336</f>
        <v>0</v>
      </c>
      <c r="H255" s="283">
        <f t="shared" si="555"/>
        <v>0</v>
      </c>
      <c r="I255" s="283">
        <f t="shared" si="555"/>
        <v>0</v>
      </c>
      <c r="J255" s="283">
        <f t="shared" si="555"/>
        <v>0</v>
      </c>
      <c r="K255" s="276">
        <f t="shared" si="468"/>
        <v>3928849196.9699998</v>
      </c>
      <c r="L255" s="283">
        <f t="shared" ref="L255:Q255" si="556">+L256+L258+L259+L260+L261+L291+L292+L294+L295+L296+L297+L298+L300+L301+L302+L303+L304+L305+L306+L307+L308+L310+L311+L312+L313+L316+L317+L318+L319+L320+L321+L322+L323+L324+L325+L326+L327+L328+L329+L330+L331+L332+L299+L314+L340+L341+L333+L334+L257+L293+L309+L315+L335+L336</f>
        <v>434962185.77999991</v>
      </c>
      <c r="M255" s="283">
        <f t="shared" si="556"/>
        <v>597443201.72000015</v>
      </c>
      <c r="N255" s="283">
        <f t="shared" si="556"/>
        <v>384125907.50999999</v>
      </c>
      <c r="O255" s="283">
        <f t="shared" si="556"/>
        <v>373960205.21999997</v>
      </c>
      <c r="P255" s="283">
        <f t="shared" si="556"/>
        <v>367723316.88999999</v>
      </c>
      <c r="Q255" s="283">
        <f t="shared" si="556"/>
        <v>400645927.72999996</v>
      </c>
      <c r="R255" s="276">
        <f t="shared" si="474"/>
        <v>2558860744.8499999</v>
      </c>
      <c r="S255" s="283">
        <f t="shared" ref="S255:Z255" si="557">+S256+S258+S259+S260+S261+S291+S292+S294+S295+S296+S297+S298+S300+S301+S302+S303+S304+S305+S306+S307+S308+S310+S311+S312+S313+S316+S317+S318+S319+S320+S321+S322+S323+S324+S325+S326+S327+S328+S329+S330+S331+S332+S299+S314+S340+S341+S333+S334+S257+S293+S309+S315+S335+S336</f>
        <v>402030484.00999999</v>
      </c>
      <c r="T255" s="283">
        <f t="shared" si="557"/>
        <v>358365943.33999985</v>
      </c>
      <c r="U255" s="283">
        <f t="shared" si="557"/>
        <v>389743307.63</v>
      </c>
      <c r="V255" s="283">
        <f t="shared" si="557"/>
        <v>353705392.62999994</v>
      </c>
      <c r="W255" s="283">
        <f t="shared" si="557"/>
        <v>415646862.87</v>
      </c>
      <c r="X255" s="283">
        <f t="shared" si="557"/>
        <v>484547079.32000005</v>
      </c>
      <c r="Y255" s="283">
        <f t="shared" si="557"/>
        <v>0</v>
      </c>
      <c r="Z255" s="283">
        <f t="shared" si="557"/>
        <v>0</v>
      </c>
      <c r="AA255" s="276">
        <f t="shared" si="480"/>
        <v>2404039069.8000002</v>
      </c>
      <c r="AB255" s="402">
        <f t="shared" si="475"/>
        <v>4962899814.6499996</v>
      </c>
      <c r="AC255" s="321">
        <f t="shared" si="479"/>
        <v>1.2631942754324799</v>
      </c>
    </row>
    <row r="256" spans="1:29" ht="14.25" x14ac:dyDescent="0.2">
      <c r="A256" s="420">
        <v>1</v>
      </c>
      <c r="B256" s="323" t="s">
        <v>711</v>
      </c>
      <c r="C256" s="206" t="s">
        <v>86</v>
      </c>
      <c r="D256" s="332">
        <v>2100000000</v>
      </c>
      <c r="E256" s="325">
        <f>SUM('ADICIONES  2021'!C256:N256)</f>
        <v>0</v>
      </c>
      <c r="F256" s="281"/>
      <c r="G256" s="281"/>
      <c r="H256" s="281"/>
      <c r="I256" s="281"/>
      <c r="J256" s="281"/>
      <c r="K256" s="281">
        <f t="shared" si="468"/>
        <v>2100000000</v>
      </c>
      <c r="L256" s="281">
        <v>175120387.08000001</v>
      </c>
      <c r="M256" s="281">
        <v>388571902.63</v>
      </c>
      <c r="N256" s="281">
        <v>142431048.27000001</v>
      </c>
      <c r="O256" s="281">
        <v>156286912.09999999</v>
      </c>
      <c r="P256" s="281">
        <v>148813456.53999999</v>
      </c>
      <c r="Q256" s="281">
        <v>159961585.74000001</v>
      </c>
      <c r="R256" s="281">
        <f t="shared" si="474"/>
        <v>1171185292.3600001</v>
      </c>
      <c r="S256" s="281">
        <v>169760420.40000001</v>
      </c>
      <c r="T256" s="281">
        <v>167685484.03999999</v>
      </c>
      <c r="U256" s="281">
        <v>160444766.96000001</v>
      </c>
      <c r="V256" s="281">
        <v>163027604.16999999</v>
      </c>
      <c r="W256" s="281">
        <v>116990198.29000001</v>
      </c>
      <c r="X256" s="281">
        <v>264777398.06</v>
      </c>
      <c r="Y256" s="281"/>
      <c r="Z256" s="281"/>
      <c r="AA256" s="281">
        <f t="shared" si="480"/>
        <v>1042685871.9199998</v>
      </c>
      <c r="AB256" s="403">
        <f t="shared" si="475"/>
        <v>2213871164.2799997</v>
      </c>
      <c r="AC256" s="326">
        <f t="shared" si="479"/>
        <v>1.054224363942857</v>
      </c>
    </row>
    <row r="257" spans="1:29" ht="14.25" x14ac:dyDescent="0.2">
      <c r="A257" s="420">
        <v>1</v>
      </c>
      <c r="B257" s="323" t="s">
        <v>711</v>
      </c>
      <c r="C257" s="206" t="s">
        <v>86</v>
      </c>
      <c r="D257" s="332"/>
      <c r="E257" s="325">
        <f>SUM('ADICIONES  2021'!C257:N257)</f>
        <v>7363792.9699999997</v>
      </c>
      <c r="F257" s="281"/>
      <c r="G257" s="281"/>
      <c r="H257" s="281"/>
      <c r="I257" s="281"/>
      <c r="J257" s="281"/>
      <c r="K257" s="281">
        <f t="shared" si="468"/>
        <v>7363792.9699999997</v>
      </c>
      <c r="L257" s="281"/>
      <c r="M257" s="281"/>
      <c r="N257" s="281"/>
      <c r="O257" s="281"/>
      <c r="P257" s="281"/>
      <c r="Q257" s="281"/>
      <c r="R257" s="281">
        <f t="shared" si="474"/>
        <v>0</v>
      </c>
      <c r="S257" s="281"/>
      <c r="T257" s="281"/>
      <c r="U257" s="281">
        <v>0</v>
      </c>
      <c r="V257" s="281">
        <v>0</v>
      </c>
      <c r="W257" s="281">
        <v>0</v>
      </c>
      <c r="X257" s="281"/>
      <c r="Y257" s="281"/>
      <c r="Z257" s="281"/>
      <c r="AA257" s="281">
        <f t="shared" si="480"/>
        <v>0</v>
      </c>
      <c r="AB257" s="403">
        <f t="shared" si="475"/>
        <v>0</v>
      </c>
      <c r="AC257" s="326">
        <f t="shared" si="479"/>
        <v>0</v>
      </c>
    </row>
    <row r="258" spans="1:29" ht="14.25" hidden="1" x14ac:dyDescent="0.2">
      <c r="A258" s="420">
        <v>1</v>
      </c>
      <c r="B258" s="323" t="s">
        <v>712</v>
      </c>
      <c r="C258" s="206" t="s">
        <v>326</v>
      </c>
      <c r="D258" s="324">
        <v>0</v>
      </c>
      <c r="E258" s="325">
        <f>SUM('ADICIONES  2021'!C258:N258)</f>
        <v>0</v>
      </c>
      <c r="F258" s="277"/>
      <c r="G258" s="277"/>
      <c r="H258" s="277"/>
      <c r="I258" s="277"/>
      <c r="J258" s="277"/>
      <c r="K258" s="281">
        <f t="shared" si="468"/>
        <v>0</v>
      </c>
      <c r="L258" s="277">
        <v>0</v>
      </c>
      <c r="M258" s="277">
        <v>0</v>
      </c>
      <c r="N258" s="277">
        <v>0</v>
      </c>
      <c r="O258" s="277">
        <v>0</v>
      </c>
      <c r="P258" s="277">
        <v>0</v>
      </c>
      <c r="Q258" s="277">
        <v>0</v>
      </c>
      <c r="R258" s="281">
        <f t="shared" si="474"/>
        <v>0</v>
      </c>
      <c r="S258" s="277">
        <v>0</v>
      </c>
      <c r="T258" s="277">
        <v>0</v>
      </c>
      <c r="U258" s="277">
        <v>0</v>
      </c>
      <c r="V258" s="277">
        <v>0</v>
      </c>
      <c r="W258" s="277">
        <v>0</v>
      </c>
      <c r="X258" s="277"/>
      <c r="Y258" s="277"/>
      <c r="Z258" s="277"/>
      <c r="AA258" s="281">
        <f t="shared" si="480"/>
        <v>0</v>
      </c>
      <c r="AB258" s="403">
        <f t="shared" si="475"/>
        <v>0</v>
      </c>
      <c r="AC258" s="326" t="e">
        <f t="shared" si="479"/>
        <v>#DIV/0!</v>
      </c>
    </row>
    <row r="259" spans="1:29" ht="14.25" x14ac:dyDescent="0.2">
      <c r="A259" s="420">
        <v>1</v>
      </c>
      <c r="B259" s="323" t="s">
        <v>713</v>
      </c>
      <c r="C259" s="206" t="s">
        <v>236</v>
      </c>
      <c r="D259" s="324">
        <v>73000000</v>
      </c>
      <c r="E259" s="325">
        <f>SUM('ADICIONES  2021'!C259:N259)</f>
        <v>0</v>
      </c>
      <c r="F259" s="277"/>
      <c r="G259" s="277"/>
      <c r="H259" s="277"/>
      <c r="I259" s="277"/>
      <c r="J259" s="277"/>
      <c r="K259" s="281">
        <f t="shared" si="468"/>
        <v>73000000</v>
      </c>
      <c r="L259" s="277">
        <v>6987482</v>
      </c>
      <c r="M259" s="277">
        <v>5671345</v>
      </c>
      <c r="N259" s="277">
        <v>4816528</v>
      </c>
      <c r="O259" s="277">
        <v>7294834</v>
      </c>
      <c r="P259" s="277">
        <v>8719962</v>
      </c>
      <c r="Q259" s="277">
        <v>9197425</v>
      </c>
      <c r="R259" s="281">
        <f t="shared" si="474"/>
        <v>42687576</v>
      </c>
      <c r="S259" s="277">
        <v>9936876</v>
      </c>
      <c r="T259" s="277">
        <v>10247286</v>
      </c>
      <c r="U259" s="277">
        <v>6607430</v>
      </c>
      <c r="V259" s="277">
        <v>7673325</v>
      </c>
      <c r="W259" s="277">
        <v>7943535</v>
      </c>
      <c r="X259" s="277">
        <v>7489300</v>
      </c>
      <c r="Y259" s="277"/>
      <c r="Z259" s="277"/>
      <c r="AA259" s="281">
        <f t="shared" si="480"/>
        <v>49897752</v>
      </c>
      <c r="AB259" s="403">
        <f t="shared" si="475"/>
        <v>92585328</v>
      </c>
      <c r="AC259" s="326">
        <f t="shared" si="479"/>
        <v>1.2682921643835616</v>
      </c>
    </row>
    <row r="260" spans="1:29" ht="14.25" x14ac:dyDescent="0.2">
      <c r="A260" s="420">
        <v>1</v>
      </c>
      <c r="B260" s="323" t="s">
        <v>714</v>
      </c>
      <c r="C260" s="206" t="s">
        <v>87</v>
      </c>
      <c r="D260" s="324">
        <v>105000000</v>
      </c>
      <c r="E260" s="325">
        <f>SUM('ADICIONES  2021'!C260:N260)</f>
        <v>0</v>
      </c>
      <c r="F260" s="277"/>
      <c r="G260" s="277"/>
      <c r="H260" s="277"/>
      <c r="I260" s="277"/>
      <c r="J260" s="277"/>
      <c r="K260" s="281">
        <f t="shared" si="468"/>
        <v>105000000</v>
      </c>
      <c r="L260" s="277">
        <v>23013718.350000001</v>
      </c>
      <c r="M260" s="277">
        <v>966086.54</v>
      </c>
      <c r="N260" s="277">
        <v>8438553.2899999991</v>
      </c>
      <c r="O260" s="277">
        <v>15110463.119999999</v>
      </c>
      <c r="P260" s="277">
        <v>9795690.7400000002</v>
      </c>
      <c r="Q260" s="277">
        <v>2578646.2000000002</v>
      </c>
      <c r="R260" s="281">
        <f t="shared" si="474"/>
        <v>59903158.240000002</v>
      </c>
      <c r="S260" s="277">
        <v>3705433.82</v>
      </c>
      <c r="T260" s="277">
        <v>4603323.6100000003</v>
      </c>
      <c r="U260" s="277">
        <v>2595321.9300000002</v>
      </c>
      <c r="V260" s="277">
        <v>2143026.1</v>
      </c>
      <c r="W260" s="277">
        <v>4938491.45</v>
      </c>
      <c r="X260" s="277">
        <v>9831439.7799999993</v>
      </c>
      <c r="Y260" s="277"/>
      <c r="Z260" s="277"/>
      <c r="AA260" s="281">
        <f t="shared" si="480"/>
        <v>27817036.689999998</v>
      </c>
      <c r="AB260" s="403">
        <f t="shared" si="475"/>
        <v>87720194.930000007</v>
      </c>
      <c r="AC260" s="326">
        <f t="shared" si="479"/>
        <v>0.83543042790476196</v>
      </c>
    </row>
    <row r="261" spans="1:29" s="61" customFormat="1" ht="15.75" x14ac:dyDescent="0.2">
      <c r="A261" s="421">
        <v>1</v>
      </c>
      <c r="B261" s="318" t="s">
        <v>715</v>
      </c>
      <c r="C261" s="334" t="s">
        <v>716</v>
      </c>
      <c r="D261" s="283">
        <f>+D262+D267+D272+D276+D280+D286+D288</f>
        <v>1303000000</v>
      </c>
      <c r="E261" s="322">
        <f>SUM('ADICIONES  2021'!C261:N261)</f>
        <v>3756634</v>
      </c>
      <c r="F261" s="275">
        <f t="shared" ref="F261:J261" si="558">+F262+F267+F272+F276+F280+F286+F288</f>
        <v>0</v>
      </c>
      <c r="G261" s="275">
        <f t="shared" si="558"/>
        <v>0</v>
      </c>
      <c r="H261" s="275">
        <f t="shared" si="558"/>
        <v>0</v>
      </c>
      <c r="I261" s="275">
        <f t="shared" si="558"/>
        <v>0</v>
      </c>
      <c r="J261" s="275">
        <f t="shared" si="558"/>
        <v>0</v>
      </c>
      <c r="K261" s="276">
        <f t="shared" si="468"/>
        <v>1306756634</v>
      </c>
      <c r="L261" s="275">
        <f t="shared" ref="L261:Q261" si="559">+L262+L267+L272+L276+L280+L286+L288</f>
        <v>61525396.990000002</v>
      </c>
      <c r="M261" s="275">
        <f t="shared" si="559"/>
        <v>86693500.780000016</v>
      </c>
      <c r="N261" s="275">
        <f t="shared" si="559"/>
        <v>103585598.47</v>
      </c>
      <c r="O261" s="275">
        <f t="shared" si="559"/>
        <v>74271977.320000008</v>
      </c>
      <c r="P261" s="275">
        <f t="shared" si="559"/>
        <v>83217370.940000013</v>
      </c>
      <c r="Q261" s="275">
        <f t="shared" si="559"/>
        <v>102832314.13</v>
      </c>
      <c r="R261" s="276">
        <f t="shared" si="474"/>
        <v>512126158.63</v>
      </c>
      <c r="S261" s="275">
        <f t="shared" ref="S261:Z261" si="560">+S262+S267+S272+S276+S280+S286+S288</f>
        <v>79894510.569999993</v>
      </c>
      <c r="T261" s="275">
        <f t="shared" si="560"/>
        <v>65364889.919999994</v>
      </c>
      <c r="U261" s="275">
        <f t="shared" si="560"/>
        <v>81654791.020000011</v>
      </c>
      <c r="V261" s="275">
        <f t="shared" si="560"/>
        <v>60939645.170000009</v>
      </c>
      <c r="W261" s="275">
        <f t="shared" si="560"/>
        <v>64922853.630000003</v>
      </c>
      <c r="X261" s="275">
        <f t="shared" si="560"/>
        <v>67100594.809999995</v>
      </c>
      <c r="Y261" s="275">
        <f t="shared" si="560"/>
        <v>0</v>
      </c>
      <c r="Z261" s="275">
        <f t="shared" si="560"/>
        <v>0</v>
      </c>
      <c r="AA261" s="276">
        <f t="shared" si="480"/>
        <v>419877285.12</v>
      </c>
      <c r="AB261" s="402">
        <f t="shared" si="475"/>
        <v>932003443.75</v>
      </c>
      <c r="AC261" s="321">
        <f t="shared" si="479"/>
        <v>0.71321883470920266</v>
      </c>
    </row>
    <row r="262" spans="1:29" s="61" customFormat="1" ht="15.75" x14ac:dyDescent="0.2">
      <c r="A262" s="421">
        <v>1</v>
      </c>
      <c r="B262" s="318" t="s">
        <v>717</v>
      </c>
      <c r="C262" s="319" t="s">
        <v>718</v>
      </c>
      <c r="D262" s="330">
        <v>312000000</v>
      </c>
      <c r="E262" s="322">
        <f>SUM('ADICIONES  2021'!C262:N262)</f>
        <v>0</v>
      </c>
      <c r="F262" s="279"/>
      <c r="G262" s="279"/>
      <c r="H262" s="279"/>
      <c r="I262" s="279"/>
      <c r="J262" s="279"/>
      <c r="K262" s="276">
        <f t="shared" si="468"/>
        <v>312000000</v>
      </c>
      <c r="L262" s="279">
        <f>SUM(L263:L266)</f>
        <v>10264322.32</v>
      </c>
      <c r="M262" s="279">
        <f>SUM(M263:M266)</f>
        <v>35642555.920000002</v>
      </c>
      <c r="N262" s="279">
        <f t="shared" ref="N262:Q262" si="561">SUM(N263:N266)</f>
        <v>28360078.48</v>
      </c>
      <c r="O262" s="279">
        <f>SUM(O263:O266)</f>
        <v>6755244.5200000005</v>
      </c>
      <c r="P262" s="279">
        <f t="shared" si="561"/>
        <v>7448959.5</v>
      </c>
      <c r="Q262" s="279">
        <f t="shared" si="561"/>
        <v>30219662</v>
      </c>
      <c r="R262" s="276">
        <f t="shared" si="474"/>
        <v>118690822.73999999</v>
      </c>
      <c r="S262" s="279">
        <f t="shared" ref="S262:Z262" si="562">SUM(S263:S266)</f>
        <v>7913565.9900000012</v>
      </c>
      <c r="T262" s="279">
        <f>SUM(T263:T266)</f>
        <v>7575630.8799999999</v>
      </c>
      <c r="U262" s="279">
        <f>SUM(U263:U266)</f>
        <v>32356977.000000004</v>
      </c>
      <c r="V262" s="279">
        <f>SUM(V263:V266)</f>
        <v>12758647.010000002</v>
      </c>
      <c r="W262" s="279">
        <f>SUM(W263:W266)</f>
        <v>10505185.02</v>
      </c>
      <c r="X262" s="279">
        <f t="shared" si="562"/>
        <v>5573431.1600000001</v>
      </c>
      <c r="Y262" s="279">
        <f t="shared" si="562"/>
        <v>0</v>
      </c>
      <c r="Z262" s="279">
        <f t="shared" si="562"/>
        <v>0</v>
      </c>
      <c r="AA262" s="276">
        <f t="shared" si="480"/>
        <v>76683437.060000002</v>
      </c>
      <c r="AB262" s="402">
        <f t="shared" si="475"/>
        <v>195374259.80000001</v>
      </c>
      <c r="AC262" s="321">
        <f t="shared" si="479"/>
        <v>0.62619955064102573</v>
      </c>
    </row>
    <row r="263" spans="1:29" ht="14.25" x14ac:dyDescent="0.15">
      <c r="B263" s="323" t="s">
        <v>719</v>
      </c>
      <c r="C263" s="206" t="s">
        <v>88</v>
      </c>
      <c r="D263" s="328">
        <f>+D262*60%</f>
        <v>187200000</v>
      </c>
      <c r="E263" s="325">
        <f>SUM('ADICIONES  2021'!C263:N263)</f>
        <v>0</v>
      </c>
      <c r="F263" s="278">
        <f t="shared" ref="F263:J263" si="563">+F262*60%</f>
        <v>0</v>
      </c>
      <c r="G263" s="278">
        <f t="shared" si="563"/>
        <v>0</v>
      </c>
      <c r="H263" s="278">
        <f t="shared" si="563"/>
        <v>0</v>
      </c>
      <c r="I263" s="278">
        <f t="shared" si="563"/>
        <v>0</v>
      </c>
      <c r="J263" s="278">
        <f t="shared" si="563"/>
        <v>0</v>
      </c>
      <c r="K263" s="281">
        <f t="shared" si="468"/>
        <v>187200000</v>
      </c>
      <c r="L263" s="278">
        <v>2077856.31</v>
      </c>
      <c r="M263" s="278">
        <v>1491042</v>
      </c>
      <c r="N263" s="278">
        <v>1047245.79</v>
      </c>
      <c r="O263" s="278">
        <v>582478.87</v>
      </c>
      <c r="P263" s="278">
        <v>709083.48</v>
      </c>
      <c r="Q263" s="278">
        <v>382749.47</v>
      </c>
      <c r="R263" s="281">
        <f t="shared" si="474"/>
        <v>6290455.919999999</v>
      </c>
      <c r="S263" s="278">
        <v>327441.65999999997</v>
      </c>
      <c r="T263" s="278">
        <v>222835.67</v>
      </c>
      <c r="U263" s="278">
        <v>131845.1</v>
      </c>
      <c r="V263" s="278">
        <v>385345.72</v>
      </c>
      <c r="W263" s="278">
        <v>458465.04</v>
      </c>
      <c r="X263" s="423">
        <v>1169255.44</v>
      </c>
      <c r="Y263" s="278"/>
      <c r="Z263" s="278"/>
      <c r="AA263" s="281">
        <f t="shared" si="480"/>
        <v>2695188.63</v>
      </c>
      <c r="AB263" s="403">
        <f t="shared" si="475"/>
        <v>8985644.5499999989</v>
      </c>
      <c r="AC263" s="326">
        <f t="shared" si="479"/>
        <v>4.8000237980769224E-2</v>
      </c>
    </row>
    <row r="264" spans="1:29" ht="14.25" x14ac:dyDescent="0.15">
      <c r="B264" s="323" t="s">
        <v>720</v>
      </c>
      <c r="C264" s="206" t="s">
        <v>89</v>
      </c>
      <c r="D264" s="328">
        <f>+D262*20%</f>
        <v>62400000</v>
      </c>
      <c r="E264" s="325">
        <f>SUM('ADICIONES  2021'!C264:N264)</f>
        <v>0</v>
      </c>
      <c r="F264" s="278">
        <f t="shared" ref="F264:J264" si="564">+F262*20%</f>
        <v>0</v>
      </c>
      <c r="G264" s="278">
        <f t="shared" si="564"/>
        <v>0</v>
      </c>
      <c r="H264" s="278">
        <f t="shared" si="564"/>
        <v>0</v>
      </c>
      <c r="I264" s="278">
        <f t="shared" si="564"/>
        <v>0</v>
      </c>
      <c r="J264" s="278">
        <f t="shared" si="564"/>
        <v>0</v>
      </c>
      <c r="K264" s="281">
        <f t="shared" si="468"/>
        <v>62400000</v>
      </c>
      <c r="L264" s="278">
        <v>1217836.5900000001</v>
      </c>
      <c r="M264" s="278">
        <v>1210966.52</v>
      </c>
      <c r="N264" s="278">
        <v>1283626.69</v>
      </c>
      <c r="O264" s="278">
        <v>870153.76</v>
      </c>
      <c r="P264" s="278">
        <v>1055190.0900000001</v>
      </c>
      <c r="Q264" s="278">
        <v>1200872.24</v>
      </c>
      <c r="R264" s="281">
        <f t="shared" si="474"/>
        <v>6838645.8900000006</v>
      </c>
      <c r="S264" s="278">
        <v>1259980.03</v>
      </c>
      <c r="T264" s="278">
        <v>922067.5</v>
      </c>
      <c r="U264" s="278">
        <v>1098326.27</v>
      </c>
      <c r="V264" s="278">
        <v>919549.45</v>
      </c>
      <c r="W264" s="278">
        <v>1408429.33</v>
      </c>
      <c r="X264" s="423">
        <v>1948588.41</v>
      </c>
      <c r="Y264" s="278"/>
      <c r="Z264" s="278"/>
      <c r="AA264" s="281">
        <f t="shared" si="480"/>
        <v>7556940.9900000002</v>
      </c>
      <c r="AB264" s="403">
        <f t="shared" si="475"/>
        <v>14395586.880000001</v>
      </c>
      <c r="AC264" s="326">
        <f t="shared" si="479"/>
        <v>0.23069850769230771</v>
      </c>
    </row>
    <row r="265" spans="1:29" ht="25.5" x14ac:dyDescent="0.15">
      <c r="B265" s="323" t="s">
        <v>721</v>
      </c>
      <c r="C265" s="206" t="s">
        <v>90</v>
      </c>
      <c r="D265" s="328">
        <f>+D262*10%</f>
        <v>31200000</v>
      </c>
      <c r="E265" s="325">
        <f>SUM('ADICIONES  2021'!C265:N265)</f>
        <v>0</v>
      </c>
      <c r="F265" s="278">
        <f t="shared" ref="F265:J265" si="565">+F262*10%</f>
        <v>0</v>
      </c>
      <c r="G265" s="278">
        <f t="shared" si="565"/>
        <v>0</v>
      </c>
      <c r="H265" s="278">
        <f t="shared" si="565"/>
        <v>0</v>
      </c>
      <c r="I265" s="278">
        <f t="shared" si="565"/>
        <v>0</v>
      </c>
      <c r="J265" s="278">
        <f t="shared" si="565"/>
        <v>0</v>
      </c>
      <c r="K265" s="281">
        <f t="shared" si="468"/>
        <v>31200000</v>
      </c>
      <c r="L265" s="278">
        <v>5704232.04</v>
      </c>
      <c r="M265" s="278">
        <v>32122807.399999999</v>
      </c>
      <c r="N265" s="278">
        <v>25190800.039999999</v>
      </c>
      <c r="O265" s="278">
        <v>4794907.07</v>
      </c>
      <c r="P265" s="278">
        <v>5166266.3499999996</v>
      </c>
      <c r="Q265" s="278">
        <v>27875825.710000001</v>
      </c>
      <c r="R265" s="281">
        <f t="shared" si="474"/>
        <v>100854838.60999998</v>
      </c>
      <c r="S265" s="278">
        <v>5690848.6900000004</v>
      </c>
      <c r="T265" s="278">
        <v>5912917.4299999997</v>
      </c>
      <c r="U265" s="278">
        <v>30521978.440000001</v>
      </c>
      <c r="V265" s="278">
        <v>10809277.550000001</v>
      </c>
      <c r="W265" s="278">
        <v>7995714.8099999996</v>
      </c>
      <c r="X265" s="423">
        <v>1722077.4</v>
      </c>
      <c r="Y265" s="278"/>
      <c r="Z265" s="278"/>
      <c r="AA265" s="281">
        <f t="shared" si="480"/>
        <v>62652814.32</v>
      </c>
      <c r="AB265" s="403">
        <f t="shared" si="475"/>
        <v>163507652.92999998</v>
      </c>
      <c r="AC265" s="326">
        <f t="shared" si="479"/>
        <v>5.2406299016025635</v>
      </c>
    </row>
    <row r="266" spans="1:29" ht="25.5" x14ac:dyDescent="0.15">
      <c r="B266" s="337" t="s">
        <v>722</v>
      </c>
      <c r="C266" s="329" t="s">
        <v>237</v>
      </c>
      <c r="D266" s="328">
        <f>+D262*10%</f>
        <v>31200000</v>
      </c>
      <c r="E266" s="325">
        <f>SUM('ADICIONES  2021'!C266:N266)</f>
        <v>0</v>
      </c>
      <c r="F266" s="278">
        <f t="shared" ref="F266:J266" si="566">+F262*10%</f>
        <v>0</v>
      </c>
      <c r="G266" s="278">
        <f t="shared" si="566"/>
        <v>0</v>
      </c>
      <c r="H266" s="278">
        <f t="shared" si="566"/>
        <v>0</v>
      </c>
      <c r="I266" s="278">
        <f t="shared" si="566"/>
        <v>0</v>
      </c>
      <c r="J266" s="278">
        <f t="shared" si="566"/>
        <v>0</v>
      </c>
      <c r="K266" s="281">
        <f t="shared" si="468"/>
        <v>31200000</v>
      </c>
      <c r="L266" s="278">
        <v>1264397.3799999999</v>
      </c>
      <c r="M266" s="278">
        <v>817740</v>
      </c>
      <c r="N266" s="278">
        <v>838405.96</v>
      </c>
      <c r="O266" s="278">
        <v>507704.82</v>
      </c>
      <c r="P266" s="278">
        <v>518419.58</v>
      </c>
      <c r="Q266" s="278">
        <v>760214.58</v>
      </c>
      <c r="R266" s="281">
        <f t="shared" si="474"/>
        <v>4706882.3199999994</v>
      </c>
      <c r="S266" s="278">
        <v>635295.61</v>
      </c>
      <c r="T266" s="278">
        <v>517810.28</v>
      </c>
      <c r="U266" s="278">
        <v>604827.18999999994</v>
      </c>
      <c r="V266" s="278">
        <v>644474.29</v>
      </c>
      <c r="W266" s="278">
        <v>642575.84</v>
      </c>
      <c r="X266" s="423">
        <v>733509.91</v>
      </c>
      <c r="Y266" s="278"/>
      <c r="Z266" s="278"/>
      <c r="AA266" s="281">
        <f t="shared" si="480"/>
        <v>3778493.12</v>
      </c>
      <c r="AB266" s="403">
        <f t="shared" si="475"/>
        <v>8485375.4399999995</v>
      </c>
      <c r="AC266" s="326">
        <f t="shared" si="479"/>
        <v>0.27196716153846151</v>
      </c>
    </row>
    <row r="267" spans="1:29" s="61" customFormat="1" ht="15.75" x14ac:dyDescent="0.2">
      <c r="A267" s="421">
        <v>1</v>
      </c>
      <c r="B267" s="338" t="s">
        <v>723</v>
      </c>
      <c r="C267" s="334" t="s">
        <v>724</v>
      </c>
      <c r="D267" s="331">
        <v>390000000</v>
      </c>
      <c r="E267" s="322">
        <f>SUM('ADICIONES  2021'!C267:N267)</f>
        <v>0</v>
      </c>
      <c r="F267" s="276"/>
      <c r="G267" s="276"/>
      <c r="H267" s="276"/>
      <c r="I267" s="276"/>
      <c r="J267" s="276"/>
      <c r="K267" s="276">
        <f t="shared" si="468"/>
        <v>390000000</v>
      </c>
      <c r="L267" s="276">
        <v>19478318.98</v>
      </c>
      <c r="M267" s="276">
        <v>15660420.060000001</v>
      </c>
      <c r="N267" s="276">
        <v>19573378.280000001</v>
      </c>
      <c r="O267" s="276">
        <v>21366406.260000002</v>
      </c>
      <c r="P267" s="276">
        <v>23931895.629999999</v>
      </c>
      <c r="Q267" s="276">
        <v>24797073.350000001</v>
      </c>
      <c r="R267" s="276">
        <f t="shared" si="474"/>
        <v>124807492.56</v>
      </c>
      <c r="S267" s="276">
        <v>28057922.300000001</v>
      </c>
      <c r="T267" s="276">
        <v>19431750.030000001</v>
      </c>
      <c r="U267" s="276">
        <v>11982186.720000001</v>
      </c>
      <c r="V267" s="276">
        <v>14953479.09</v>
      </c>
      <c r="W267" s="276">
        <v>20267661.949999999</v>
      </c>
      <c r="X267" s="276">
        <v>22943035.960000001</v>
      </c>
      <c r="Y267" s="276"/>
      <c r="Z267" s="276"/>
      <c r="AA267" s="276">
        <f t="shared" si="480"/>
        <v>117636036.05000001</v>
      </c>
      <c r="AB267" s="402">
        <f t="shared" si="475"/>
        <v>242443528.61000001</v>
      </c>
      <c r="AC267" s="321">
        <f t="shared" si="479"/>
        <v>0.62165007335897438</v>
      </c>
    </row>
    <row r="268" spans="1:29" ht="14.25" x14ac:dyDescent="0.2">
      <c r="B268" s="337" t="s">
        <v>725</v>
      </c>
      <c r="C268" s="329" t="s">
        <v>91</v>
      </c>
      <c r="D268" s="328">
        <f>+D267*40%</f>
        <v>156000000</v>
      </c>
      <c r="E268" s="325">
        <f>SUM('ADICIONES  2021'!C268:N268)</f>
        <v>0</v>
      </c>
      <c r="F268" s="278">
        <f t="shared" ref="F268:J268" si="567">+F267*40%</f>
        <v>0</v>
      </c>
      <c r="G268" s="278">
        <f t="shared" si="567"/>
        <v>0</v>
      </c>
      <c r="H268" s="278">
        <f t="shared" si="567"/>
        <v>0</v>
      </c>
      <c r="I268" s="278">
        <f t="shared" si="567"/>
        <v>0</v>
      </c>
      <c r="J268" s="278">
        <f t="shared" si="567"/>
        <v>0</v>
      </c>
      <c r="K268" s="281">
        <f t="shared" si="468"/>
        <v>156000000</v>
      </c>
      <c r="L268" s="278">
        <f t="shared" ref="L268:Q268" si="568">+L267*40%</f>
        <v>7791327.5920000002</v>
      </c>
      <c r="M268" s="278">
        <f t="shared" si="568"/>
        <v>6264168.0240000002</v>
      </c>
      <c r="N268" s="278">
        <f t="shared" si="568"/>
        <v>7829351.3120000008</v>
      </c>
      <c r="O268" s="278">
        <f t="shared" si="568"/>
        <v>8546562.5040000007</v>
      </c>
      <c r="P268" s="278">
        <f t="shared" si="568"/>
        <v>9572758.2520000003</v>
      </c>
      <c r="Q268" s="278">
        <f t="shared" si="568"/>
        <v>9918829.3400000017</v>
      </c>
      <c r="R268" s="281">
        <f t="shared" si="474"/>
        <v>49922997.024000004</v>
      </c>
      <c r="S268" s="278">
        <f t="shared" ref="S268:Z268" si="569">+S267*40%</f>
        <v>11223168.920000002</v>
      </c>
      <c r="T268" s="278">
        <f t="shared" si="569"/>
        <v>7772700.012000001</v>
      </c>
      <c r="U268" s="278">
        <f t="shared" si="569"/>
        <v>4792874.6880000001</v>
      </c>
      <c r="V268" s="278">
        <f t="shared" si="569"/>
        <v>5981391.6359999999</v>
      </c>
      <c r="W268" s="278">
        <f t="shared" si="569"/>
        <v>8107064.7800000003</v>
      </c>
      <c r="X268" s="278">
        <f t="shared" si="569"/>
        <v>9177214.3840000015</v>
      </c>
      <c r="Y268" s="278">
        <f t="shared" si="569"/>
        <v>0</v>
      </c>
      <c r="Z268" s="278">
        <f t="shared" si="569"/>
        <v>0</v>
      </c>
      <c r="AA268" s="281">
        <f t="shared" si="480"/>
        <v>47054414.420000009</v>
      </c>
      <c r="AB268" s="403">
        <f t="shared" si="475"/>
        <v>96977411.444000006</v>
      </c>
      <c r="AC268" s="326">
        <f t="shared" si="479"/>
        <v>0.62165007335897438</v>
      </c>
    </row>
    <row r="269" spans="1:29" ht="14.25" x14ac:dyDescent="0.2">
      <c r="B269" s="337" t="s">
        <v>726</v>
      </c>
      <c r="C269" s="329" t="s">
        <v>92</v>
      </c>
      <c r="D269" s="328">
        <f>+D267*20%</f>
        <v>78000000</v>
      </c>
      <c r="E269" s="325">
        <f>SUM('ADICIONES  2021'!C269:N269)</f>
        <v>0</v>
      </c>
      <c r="F269" s="278">
        <f t="shared" ref="F269:J269" si="570">+F267*20%</f>
        <v>0</v>
      </c>
      <c r="G269" s="278">
        <f t="shared" si="570"/>
        <v>0</v>
      </c>
      <c r="H269" s="278">
        <f t="shared" si="570"/>
        <v>0</v>
      </c>
      <c r="I269" s="278">
        <f t="shared" si="570"/>
        <v>0</v>
      </c>
      <c r="J269" s="278">
        <f t="shared" si="570"/>
        <v>0</v>
      </c>
      <c r="K269" s="281">
        <f t="shared" si="468"/>
        <v>78000000</v>
      </c>
      <c r="L269" s="278">
        <f t="shared" ref="L269:Q269" si="571">+L267*20%</f>
        <v>3895663.7960000001</v>
      </c>
      <c r="M269" s="278">
        <f t="shared" si="571"/>
        <v>3132084.0120000001</v>
      </c>
      <c r="N269" s="278">
        <f t="shared" si="571"/>
        <v>3914675.6560000004</v>
      </c>
      <c r="O269" s="278">
        <f t="shared" si="571"/>
        <v>4273281.2520000003</v>
      </c>
      <c r="P269" s="278">
        <f t="shared" si="571"/>
        <v>4786379.1260000002</v>
      </c>
      <c r="Q269" s="278">
        <f t="shared" si="571"/>
        <v>4959414.6700000009</v>
      </c>
      <c r="R269" s="281">
        <f t="shared" si="474"/>
        <v>24961498.512000002</v>
      </c>
      <c r="S269" s="278">
        <f t="shared" ref="S269:Z269" si="572">+S267*20%</f>
        <v>5611584.4600000009</v>
      </c>
      <c r="T269" s="278">
        <f t="shared" si="572"/>
        <v>3886350.0060000005</v>
      </c>
      <c r="U269" s="278">
        <f t="shared" si="572"/>
        <v>2396437.344</v>
      </c>
      <c r="V269" s="278">
        <f t="shared" si="572"/>
        <v>2990695.818</v>
      </c>
      <c r="W269" s="278">
        <f t="shared" si="572"/>
        <v>4053532.39</v>
      </c>
      <c r="X269" s="278">
        <f t="shared" si="572"/>
        <v>4588607.1920000007</v>
      </c>
      <c r="Y269" s="278">
        <f t="shared" si="572"/>
        <v>0</v>
      </c>
      <c r="Z269" s="278">
        <f t="shared" si="572"/>
        <v>0</v>
      </c>
      <c r="AA269" s="281">
        <f t="shared" si="480"/>
        <v>23527207.210000005</v>
      </c>
      <c r="AB269" s="403">
        <f t="shared" si="475"/>
        <v>48488705.722000003</v>
      </c>
      <c r="AC269" s="326">
        <f t="shared" si="479"/>
        <v>0.62165007335897438</v>
      </c>
    </row>
    <row r="270" spans="1:29" ht="14.25" x14ac:dyDescent="0.2">
      <c r="B270" s="337" t="s">
        <v>727</v>
      </c>
      <c r="C270" s="329" t="s">
        <v>93</v>
      </c>
      <c r="D270" s="328">
        <f>+D267*20%</f>
        <v>78000000</v>
      </c>
      <c r="E270" s="325">
        <f>SUM('ADICIONES  2021'!C270:N270)</f>
        <v>0</v>
      </c>
      <c r="F270" s="278">
        <f t="shared" ref="F270:J270" si="573">+F267*20%</f>
        <v>0</v>
      </c>
      <c r="G270" s="278">
        <f t="shared" si="573"/>
        <v>0</v>
      </c>
      <c r="H270" s="278">
        <f t="shared" si="573"/>
        <v>0</v>
      </c>
      <c r="I270" s="278">
        <f t="shared" si="573"/>
        <v>0</v>
      </c>
      <c r="J270" s="278">
        <f t="shared" si="573"/>
        <v>0</v>
      </c>
      <c r="K270" s="281">
        <f t="shared" si="468"/>
        <v>78000000</v>
      </c>
      <c r="L270" s="278">
        <f t="shared" ref="L270:Q270" si="574">+L267*20%</f>
        <v>3895663.7960000001</v>
      </c>
      <c r="M270" s="278">
        <f t="shared" si="574"/>
        <v>3132084.0120000001</v>
      </c>
      <c r="N270" s="278">
        <f t="shared" si="574"/>
        <v>3914675.6560000004</v>
      </c>
      <c r="O270" s="278">
        <f t="shared" si="574"/>
        <v>4273281.2520000003</v>
      </c>
      <c r="P270" s="278">
        <f t="shared" si="574"/>
        <v>4786379.1260000002</v>
      </c>
      <c r="Q270" s="278">
        <f t="shared" si="574"/>
        <v>4959414.6700000009</v>
      </c>
      <c r="R270" s="281">
        <f t="shared" si="474"/>
        <v>24961498.512000002</v>
      </c>
      <c r="S270" s="278">
        <f t="shared" ref="S270:Z270" si="575">+S267*20%</f>
        <v>5611584.4600000009</v>
      </c>
      <c r="T270" s="278">
        <f t="shared" si="575"/>
        <v>3886350.0060000005</v>
      </c>
      <c r="U270" s="278">
        <f t="shared" si="575"/>
        <v>2396437.344</v>
      </c>
      <c r="V270" s="278">
        <f t="shared" si="575"/>
        <v>2990695.818</v>
      </c>
      <c r="W270" s="278">
        <f t="shared" si="575"/>
        <v>4053532.39</v>
      </c>
      <c r="X270" s="278">
        <f t="shared" si="575"/>
        <v>4588607.1920000007</v>
      </c>
      <c r="Y270" s="278">
        <f t="shared" si="575"/>
        <v>0</v>
      </c>
      <c r="Z270" s="278">
        <f t="shared" si="575"/>
        <v>0</v>
      </c>
      <c r="AA270" s="281">
        <f t="shared" si="480"/>
        <v>23527207.210000005</v>
      </c>
      <c r="AB270" s="403">
        <f t="shared" si="475"/>
        <v>48488705.722000003</v>
      </c>
      <c r="AC270" s="326">
        <f t="shared" si="479"/>
        <v>0.62165007335897438</v>
      </c>
    </row>
    <row r="271" spans="1:29" ht="14.25" x14ac:dyDescent="0.2">
      <c r="B271" s="337" t="s">
        <v>728</v>
      </c>
      <c r="C271" s="329" t="s">
        <v>94</v>
      </c>
      <c r="D271" s="328">
        <f>+D267*20%</f>
        <v>78000000</v>
      </c>
      <c r="E271" s="325">
        <f>SUM('ADICIONES  2021'!C271:N271)</f>
        <v>0</v>
      </c>
      <c r="F271" s="278">
        <f t="shared" ref="F271:J271" si="576">+F267*20%</f>
        <v>0</v>
      </c>
      <c r="G271" s="278">
        <f t="shared" si="576"/>
        <v>0</v>
      </c>
      <c r="H271" s="278">
        <f t="shared" si="576"/>
        <v>0</v>
      </c>
      <c r="I271" s="278">
        <f t="shared" si="576"/>
        <v>0</v>
      </c>
      <c r="J271" s="278">
        <f t="shared" si="576"/>
        <v>0</v>
      </c>
      <c r="K271" s="281">
        <f t="shared" si="468"/>
        <v>78000000</v>
      </c>
      <c r="L271" s="278">
        <f t="shared" ref="L271:Q271" si="577">+L267*20%</f>
        <v>3895663.7960000001</v>
      </c>
      <c r="M271" s="278">
        <f t="shared" si="577"/>
        <v>3132084.0120000001</v>
      </c>
      <c r="N271" s="278">
        <f t="shared" si="577"/>
        <v>3914675.6560000004</v>
      </c>
      <c r="O271" s="278">
        <f t="shared" si="577"/>
        <v>4273281.2520000003</v>
      </c>
      <c r="P271" s="278">
        <f t="shared" si="577"/>
        <v>4786379.1260000002</v>
      </c>
      <c r="Q271" s="278">
        <f t="shared" si="577"/>
        <v>4959414.6700000009</v>
      </c>
      <c r="R271" s="281">
        <f t="shared" si="474"/>
        <v>24961498.512000002</v>
      </c>
      <c r="S271" s="278">
        <f t="shared" ref="S271:Z271" si="578">+S267*20%</f>
        <v>5611584.4600000009</v>
      </c>
      <c r="T271" s="278">
        <f t="shared" si="578"/>
        <v>3886350.0060000005</v>
      </c>
      <c r="U271" s="278">
        <f t="shared" si="578"/>
        <v>2396437.344</v>
      </c>
      <c r="V271" s="278">
        <f t="shared" si="578"/>
        <v>2990695.818</v>
      </c>
      <c r="W271" s="278">
        <f t="shared" si="578"/>
        <v>4053532.39</v>
      </c>
      <c r="X271" s="278">
        <f t="shared" si="578"/>
        <v>4588607.1920000007</v>
      </c>
      <c r="Y271" s="278">
        <f t="shared" si="578"/>
        <v>0</v>
      </c>
      <c r="Z271" s="278">
        <f t="shared" si="578"/>
        <v>0</v>
      </c>
      <c r="AA271" s="281">
        <f t="shared" si="480"/>
        <v>23527207.210000005</v>
      </c>
      <c r="AB271" s="403">
        <f t="shared" si="475"/>
        <v>48488705.722000003</v>
      </c>
      <c r="AC271" s="326">
        <f t="shared" si="479"/>
        <v>0.62165007335897438</v>
      </c>
    </row>
    <row r="272" spans="1:29" s="61" customFormat="1" ht="15.75" x14ac:dyDescent="0.2">
      <c r="A272" s="421">
        <v>1</v>
      </c>
      <c r="B272" s="338" t="s">
        <v>729</v>
      </c>
      <c r="C272" s="334" t="s">
        <v>730</v>
      </c>
      <c r="D272" s="330">
        <v>198000000</v>
      </c>
      <c r="E272" s="322">
        <f>SUM('ADICIONES  2021'!C272:N272)</f>
        <v>3756634</v>
      </c>
      <c r="F272" s="279"/>
      <c r="G272" s="279"/>
      <c r="H272" s="279"/>
      <c r="I272" s="279"/>
      <c r="J272" s="279"/>
      <c r="K272" s="276">
        <f t="shared" si="468"/>
        <v>201756634</v>
      </c>
      <c r="L272" s="279">
        <v>18949278.350000001</v>
      </c>
      <c r="M272" s="279">
        <v>19433337.82</v>
      </c>
      <c r="N272" s="279">
        <v>26599366.190000001</v>
      </c>
      <c r="O272" s="279">
        <v>26721655.670000002</v>
      </c>
      <c r="P272" s="279">
        <v>29159986.800000001</v>
      </c>
      <c r="Q272" s="279">
        <v>30065097.59</v>
      </c>
      <c r="R272" s="276">
        <f t="shared" si="474"/>
        <v>150928722.41999999</v>
      </c>
      <c r="S272" s="279">
        <v>30322783.309999999</v>
      </c>
      <c r="T272" s="279">
        <v>30556372.609999999</v>
      </c>
      <c r="U272" s="279">
        <v>29153235.059999999</v>
      </c>
      <c r="V272" s="279">
        <v>22681320.91</v>
      </c>
      <c r="W272" s="279">
        <v>22831116.07</v>
      </c>
      <c r="X272" s="279">
        <v>24731963.18</v>
      </c>
      <c r="Y272" s="279"/>
      <c r="Z272" s="279"/>
      <c r="AA272" s="276">
        <f t="shared" si="480"/>
        <v>160276791.14000002</v>
      </c>
      <c r="AB272" s="402">
        <f t="shared" si="475"/>
        <v>311205513.56</v>
      </c>
      <c r="AC272" s="321">
        <f t="shared" si="479"/>
        <v>1.5424797063178601</v>
      </c>
    </row>
    <row r="273" spans="1:29" ht="14.25" x14ac:dyDescent="0.2">
      <c r="B273" s="337" t="s">
        <v>731</v>
      </c>
      <c r="C273" s="329" t="s">
        <v>95</v>
      </c>
      <c r="D273" s="328">
        <f>+D272*80%</f>
        <v>158400000</v>
      </c>
      <c r="E273" s="325">
        <f>SUM('ADICIONES  2021'!C273:N273)</f>
        <v>0</v>
      </c>
      <c r="F273" s="278">
        <f t="shared" ref="F273:J273" si="579">+F272*80%</f>
        <v>0</v>
      </c>
      <c r="G273" s="278">
        <f t="shared" si="579"/>
        <v>0</v>
      </c>
      <c r="H273" s="278">
        <f t="shared" si="579"/>
        <v>0</v>
      </c>
      <c r="I273" s="278">
        <f t="shared" si="579"/>
        <v>0</v>
      </c>
      <c r="J273" s="278">
        <f t="shared" si="579"/>
        <v>0</v>
      </c>
      <c r="K273" s="281">
        <f t="shared" ref="K273:K351" si="580">+D273+E273-F273+G273-H273</f>
        <v>158400000</v>
      </c>
      <c r="L273" s="278">
        <f t="shared" ref="L273:Q273" si="581">+L272*80%</f>
        <v>15159422.680000002</v>
      </c>
      <c r="M273" s="278">
        <f t="shared" si="581"/>
        <v>15546670.256000001</v>
      </c>
      <c r="N273" s="278">
        <f t="shared" si="581"/>
        <v>21279492.952000003</v>
      </c>
      <c r="O273" s="278">
        <f t="shared" si="581"/>
        <v>21377324.536000002</v>
      </c>
      <c r="P273" s="278">
        <f t="shared" si="581"/>
        <v>23327989.440000001</v>
      </c>
      <c r="Q273" s="278">
        <f t="shared" si="581"/>
        <v>24052078.072000001</v>
      </c>
      <c r="R273" s="281">
        <f t="shared" si="474"/>
        <v>120742977.936</v>
      </c>
      <c r="S273" s="278">
        <f t="shared" ref="S273:Z273" si="582">+S272*80%</f>
        <v>24258226.648000002</v>
      </c>
      <c r="T273" s="278">
        <f t="shared" si="582"/>
        <v>24445098.088</v>
      </c>
      <c r="U273" s="278">
        <f t="shared" si="582"/>
        <v>23322588.048</v>
      </c>
      <c r="V273" s="278">
        <f t="shared" si="582"/>
        <v>18145056.728</v>
      </c>
      <c r="W273" s="278">
        <f t="shared" si="582"/>
        <v>18264892.856000002</v>
      </c>
      <c r="X273" s="278">
        <f t="shared" si="582"/>
        <v>19785570.544</v>
      </c>
      <c r="Y273" s="278">
        <f t="shared" si="582"/>
        <v>0</v>
      </c>
      <c r="Z273" s="278">
        <f t="shared" si="582"/>
        <v>0</v>
      </c>
      <c r="AA273" s="281">
        <f t="shared" si="480"/>
        <v>128221432.91200002</v>
      </c>
      <c r="AB273" s="403">
        <f t="shared" si="475"/>
        <v>248964410.84800002</v>
      </c>
      <c r="AC273" s="326">
        <v>0</v>
      </c>
    </row>
    <row r="274" spans="1:29" ht="14.25" x14ac:dyDescent="0.2">
      <c r="B274" s="337" t="s">
        <v>731</v>
      </c>
      <c r="C274" s="329" t="s">
        <v>95</v>
      </c>
      <c r="D274" s="328"/>
      <c r="E274" s="325">
        <f>SUM('ADICIONES  2021'!C274:N274)</f>
        <v>3756634</v>
      </c>
      <c r="F274" s="278"/>
      <c r="G274" s="278"/>
      <c r="H274" s="278"/>
      <c r="I274" s="278"/>
      <c r="J274" s="278"/>
      <c r="K274" s="281">
        <f t="shared" si="580"/>
        <v>3756634</v>
      </c>
      <c r="L274" s="278"/>
      <c r="M274" s="278"/>
      <c r="N274" s="278"/>
      <c r="O274" s="278"/>
      <c r="P274" s="278"/>
      <c r="Q274" s="278"/>
      <c r="R274" s="281">
        <f t="shared" si="474"/>
        <v>0</v>
      </c>
      <c r="S274" s="278"/>
      <c r="T274" s="278"/>
      <c r="U274" s="278"/>
      <c r="V274" s="278"/>
      <c r="W274" s="278"/>
      <c r="X274" s="278"/>
      <c r="Y274" s="278"/>
      <c r="Z274" s="278"/>
      <c r="AA274" s="281">
        <f t="shared" si="480"/>
        <v>0</v>
      </c>
      <c r="AB274" s="403">
        <f t="shared" si="475"/>
        <v>0</v>
      </c>
      <c r="AC274" s="326">
        <v>1</v>
      </c>
    </row>
    <row r="275" spans="1:29" ht="14.25" x14ac:dyDescent="0.2">
      <c r="B275" s="337" t="s">
        <v>732</v>
      </c>
      <c r="C275" s="327" t="s">
        <v>96</v>
      </c>
      <c r="D275" s="328">
        <f>+D272*20%</f>
        <v>39600000</v>
      </c>
      <c r="E275" s="325">
        <f>SUM('ADICIONES  2021'!C275:N275)</f>
        <v>0</v>
      </c>
      <c r="F275" s="278">
        <f t="shared" ref="F275:J275" si="583">+F272*20%</f>
        <v>0</v>
      </c>
      <c r="G275" s="278">
        <f t="shared" si="583"/>
        <v>0</v>
      </c>
      <c r="H275" s="278">
        <f t="shared" si="583"/>
        <v>0</v>
      </c>
      <c r="I275" s="278">
        <f t="shared" si="583"/>
        <v>0</v>
      </c>
      <c r="J275" s="278">
        <f t="shared" si="583"/>
        <v>0</v>
      </c>
      <c r="K275" s="281">
        <f t="shared" si="580"/>
        <v>39600000</v>
      </c>
      <c r="L275" s="278">
        <f t="shared" ref="L275:Q275" si="584">+L272*20%</f>
        <v>3789855.6700000004</v>
      </c>
      <c r="M275" s="278">
        <f t="shared" si="584"/>
        <v>3886667.5640000002</v>
      </c>
      <c r="N275" s="278">
        <f t="shared" si="584"/>
        <v>5319873.2380000008</v>
      </c>
      <c r="O275" s="278">
        <f t="shared" si="584"/>
        <v>5344331.1340000005</v>
      </c>
      <c r="P275" s="278">
        <f t="shared" si="584"/>
        <v>5831997.3600000003</v>
      </c>
      <c r="Q275" s="278">
        <f t="shared" si="584"/>
        <v>6013019.5180000002</v>
      </c>
      <c r="R275" s="281">
        <f t="shared" si="474"/>
        <v>30185744.484000001</v>
      </c>
      <c r="S275" s="278">
        <f t="shared" ref="S275:Z275" si="585">+S272*20%</f>
        <v>6064556.6620000005</v>
      </c>
      <c r="T275" s="278">
        <f t="shared" si="585"/>
        <v>6111274.5219999999</v>
      </c>
      <c r="U275" s="278">
        <f t="shared" si="585"/>
        <v>5830647.0120000001</v>
      </c>
      <c r="V275" s="278">
        <f t="shared" si="585"/>
        <v>4536264.182</v>
      </c>
      <c r="W275" s="278">
        <f t="shared" si="585"/>
        <v>4566223.2140000006</v>
      </c>
      <c r="X275" s="278">
        <f t="shared" si="585"/>
        <v>4946392.6359999999</v>
      </c>
      <c r="Y275" s="278">
        <f t="shared" si="585"/>
        <v>0</v>
      </c>
      <c r="Z275" s="278">
        <f t="shared" si="585"/>
        <v>0</v>
      </c>
      <c r="AA275" s="281">
        <f t="shared" si="480"/>
        <v>32055358.228000004</v>
      </c>
      <c r="AB275" s="403">
        <f t="shared" si="475"/>
        <v>62241102.712000005</v>
      </c>
      <c r="AC275" s="326">
        <f t="shared" si="479"/>
        <v>1.571745017979798</v>
      </c>
    </row>
    <row r="276" spans="1:29" s="61" customFormat="1" ht="15.75" x14ac:dyDescent="0.2">
      <c r="A276" s="421">
        <v>1</v>
      </c>
      <c r="B276" s="338" t="s">
        <v>733</v>
      </c>
      <c r="C276" s="339" t="s">
        <v>327</v>
      </c>
      <c r="D276" s="340">
        <v>90000000</v>
      </c>
      <c r="E276" s="322">
        <f>SUM('ADICIONES  2021'!C276:N276)</f>
        <v>0</v>
      </c>
      <c r="F276" s="284"/>
      <c r="G276" s="284"/>
      <c r="H276" s="284"/>
      <c r="I276" s="284"/>
      <c r="J276" s="284"/>
      <c r="K276" s="276">
        <f t="shared" si="580"/>
        <v>90000000</v>
      </c>
      <c r="L276" s="284">
        <v>8014862</v>
      </c>
      <c r="M276" s="284">
        <v>7320801.1399999997</v>
      </c>
      <c r="N276" s="284">
        <v>11439079</v>
      </c>
      <c r="O276" s="284">
        <v>7330527</v>
      </c>
      <c r="P276" s="284">
        <v>8239909</v>
      </c>
      <c r="Q276" s="284">
        <v>6135589</v>
      </c>
      <c r="R276" s="276">
        <f t="shared" ref="R276:R353" si="586">SUM(L276:Q276)</f>
        <v>48480767.140000001</v>
      </c>
      <c r="S276" s="284">
        <v>4105927</v>
      </c>
      <c r="T276" s="284">
        <v>2828158</v>
      </c>
      <c r="U276" s="284">
        <v>2834734</v>
      </c>
      <c r="V276" s="284">
        <v>3273175</v>
      </c>
      <c r="W276" s="284">
        <v>3172453</v>
      </c>
      <c r="X276" s="284">
        <v>3279829</v>
      </c>
      <c r="Y276" s="284"/>
      <c r="Z276" s="284"/>
      <c r="AA276" s="276">
        <f t="shared" si="480"/>
        <v>19494276</v>
      </c>
      <c r="AB276" s="402">
        <f t="shared" ref="AB276:AB353" si="587">+R276+AA276</f>
        <v>67975043.140000001</v>
      </c>
      <c r="AC276" s="321">
        <f t="shared" si="479"/>
        <v>0.75527825711111107</v>
      </c>
    </row>
    <row r="277" spans="1:29" ht="14.25" x14ac:dyDescent="0.2">
      <c r="B277" s="337" t="s">
        <v>734</v>
      </c>
      <c r="C277" s="327" t="s">
        <v>327</v>
      </c>
      <c r="D277" s="328">
        <f>+(D276-D278)*75%</f>
        <v>54000000</v>
      </c>
      <c r="E277" s="325">
        <f>SUM('ADICIONES  2021'!C277:N277)</f>
        <v>0</v>
      </c>
      <c r="F277" s="278">
        <f t="shared" ref="F277:J277" si="588">+(F276-F278)*75%</f>
        <v>0</v>
      </c>
      <c r="G277" s="278">
        <f t="shared" si="588"/>
        <v>0</v>
      </c>
      <c r="H277" s="278">
        <f t="shared" si="588"/>
        <v>0</v>
      </c>
      <c r="I277" s="278">
        <f t="shared" si="588"/>
        <v>0</v>
      </c>
      <c r="J277" s="278">
        <f t="shared" si="588"/>
        <v>0</v>
      </c>
      <c r="K277" s="281">
        <f t="shared" si="580"/>
        <v>54000000</v>
      </c>
      <c r="L277" s="278">
        <f t="shared" ref="L277:Q277" si="589">+(L276-L278)*75%</f>
        <v>4808917.1999999993</v>
      </c>
      <c r="M277" s="278">
        <f t="shared" si="589"/>
        <v>4392480.6839999994</v>
      </c>
      <c r="N277" s="278">
        <f t="shared" si="589"/>
        <v>6863447.3999999994</v>
      </c>
      <c r="O277" s="278">
        <f t="shared" si="589"/>
        <v>4398316.1999999993</v>
      </c>
      <c r="P277" s="278">
        <f t="shared" si="589"/>
        <v>4943945.4000000004</v>
      </c>
      <c r="Q277" s="278">
        <f t="shared" si="589"/>
        <v>3681353.4000000004</v>
      </c>
      <c r="R277" s="281">
        <f t="shared" si="586"/>
        <v>29088460.283999994</v>
      </c>
      <c r="S277" s="278">
        <f t="shared" ref="S277:Z277" si="590">+(S276-S278)*75%</f>
        <v>2463556.2000000002</v>
      </c>
      <c r="T277" s="278">
        <f t="shared" si="590"/>
        <v>1696894.7999999998</v>
      </c>
      <c r="U277" s="278">
        <f t="shared" si="590"/>
        <v>1700840.4000000001</v>
      </c>
      <c r="V277" s="278">
        <f t="shared" si="590"/>
        <v>1963905</v>
      </c>
      <c r="W277" s="278">
        <f t="shared" si="590"/>
        <v>1903471.7999999998</v>
      </c>
      <c r="X277" s="278">
        <f t="shared" si="590"/>
        <v>1967897.4000000001</v>
      </c>
      <c r="Y277" s="278">
        <f t="shared" si="590"/>
        <v>0</v>
      </c>
      <c r="Z277" s="278">
        <f t="shared" si="590"/>
        <v>0</v>
      </c>
      <c r="AA277" s="281">
        <f t="shared" si="480"/>
        <v>11696565.6</v>
      </c>
      <c r="AB277" s="403">
        <f t="shared" si="587"/>
        <v>40785025.883999996</v>
      </c>
      <c r="AC277" s="326">
        <f t="shared" si="479"/>
        <v>0.75527825711111107</v>
      </c>
    </row>
    <row r="278" spans="1:29" ht="25.5" x14ac:dyDescent="0.2">
      <c r="B278" s="337" t="s">
        <v>735</v>
      </c>
      <c r="C278" s="329" t="s">
        <v>328</v>
      </c>
      <c r="D278" s="328">
        <f>+D276*20%</f>
        <v>18000000</v>
      </c>
      <c r="E278" s="325">
        <f>SUM('ADICIONES  2021'!C278:N278)</f>
        <v>0</v>
      </c>
      <c r="F278" s="278">
        <f t="shared" ref="F278:J278" si="591">+F276*20%</f>
        <v>0</v>
      </c>
      <c r="G278" s="278">
        <f t="shared" si="591"/>
        <v>0</v>
      </c>
      <c r="H278" s="278">
        <f t="shared" si="591"/>
        <v>0</v>
      </c>
      <c r="I278" s="278">
        <f t="shared" si="591"/>
        <v>0</v>
      </c>
      <c r="J278" s="278">
        <f t="shared" si="591"/>
        <v>0</v>
      </c>
      <c r="K278" s="281">
        <f t="shared" si="580"/>
        <v>18000000</v>
      </c>
      <c r="L278" s="278">
        <f t="shared" ref="L278:Q278" si="592">+L276*20%</f>
        <v>1602972.4000000001</v>
      </c>
      <c r="M278" s="278">
        <f t="shared" si="592"/>
        <v>1464160.2280000001</v>
      </c>
      <c r="N278" s="278">
        <f t="shared" si="592"/>
        <v>2287815.8000000003</v>
      </c>
      <c r="O278" s="278">
        <f t="shared" si="592"/>
        <v>1466105.4000000001</v>
      </c>
      <c r="P278" s="278">
        <f t="shared" si="592"/>
        <v>1647981.8</v>
      </c>
      <c r="Q278" s="278">
        <f t="shared" si="592"/>
        <v>1227117.8</v>
      </c>
      <c r="R278" s="281">
        <f t="shared" si="586"/>
        <v>9696153.4280000031</v>
      </c>
      <c r="S278" s="278">
        <f t="shared" ref="S278:Z278" si="593">+S276*20%</f>
        <v>821185.4</v>
      </c>
      <c r="T278" s="278">
        <f t="shared" si="593"/>
        <v>565631.6</v>
      </c>
      <c r="U278" s="278">
        <f t="shared" si="593"/>
        <v>566946.80000000005</v>
      </c>
      <c r="V278" s="278">
        <f t="shared" si="593"/>
        <v>654635</v>
      </c>
      <c r="W278" s="278">
        <f t="shared" si="593"/>
        <v>634490.60000000009</v>
      </c>
      <c r="X278" s="278">
        <f t="shared" si="593"/>
        <v>655965.80000000005</v>
      </c>
      <c r="Y278" s="278">
        <f t="shared" si="593"/>
        <v>0</v>
      </c>
      <c r="Z278" s="278">
        <f t="shared" si="593"/>
        <v>0</v>
      </c>
      <c r="AA278" s="281">
        <f t="shared" si="480"/>
        <v>3898855.2</v>
      </c>
      <c r="AB278" s="403">
        <f t="shared" si="587"/>
        <v>13595008.628000002</v>
      </c>
      <c r="AC278" s="326">
        <f t="shared" si="479"/>
        <v>0.7552782571111113</v>
      </c>
    </row>
    <row r="279" spans="1:29" ht="25.5" x14ac:dyDescent="0.2">
      <c r="B279" s="337" t="s">
        <v>736</v>
      </c>
      <c r="C279" s="327" t="s">
        <v>329</v>
      </c>
      <c r="D279" s="328">
        <f>+D276-D277-D278</f>
        <v>18000000</v>
      </c>
      <c r="E279" s="325">
        <f>SUM('ADICIONES  2021'!C279:N279)</f>
        <v>0</v>
      </c>
      <c r="F279" s="278">
        <f t="shared" ref="F279:J279" si="594">+F276-F277-F278</f>
        <v>0</v>
      </c>
      <c r="G279" s="278">
        <f t="shared" si="594"/>
        <v>0</v>
      </c>
      <c r="H279" s="278">
        <f t="shared" si="594"/>
        <v>0</v>
      </c>
      <c r="I279" s="278">
        <f t="shared" si="594"/>
        <v>0</v>
      </c>
      <c r="J279" s="278">
        <f t="shared" si="594"/>
        <v>0</v>
      </c>
      <c r="K279" s="281">
        <f t="shared" si="580"/>
        <v>18000000</v>
      </c>
      <c r="L279" s="278">
        <f t="shared" ref="L279:Q279" si="595">+L276-L277-L278</f>
        <v>1602972.4000000006</v>
      </c>
      <c r="M279" s="278">
        <f t="shared" si="595"/>
        <v>1464160.2280000001</v>
      </c>
      <c r="N279" s="278">
        <f t="shared" si="595"/>
        <v>2287815.8000000003</v>
      </c>
      <c r="O279" s="278">
        <f t="shared" si="595"/>
        <v>1466105.4000000006</v>
      </c>
      <c r="P279" s="278">
        <f t="shared" si="595"/>
        <v>1647981.7999999996</v>
      </c>
      <c r="Q279" s="278">
        <f t="shared" si="595"/>
        <v>1227117.7999999996</v>
      </c>
      <c r="R279" s="281">
        <f t="shared" si="586"/>
        <v>9696153.4279999994</v>
      </c>
      <c r="S279" s="278">
        <f t="shared" ref="S279:Z279" si="596">+S276-S277-S278</f>
        <v>821185.39999999979</v>
      </c>
      <c r="T279" s="278">
        <f t="shared" si="596"/>
        <v>565631.60000000021</v>
      </c>
      <c r="U279" s="278">
        <f t="shared" si="596"/>
        <v>566946.79999999981</v>
      </c>
      <c r="V279" s="278">
        <f t="shared" si="596"/>
        <v>654635</v>
      </c>
      <c r="W279" s="278">
        <f t="shared" si="596"/>
        <v>634490.60000000009</v>
      </c>
      <c r="X279" s="278">
        <f t="shared" si="596"/>
        <v>655965.79999999981</v>
      </c>
      <c r="Y279" s="278">
        <f t="shared" si="596"/>
        <v>0</v>
      </c>
      <c r="Z279" s="278">
        <f t="shared" si="596"/>
        <v>0</v>
      </c>
      <c r="AA279" s="281">
        <f t="shared" si="480"/>
        <v>3898855.1999999997</v>
      </c>
      <c r="AB279" s="403">
        <f t="shared" si="587"/>
        <v>13595008.627999999</v>
      </c>
      <c r="AC279" s="326">
        <f t="shared" si="479"/>
        <v>0.75527825711111107</v>
      </c>
    </row>
    <row r="280" spans="1:29" s="61" customFormat="1" ht="15.75" x14ac:dyDescent="0.2">
      <c r="A280" s="421">
        <v>1</v>
      </c>
      <c r="B280" s="338" t="s">
        <v>737</v>
      </c>
      <c r="C280" s="341" t="s">
        <v>738</v>
      </c>
      <c r="D280" s="340">
        <v>188000000</v>
      </c>
      <c r="E280" s="322">
        <f>SUM('ADICIONES  2021'!C280:N280)</f>
        <v>0</v>
      </c>
      <c r="F280" s="284"/>
      <c r="G280" s="284"/>
      <c r="H280" s="284"/>
      <c r="I280" s="284"/>
      <c r="J280" s="284"/>
      <c r="K280" s="276">
        <f t="shared" si="580"/>
        <v>188000000</v>
      </c>
      <c r="L280" s="284">
        <v>4218189</v>
      </c>
      <c r="M280" s="284">
        <v>7024563</v>
      </c>
      <c r="N280" s="284">
        <v>13374526</v>
      </c>
      <c r="O280" s="284">
        <v>7774647</v>
      </c>
      <c r="P280" s="284">
        <v>9513861</v>
      </c>
      <c r="Q280" s="284">
        <v>6784426</v>
      </c>
      <c r="R280" s="276">
        <f t="shared" si="586"/>
        <v>48690212</v>
      </c>
      <c r="S280" s="284">
        <v>5319932</v>
      </c>
      <c r="T280" s="284">
        <v>2849454</v>
      </c>
      <c r="U280" s="284">
        <v>2557748</v>
      </c>
      <c r="V280" s="284">
        <v>3673553</v>
      </c>
      <c r="W280" s="284">
        <v>3236740</v>
      </c>
      <c r="X280" s="284">
        <v>4172438</v>
      </c>
      <c r="Y280" s="284"/>
      <c r="Z280" s="284"/>
      <c r="AA280" s="276">
        <f t="shared" si="480"/>
        <v>21809865</v>
      </c>
      <c r="AB280" s="402">
        <f t="shared" si="587"/>
        <v>70500077</v>
      </c>
      <c r="AC280" s="321">
        <f t="shared" si="479"/>
        <v>0.37500040957446806</v>
      </c>
    </row>
    <row r="281" spans="1:29" ht="14.25" x14ac:dyDescent="0.2">
      <c r="B281" s="337" t="s">
        <v>739</v>
      </c>
      <c r="C281" s="327" t="s">
        <v>97</v>
      </c>
      <c r="D281" s="328">
        <f>+D280*75%</f>
        <v>141000000</v>
      </c>
      <c r="E281" s="325">
        <f>SUM('ADICIONES  2021'!C281:N281)</f>
        <v>0</v>
      </c>
      <c r="F281" s="278">
        <f t="shared" ref="F281:J281" si="597">+F280*75%</f>
        <v>0</v>
      </c>
      <c r="G281" s="278">
        <f t="shared" si="597"/>
        <v>0</v>
      </c>
      <c r="H281" s="278">
        <f t="shared" si="597"/>
        <v>0</v>
      </c>
      <c r="I281" s="278">
        <f t="shared" si="597"/>
        <v>0</v>
      </c>
      <c r="J281" s="278">
        <f t="shared" si="597"/>
        <v>0</v>
      </c>
      <c r="K281" s="281">
        <f t="shared" si="580"/>
        <v>141000000</v>
      </c>
      <c r="L281" s="278">
        <f t="shared" ref="L281:Q281" si="598">+L280*75%</f>
        <v>3163641.75</v>
      </c>
      <c r="M281" s="278">
        <f t="shared" si="598"/>
        <v>5268422.25</v>
      </c>
      <c r="N281" s="278">
        <f t="shared" si="598"/>
        <v>10030894.5</v>
      </c>
      <c r="O281" s="278">
        <f t="shared" si="598"/>
        <v>5830985.25</v>
      </c>
      <c r="P281" s="278">
        <f t="shared" si="598"/>
        <v>7135395.75</v>
      </c>
      <c r="Q281" s="278">
        <f t="shared" si="598"/>
        <v>5088319.5</v>
      </c>
      <c r="R281" s="281">
        <f t="shared" si="586"/>
        <v>36517659</v>
      </c>
      <c r="S281" s="278">
        <f t="shared" ref="S281:Z281" si="599">+S280*75%</f>
        <v>3989949</v>
      </c>
      <c r="T281" s="278">
        <f t="shared" si="599"/>
        <v>2137090.5</v>
      </c>
      <c r="U281" s="278">
        <f t="shared" si="599"/>
        <v>1918311</v>
      </c>
      <c r="V281" s="278">
        <f t="shared" si="599"/>
        <v>2755164.75</v>
      </c>
      <c r="W281" s="278">
        <f t="shared" si="599"/>
        <v>2427555</v>
      </c>
      <c r="X281" s="278">
        <f t="shared" si="599"/>
        <v>3129328.5</v>
      </c>
      <c r="Y281" s="278">
        <f t="shared" si="599"/>
        <v>0</v>
      </c>
      <c r="Z281" s="278">
        <f t="shared" si="599"/>
        <v>0</v>
      </c>
      <c r="AA281" s="281">
        <f t="shared" ref="AA281:AA606" si="600">SUM(S281:Z281)</f>
        <v>16357398.75</v>
      </c>
      <c r="AB281" s="403">
        <f t="shared" si="587"/>
        <v>52875057.75</v>
      </c>
      <c r="AC281" s="326">
        <f t="shared" si="479"/>
        <v>0.37500040957446806</v>
      </c>
    </row>
    <row r="282" spans="1:29" ht="14.25" x14ac:dyDescent="0.2">
      <c r="B282" s="323" t="s">
        <v>740</v>
      </c>
      <c r="C282" s="206" t="s">
        <v>98</v>
      </c>
      <c r="D282" s="328">
        <f>+D280*12%</f>
        <v>22560000</v>
      </c>
      <c r="E282" s="325">
        <f>SUM('ADICIONES  2021'!C282:N282)</f>
        <v>0</v>
      </c>
      <c r="F282" s="278">
        <f t="shared" ref="F282:J282" si="601">+F280*12%</f>
        <v>0</v>
      </c>
      <c r="G282" s="278">
        <f t="shared" si="601"/>
        <v>0</v>
      </c>
      <c r="H282" s="278">
        <f t="shared" si="601"/>
        <v>0</v>
      </c>
      <c r="I282" s="278">
        <f t="shared" si="601"/>
        <v>0</v>
      </c>
      <c r="J282" s="278">
        <f t="shared" si="601"/>
        <v>0</v>
      </c>
      <c r="K282" s="281">
        <f t="shared" si="580"/>
        <v>22560000</v>
      </c>
      <c r="L282" s="278">
        <f t="shared" ref="L282:Q282" si="602">+L280*12%</f>
        <v>506182.68</v>
      </c>
      <c r="M282" s="278">
        <f t="shared" si="602"/>
        <v>842947.55999999994</v>
      </c>
      <c r="N282" s="278">
        <f t="shared" si="602"/>
        <v>1604943.1199999999</v>
      </c>
      <c r="O282" s="278">
        <f t="shared" si="602"/>
        <v>932957.64</v>
      </c>
      <c r="P282" s="278">
        <f t="shared" si="602"/>
        <v>1141663.32</v>
      </c>
      <c r="Q282" s="278">
        <f t="shared" si="602"/>
        <v>814131.12</v>
      </c>
      <c r="R282" s="281">
        <f t="shared" si="586"/>
        <v>5842825.4400000004</v>
      </c>
      <c r="S282" s="278">
        <f t="shared" ref="S282:Z282" si="603">+S280*12%</f>
        <v>638391.84</v>
      </c>
      <c r="T282" s="278">
        <f t="shared" si="603"/>
        <v>341934.48</v>
      </c>
      <c r="U282" s="278">
        <f t="shared" si="603"/>
        <v>306929.76</v>
      </c>
      <c r="V282" s="278">
        <f t="shared" si="603"/>
        <v>440826.36</v>
      </c>
      <c r="W282" s="278">
        <f t="shared" si="603"/>
        <v>388408.8</v>
      </c>
      <c r="X282" s="278">
        <f t="shared" si="603"/>
        <v>500692.56</v>
      </c>
      <c r="Y282" s="278">
        <f t="shared" si="603"/>
        <v>0</v>
      </c>
      <c r="Z282" s="278">
        <f t="shared" si="603"/>
        <v>0</v>
      </c>
      <c r="AA282" s="281">
        <f t="shared" si="600"/>
        <v>2617183.7999999998</v>
      </c>
      <c r="AB282" s="403">
        <f t="shared" si="587"/>
        <v>8460009.2400000002</v>
      </c>
      <c r="AC282" s="326">
        <f t="shared" si="479"/>
        <v>0.37500040957446812</v>
      </c>
    </row>
    <row r="283" spans="1:29" ht="14.25" x14ac:dyDescent="0.2">
      <c r="B283" s="323" t="s">
        <v>741</v>
      </c>
      <c r="C283" s="206" t="s">
        <v>99</v>
      </c>
      <c r="D283" s="328">
        <f>+D280*8%</f>
        <v>15040000</v>
      </c>
      <c r="E283" s="325">
        <f>SUM('ADICIONES  2021'!C283:N283)</f>
        <v>0</v>
      </c>
      <c r="F283" s="278">
        <f t="shared" ref="F283:J283" si="604">+F280*8%</f>
        <v>0</v>
      </c>
      <c r="G283" s="278">
        <f t="shared" si="604"/>
        <v>0</v>
      </c>
      <c r="H283" s="278">
        <f t="shared" si="604"/>
        <v>0</v>
      </c>
      <c r="I283" s="278">
        <f t="shared" si="604"/>
        <v>0</v>
      </c>
      <c r="J283" s="278">
        <f t="shared" si="604"/>
        <v>0</v>
      </c>
      <c r="K283" s="281">
        <f t="shared" si="580"/>
        <v>15040000</v>
      </c>
      <c r="L283" s="278">
        <f t="shared" ref="L283:Q283" si="605">+L280*8%</f>
        <v>337455.12</v>
      </c>
      <c r="M283" s="278">
        <f t="shared" si="605"/>
        <v>561965.04</v>
      </c>
      <c r="N283" s="278">
        <f t="shared" si="605"/>
        <v>1069962.08</v>
      </c>
      <c r="O283" s="278">
        <f t="shared" si="605"/>
        <v>621971.76</v>
      </c>
      <c r="P283" s="278">
        <f t="shared" si="605"/>
        <v>761108.88</v>
      </c>
      <c r="Q283" s="278">
        <f t="shared" si="605"/>
        <v>542754.07999999996</v>
      </c>
      <c r="R283" s="281">
        <f t="shared" si="586"/>
        <v>3895216.96</v>
      </c>
      <c r="S283" s="278">
        <f t="shared" ref="S283:Z283" si="606">+S280*8%</f>
        <v>425594.56</v>
      </c>
      <c r="T283" s="278">
        <f t="shared" si="606"/>
        <v>227956.32</v>
      </c>
      <c r="U283" s="278">
        <f t="shared" si="606"/>
        <v>204619.84</v>
      </c>
      <c r="V283" s="278">
        <f t="shared" si="606"/>
        <v>293884.24</v>
      </c>
      <c r="W283" s="278">
        <f t="shared" si="606"/>
        <v>258939.2</v>
      </c>
      <c r="X283" s="278">
        <f t="shared" si="606"/>
        <v>333795.03999999998</v>
      </c>
      <c r="Y283" s="278">
        <f t="shared" si="606"/>
        <v>0</v>
      </c>
      <c r="Z283" s="278">
        <f t="shared" si="606"/>
        <v>0</v>
      </c>
      <c r="AA283" s="281">
        <f t="shared" si="600"/>
        <v>1744789.2</v>
      </c>
      <c r="AB283" s="403">
        <f t="shared" si="587"/>
        <v>5640006.1600000001</v>
      </c>
      <c r="AC283" s="326">
        <f t="shared" si="479"/>
        <v>0.37500040957446812</v>
      </c>
    </row>
    <row r="284" spans="1:29" ht="14.25" x14ac:dyDescent="0.2">
      <c r="B284" s="323" t="s">
        <v>742</v>
      </c>
      <c r="C284" s="206" t="s">
        <v>100</v>
      </c>
      <c r="D284" s="328">
        <f>+D280*3%</f>
        <v>5640000</v>
      </c>
      <c r="E284" s="325">
        <f>SUM('ADICIONES  2021'!C284:N284)</f>
        <v>0</v>
      </c>
      <c r="F284" s="278">
        <f t="shared" ref="F284:J284" si="607">+F280*3%</f>
        <v>0</v>
      </c>
      <c r="G284" s="278">
        <f t="shared" si="607"/>
        <v>0</v>
      </c>
      <c r="H284" s="278">
        <f t="shared" si="607"/>
        <v>0</v>
      </c>
      <c r="I284" s="278">
        <f t="shared" si="607"/>
        <v>0</v>
      </c>
      <c r="J284" s="278">
        <f t="shared" si="607"/>
        <v>0</v>
      </c>
      <c r="K284" s="281">
        <f t="shared" si="580"/>
        <v>5640000</v>
      </c>
      <c r="L284" s="278">
        <f t="shared" ref="L284:Q284" si="608">+L280*3%</f>
        <v>126545.67</v>
      </c>
      <c r="M284" s="278">
        <f t="shared" si="608"/>
        <v>210736.88999999998</v>
      </c>
      <c r="N284" s="278">
        <f t="shared" si="608"/>
        <v>401235.77999999997</v>
      </c>
      <c r="O284" s="278">
        <f t="shared" si="608"/>
        <v>233239.41</v>
      </c>
      <c r="P284" s="278">
        <f t="shared" si="608"/>
        <v>285415.83</v>
      </c>
      <c r="Q284" s="278">
        <f t="shared" si="608"/>
        <v>203532.78</v>
      </c>
      <c r="R284" s="281">
        <f t="shared" si="586"/>
        <v>1460706.36</v>
      </c>
      <c r="S284" s="278">
        <f t="shared" ref="S284:Z284" si="609">+S280*3%</f>
        <v>159597.96</v>
      </c>
      <c r="T284" s="278">
        <f t="shared" si="609"/>
        <v>85483.62</v>
      </c>
      <c r="U284" s="278">
        <f t="shared" si="609"/>
        <v>76732.44</v>
      </c>
      <c r="V284" s="278">
        <f t="shared" si="609"/>
        <v>110206.59</v>
      </c>
      <c r="W284" s="278">
        <f t="shared" si="609"/>
        <v>97102.2</v>
      </c>
      <c r="X284" s="278">
        <f t="shared" si="609"/>
        <v>125173.14</v>
      </c>
      <c r="Y284" s="278">
        <f t="shared" si="609"/>
        <v>0</v>
      </c>
      <c r="Z284" s="278">
        <f t="shared" si="609"/>
        <v>0</v>
      </c>
      <c r="AA284" s="281">
        <f t="shared" si="600"/>
        <v>654295.94999999995</v>
      </c>
      <c r="AB284" s="403">
        <f t="shared" si="587"/>
        <v>2115002.31</v>
      </c>
      <c r="AC284" s="326">
        <f t="shared" si="479"/>
        <v>0.37500040957446812</v>
      </c>
    </row>
    <row r="285" spans="1:29" ht="25.5" x14ac:dyDescent="0.2">
      <c r="B285" s="323" t="s">
        <v>743</v>
      </c>
      <c r="C285" s="206" t="s">
        <v>101</v>
      </c>
      <c r="D285" s="328">
        <f>+D280*2%</f>
        <v>3760000</v>
      </c>
      <c r="E285" s="325">
        <f>SUM('ADICIONES  2021'!C285:N285)</f>
        <v>0</v>
      </c>
      <c r="F285" s="278">
        <f t="shared" ref="F285:J285" si="610">+F280*2%</f>
        <v>0</v>
      </c>
      <c r="G285" s="278">
        <f t="shared" si="610"/>
        <v>0</v>
      </c>
      <c r="H285" s="278">
        <f t="shared" si="610"/>
        <v>0</v>
      </c>
      <c r="I285" s="278">
        <f t="shared" si="610"/>
        <v>0</v>
      </c>
      <c r="J285" s="278">
        <f t="shared" si="610"/>
        <v>0</v>
      </c>
      <c r="K285" s="281">
        <f t="shared" si="580"/>
        <v>3760000</v>
      </c>
      <c r="L285" s="278">
        <f t="shared" ref="L285:Q285" si="611">+L280*2%</f>
        <v>84363.78</v>
      </c>
      <c r="M285" s="278">
        <f t="shared" si="611"/>
        <v>140491.26</v>
      </c>
      <c r="N285" s="278">
        <f t="shared" si="611"/>
        <v>267490.52</v>
      </c>
      <c r="O285" s="278">
        <f t="shared" si="611"/>
        <v>155492.94</v>
      </c>
      <c r="P285" s="278">
        <f t="shared" si="611"/>
        <v>190277.22</v>
      </c>
      <c r="Q285" s="278">
        <f t="shared" si="611"/>
        <v>135688.51999999999</v>
      </c>
      <c r="R285" s="281">
        <f t="shared" si="586"/>
        <v>973804.24</v>
      </c>
      <c r="S285" s="278">
        <f t="shared" ref="S285:Z285" si="612">+S280*2%</f>
        <v>106398.64</v>
      </c>
      <c r="T285" s="278">
        <f t="shared" si="612"/>
        <v>56989.08</v>
      </c>
      <c r="U285" s="278">
        <f t="shared" si="612"/>
        <v>51154.96</v>
      </c>
      <c r="V285" s="278">
        <f t="shared" si="612"/>
        <v>73471.06</v>
      </c>
      <c r="W285" s="278">
        <f t="shared" si="612"/>
        <v>64734.8</v>
      </c>
      <c r="X285" s="278">
        <f t="shared" si="612"/>
        <v>83448.759999999995</v>
      </c>
      <c r="Y285" s="278">
        <f t="shared" si="612"/>
        <v>0</v>
      </c>
      <c r="Z285" s="278">
        <f t="shared" si="612"/>
        <v>0</v>
      </c>
      <c r="AA285" s="281">
        <f t="shared" si="600"/>
        <v>436197.3</v>
      </c>
      <c r="AB285" s="403">
        <f t="shared" si="587"/>
        <v>1410001.54</v>
      </c>
      <c r="AC285" s="326">
        <f t="shared" si="479"/>
        <v>0.37500040957446812</v>
      </c>
    </row>
    <row r="286" spans="1:29" s="61" customFormat="1" ht="15.75" x14ac:dyDescent="0.2">
      <c r="A286" s="421">
        <v>1</v>
      </c>
      <c r="B286" s="318" t="s">
        <v>744</v>
      </c>
      <c r="C286" s="319" t="s">
        <v>745</v>
      </c>
      <c r="D286" s="331">
        <v>125000000</v>
      </c>
      <c r="E286" s="322">
        <f>SUM('ADICIONES  2021'!C286:N286)</f>
        <v>0</v>
      </c>
      <c r="F286" s="276"/>
      <c r="G286" s="276"/>
      <c r="H286" s="276"/>
      <c r="I286" s="276"/>
      <c r="J286" s="276"/>
      <c r="K286" s="276">
        <f t="shared" si="580"/>
        <v>125000000</v>
      </c>
      <c r="L286" s="276">
        <v>429995.61</v>
      </c>
      <c r="M286" s="276">
        <v>1465183.09</v>
      </c>
      <c r="N286" s="276">
        <v>4083618.22</v>
      </c>
      <c r="O286" s="276">
        <v>4173267.68</v>
      </c>
      <c r="P286" s="276">
        <v>4753158.95</v>
      </c>
      <c r="Q286" s="276">
        <v>4644350.3600000003</v>
      </c>
      <c r="R286" s="276">
        <f t="shared" si="586"/>
        <v>19549573.91</v>
      </c>
      <c r="S286" s="276">
        <v>3982974.72</v>
      </c>
      <c r="T286" s="276">
        <v>1925824.25</v>
      </c>
      <c r="U286" s="276">
        <v>2587119.9500000002</v>
      </c>
      <c r="V286" s="276">
        <v>3390929.63</v>
      </c>
      <c r="W286" s="276">
        <v>4655848.67</v>
      </c>
      <c r="X286" s="276">
        <v>6112581.6900000004</v>
      </c>
      <c r="Y286" s="276"/>
      <c r="Z286" s="276"/>
      <c r="AA286" s="276">
        <f t="shared" si="600"/>
        <v>22655278.91</v>
      </c>
      <c r="AB286" s="402">
        <f t="shared" si="587"/>
        <v>42204852.82</v>
      </c>
      <c r="AC286" s="321">
        <f t="shared" si="479"/>
        <v>0.33763882256</v>
      </c>
    </row>
    <row r="287" spans="1:29" ht="25.5" x14ac:dyDescent="0.2">
      <c r="B287" s="323" t="s">
        <v>746</v>
      </c>
      <c r="C287" s="206" t="s">
        <v>102</v>
      </c>
      <c r="D287" s="332">
        <f>+D286</f>
        <v>125000000</v>
      </c>
      <c r="E287" s="325">
        <f>SUM('ADICIONES  2021'!C287:N287)</f>
        <v>0</v>
      </c>
      <c r="F287" s="281">
        <f t="shared" ref="F287:J287" si="613">+F286</f>
        <v>0</v>
      </c>
      <c r="G287" s="281">
        <f t="shared" si="613"/>
        <v>0</v>
      </c>
      <c r="H287" s="281">
        <f t="shared" si="613"/>
        <v>0</v>
      </c>
      <c r="I287" s="281">
        <f t="shared" si="613"/>
        <v>0</v>
      </c>
      <c r="J287" s="281">
        <f t="shared" si="613"/>
        <v>0</v>
      </c>
      <c r="K287" s="281">
        <f t="shared" si="580"/>
        <v>125000000</v>
      </c>
      <c r="L287" s="281">
        <f t="shared" ref="L287:Q287" si="614">+L286</f>
        <v>429995.61</v>
      </c>
      <c r="M287" s="281">
        <f t="shared" si="614"/>
        <v>1465183.09</v>
      </c>
      <c r="N287" s="281">
        <f t="shared" si="614"/>
        <v>4083618.22</v>
      </c>
      <c r="O287" s="281">
        <f t="shared" si="614"/>
        <v>4173267.68</v>
      </c>
      <c r="P287" s="281">
        <f t="shared" si="614"/>
        <v>4753158.95</v>
      </c>
      <c r="Q287" s="281">
        <f t="shared" si="614"/>
        <v>4644350.3600000003</v>
      </c>
      <c r="R287" s="281">
        <f t="shared" si="586"/>
        <v>19549573.91</v>
      </c>
      <c r="S287" s="281">
        <f t="shared" ref="S287:Z287" si="615">+S286</f>
        <v>3982974.72</v>
      </c>
      <c r="T287" s="281">
        <f t="shared" si="615"/>
        <v>1925824.25</v>
      </c>
      <c r="U287" s="281">
        <f t="shared" si="615"/>
        <v>2587119.9500000002</v>
      </c>
      <c r="V287" s="281">
        <f t="shared" si="615"/>
        <v>3390929.63</v>
      </c>
      <c r="W287" s="281">
        <f t="shared" si="615"/>
        <v>4655848.67</v>
      </c>
      <c r="X287" s="281">
        <f t="shared" si="615"/>
        <v>6112581.6900000004</v>
      </c>
      <c r="Y287" s="281">
        <f t="shared" si="615"/>
        <v>0</v>
      </c>
      <c r="Z287" s="281">
        <f t="shared" si="615"/>
        <v>0</v>
      </c>
      <c r="AA287" s="281">
        <f t="shared" si="600"/>
        <v>22655278.91</v>
      </c>
      <c r="AB287" s="403">
        <f t="shared" si="587"/>
        <v>42204852.82</v>
      </c>
      <c r="AC287" s="326">
        <f t="shared" si="479"/>
        <v>0.33763882256</v>
      </c>
    </row>
    <row r="288" spans="1:29" s="61" customFormat="1" ht="15.75" x14ac:dyDescent="0.2">
      <c r="A288" s="421">
        <v>1</v>
      </c>
      <c r="B288" s="318" t="s">
        <v>747</v>
      </c>
      <c r="C288" s="319" t="s">
        <v>748</v>
      </c>
      <c r="D288" s="331">
        <v>0</v>
      </c>
      <c r="E288" s="322">
        <f>SUM('ADICIONES  2021'!C288:N288)</f>
        <v>0</v>
      </c>
      <c r="F288" s="276"/>
      <c r="G288" s="276"/>
      <c r="H288" s="276"/>
      <c r="I288" s="276"/>
      <c r="J288" s="276"/>
      <c r="K288" s="276">
        <f t="shared" si="580"/>
        <v>0</v>
      </c>
      <c r="L288" s="276">
        <v>170430.73</v>
      </c>
      <c r="M288" s="276">
        <v>146639.75</v>
      </c>
      <c r="N288" s="276">
        <v>155552.29999999999</v>
      </c>
      <c r="O288" s="276">
        <v>150229.19</v>
      </c>
      <c r="P288" s="276">
        <v>169600.06</v>
      </c>
      <c r="Q288" s="276">
        <v>186115.83</v>
      </c>
      <c r="R288" s="276">
        <f t="shared" si="586"/>
        <v>978567.86</v>
      </c>
      <c r="S288" s="276">
        <v>191405.25</v>
      </c>
      <c r="T288" s="276">
        <v>197700.15</v>
      </c>
      <c r="U288" s="276">
        <v>182790.29</v>
      </c>
      <c r="V288" s="276">
        <v>208540.53</v>
      </c>
      <c r="W288" s="276">
        <v>253848.92</v>
      </c>
      <c r="X288" s="276">
        <v>287315.82</v>
      </c>
      <c r="Y288" s="276"/>
      <c r="Z288" s="276"/>
      <c r="AA288" s="276">
        <f t="shared" si="600"/>
        <v>1321600.9600000002</v>
      </c>
      <c r="AB288" s="402">
        <f t="shared" si="587"/>
        <v>2300168.8200000003</v>
      </c>
      <c r="AC288" s="321">
        <v>0</v>
      </c>
    </row>
    <row r="289" spans="1:29" ht="14.25" x14ac:dyDescent="0.2">
      <c r="B289" s="323" t="s">
        <v>749</v>
      </c>
      <c r="C289" s="206" t="s">
        <v>238</v>
      </c>
      <c r="D289" s="328">
        <f>+D288*80%</f>
        <v>0</v>
      </c>
      <c r="E289" s="325">
        <f>SUM('ADICIONES  2021'!C289:N289)</f>
        <v>0</v>
      </c>
      <c r="F289" s="278">
        <f t="shared" ref="F289:J289" si="616">+F288*80%</f>
        <v>0</v>
      </c>
      <c r="G289" s="278">
        <f t="shared" si="616"/>
        <v>0</v>
      </c>
      <c r="H289" s="278">
        <f t="shared" si="616"/>
        <v>0</v>
      </c>
      <c r="I289" s="278">
        <f t="shared" si="616"/>
        <v>0</v>
      </c>
      <c r="J289" s="278">
        <f t="shared" si="616"/>
        <v>0</v>
      </c>
      <c r="K289" s="281">
        <f t="shared" si="580"/>
        <v>0</v>
      </c>
      <c r="L289" s="278">
        <f t="shared" ref="L289:Q289" si="617">+L288*80%</f>
        <v>136344.584</v>
      </c>
      <c r="M289" s="278">
        <f t="shared" si="617"/>
        <v>117311.8</v>
      </c>
      <c r="N289" s="278">
        <f t="shared" si="617"/>
        <v>124441.84</v>
      </c>
      <c r="O289" s="278">
        <f t="shared" si="617"/>
        <v>120183.35200000001</v>
      </c>
      <c r="P289" s="278">
        <f t="shared" si="617"/>
        <v>135680.04800000001</v>
      </c>
      <c r="Q289" s="278">
        <f t="shared" si="617"/>
        <v>148892.66399999999</v>
      </c>
      <c r="R289" s="281">
        <f t="shared" si="586"/>
        <v>782854.28800000006</v>
      </c>
      <c r="S289" s="278">
        <f t="shared" ref="S289:Z289" si="618">+S288*80%</f>
        <v>153124.20000000001</v>
      </c>
      <c r="T289" s="278">
        <f t="shared" si="618"/>
        <v>158160.12</v>
      </c>
      <c r="U289" s="278">
        <f t="shared" si="618"/>
        <v>146232.23200000002</v>
      </c>
      <c r="V289" s="278">
        <f t="shared" si="618"/>
        <v>166832.424</v>
      </c>
      <c r="W289" s="278">
        <f t="shared" si="618"/>
        <v>203079.13600000003</v>
      </c>
      <c r="X289" s="278">
        <f t="shared" si="618"/>
        <v>229852.65600000002</v>
      </c>
      <c r="Y289" s="278">
        <f t="shared" si="618"/>
        <v>0</v>
      </c>
      <c r="Z289" s="278">
        <f t="shared" si="618"/>
        <v>0</v>
      </c>
      <c r="AA289" s="281">
        <f t="shared" si="600"/>
        <v>1057280.7680000002</v>
      </c>
      <c r="AB289" s="403">
        <f t="shared" si="587"/>
        <v>1840135.0560000003</v>
      </c>
      <c r="AC289" s="326">
        <v>0</v>
      </c>
    </row>
    <row r="290" spans="1:29" ht="14.25" x14ac:dyDescent="0.2">
      <c r="B290" s="323" t="s">
        <v>750</v>
      </c>
      <c r="C290" s="206" t="s">
        <v>751</v>
      </c>
      <c r="D290" s="328">
        <f>+D288*20%</f>
        <v>0</v>
      </c>
      <c r="E290" s="325">
        <f>SUM('ADICIONES  2021'!C290:N290)</f>
        <v>0</v>
      </c>
      <c r="F290" s="278">
        <f t="shared" ref="F290:J290" si="619">+F288*20%</f>
        <v>0</v>
      </c>
      <c r="G290" s="278">
        <f t="shared" si="619"/>
        <v>0</v>
      </c>
      <c r="H290" s="278">
        <f t="shared" si="619"/>
        <v>0</v>
      </c>
      <c r="I290" s="278">
        <f t="shared" si="619"/>
        <v>0</v>
      </c>
      <c r="J290" s="278">
        <f t="shared" si="619"/>
        <v>0</v>
      </c>
      <c r="K290" s="281">
        <f t="shared" si="580"/>
        <v>0</v>
      </c>
      <c r="L290" s="278">
        <f t="shared" ref="L290:Q290" si="620">+L288*20%</f>
        <v>34086.146000000001</v>
      </c>
      <c r="M290" s="278">
        <f t="shared" si="620"/>
        <v>29327.95</v>
      </c>
      <c r="N290" s="278">
        <f t="shared" si="620"/>
        <v>31110.46</v>
      </c>
      <c r="O290" s="278">
        <f t="shared" si="620"/>
        <v>30045.838000000003</v>
      </c>
      <c r="P290" s="278">
        <f t="shared" si="620"/>
        <v>33920.012000000002</v>
      </c>
      <c r="Q290" s="278">
        <f t="shared" si="620"/>
        <v>37223.165999999997</v>
      </c>
      <c r="R290" s="281">
        <f t="shared" si="586"/>
        <v>195713.57200000001</v>
      </c>
      <c r="S290" s="278">
        <f t="shared" ref="S290:Z290" si="621">+S288*20%</f>
        <v>38281.050000000003</v>
      </c>
      <c r="T290" s="278">
        <f t="shared" si="621"/>
        <v>39540.03</v>
      </c>
      <c r="U290" s="278">
        <f t="shared" si="621"/>
        <v>36558.058000000005</v>
      </c>
      <c r="V290" s="278">
        <f t="shared" si="621"/>
        <v>41708.106</v>
      </c>
      <c r="W290" s="278">
        <f t="shared" si="621"/>
        <v>50769.784000000007</v>
      </c>
      <c r="X290" s="278">
        <f t="shared" si="621"/>
        <v>57463.164000000004</v>
      </c>
      <c r="Y290" s="278">
        <f t="shared" si="621"/>
        <v>0</v>
      </c>
      <c r="Z290" s="278">
        <f t="shared" si="621"/>
        <v>0</v>
      </c>
      <c r="AA290" s="281">
        <f t="shared" si="600"/>
        <v>264320.19200000004</v>
      </c>
      <c r="AB290" s="403">
        <f t="shared" si="587"/>
        <v>460033.76400000008</v>
      </c>
      <c r="AC290" s="326">
        <v>0</v>
      </c>
    </row>
    <row r="291" spans="1:29" ht="14.25" x14ac:dyDescent="0.2">
      <c r="A291" s="420">
        <v>1</v>
      </c>
      <c r="B291" s="323" t="s">
        <v>752</v>
      </c>
      <c r="C291" s="206" t="s">
        <v>753</v>
      </c>
      <c r="D291" s="332"/>
      <c r="E291" s="325">
        <f>SUM('ADICIONES  2021'!C291:N291)</f>
        <v>0</v>
      </c>
      <c r="F291" s="281"/>
      <c r="G291" s="281"/>
      <c r="H291" s="281"/>
      <c r="I291" s="281"/>
      <c r="J291" s="281"/>
      <c r="K291" s="281">
        <f t="shared" si="580"/>
        <v>0</v>
      </c>
      <c r="L291" s="281">
        <v>513510</v>
      </c>
      <c r="M291" s="281">
        <v>0</v>
      </c>
      <c r="N291" s="281">
        <v>2289059</v>
      </c>
      <c r="O291" s="281">
        <v>1095373</v>
      </c>
      <c r="P291" s="281">
        <v>884226</v>
      </c>
      <c r="Q291" s="281">
        <v>361589</v>
      </c>
      <c r="R291" s="281">
        <f t="shared" si="586"/>
        <v>5143757</v>
      </c>
      <c r="S291" s="281">
        <v>270430</v>
      </c>
      <c r="T291" s="281">
        <v>191851</v>
      </c>
      <c r="U291" s="281">
        <v>154841</v>
      </c>
      <c r="V291" s="281">
        <v>341657</v>
      </c>
      <c r="W291" s="281">
        <v>232791</v>
      </c>
      <c r="X291" s="281">
        <v>529520</v>
      </c>
      <c r="Y291" s="281"/>
      <c r="Z291" s="281"/>
      <c r="AA291" s="281">
        <f t="shared" si="600"/>
        <v>1721090</v>
      </c>
      <c r="AB291" s="403">
        <f t="shared" si="587"/>
        <v>6864847</v>
      </c>
      <c r="AC291" s="326">
        <v>0</v>
      </c>
    </row>
    <row r="292" spans="1:29" ht="14.25" x14ac:dyDescent="0.2">
      <c r="A292" s="420">
        <v>1</v>
      </c>
      <c r="B292" s="323" t="s">
        <v>754</v>
      </c>
      <c r="C292" s="206" t="s">
        <v>239</v>
      </c>
      <c r="D292" s="332"/>
      <c r="E292" s="325">
        <f>SUM('ADICIONES  2021'!C292:N292)</f>
        <v>0</v>
      </c>
      <c r="F292" s="281"/>
      <c r="G292" s="281"/>
      <c r="H292" s="281"/>
      <c r="I292" s="281"/>
      <c r="J292" s="281"/>
      <c r="K292" s="281">
        <f t="shared" si="580"/>
        <v>0</v>
      </c>
      <c r="L292" s="281">
        <v>376462.83</v>
      </c>
      <c r="M292" s="281">
        <v>138248</v>
      </c>
      <c r="N292" s="281">
        <v>136073</v>
      </c>
      <c r="O292" s="281">
        <v>296741.78999999998</v>
      </c>
      <c r="P292" s="281">
        <v>143867</v>
      </c>
      <c r="Q292" s="281">
        <v>187986.36</v>
      </c>
      <c r="R292" s="281">
        <f t="shared" si="586"/>
        <v>1279378.98</v>
      </c>
      <c r="S292" s="281">
        <v>371400.39</v>
      </c>
      <c r="T292" s="281">
        <v>564008.91</v>
      </c>
      <c r="U292" s="281">
        <v>252440</v>
      </c>
      <c r="V292" s="281">
        <v>126559</v>
      </c>
      <c r="W292" s="281">
        <v>-747164</v>
      </c>
      <c r="X292" s="281">
        <v>3038986.98</v>
      </c>
      <c r="Y292" s="281"/>
      <c r="Z292" s="281"/>
      <c r="AA292" s="281">
        <f t="shared" si="600"/>
        <v>3606231.2800000003</v>
      </c>
      <c r="AB292" s="403">
        <f t="shared" si="587"/>
        <v>4885610.26</v>
      </c>
      <c r="AC292" s="326">
        <v>0</v>
      </c>
    </row>
    <row r="293" spans="1:29" ht="14.25" x14ac:dyDescent="0.2">
      <c r="A293" s="420">
        <v>1</v>
      </c>
      <c r="B293" s="323" t="s">
        <v>754</v>
      </c>
      <c r="C293" s="206" t="s">
        <v>239</v>
      </c>
      <c r="D293" s="332"/>
      <c r="E293" s="325">
        <f>SUM('ADICIONES  2021'!C293:N293)</f>
        <v>1001942</v>
      </c>
      <c r="F293" s="281"/>
      <c r="G293" s="281"/>
      <c r="H293" s="281"/>
      <c r="I293" s="281"/>
      <c r="J293" s="281"/>
      <c r="K293" s="281">
        <f t="shared" si="580"/>
        <v>1001942</v>
      </c>
      <c r="L293" s="281"/>
      <c r="M293" s="281"/>
      <c r="N293" s="281"/>
      <c r="O293" s="281"/>
      <c r="P293" s="281"/>
      <c r="Q293" s="281"/>
      <c r="R293" s="281">
        <f t="shared" si="586"/>
        <v>0</v>
      </c>
      <c r="S293" s="281"/>
      <c r="T293" s="281"/>
      <c r="U293" s="281"/>
      <c r="V293" s="281"/>
      <c r="W293" s="281">
        <v>1001942</v>
      </c>
      <c r="X293" s="281">
        <v>0</v>
      </c>
      <c r="Y293" s="281"/>
      <c r="Z293" s="281"/>
      <c r="AA293" s="281">
        <f t="shared" si="600"/>
        <v>1001942</v>
      </c>
      <c r="AB293" s="403">
        <f t="shared" si="587"/>
        <v>1001942</v>
      </c>
      <c r="AC293" s="326">
        <f t="shared" ref="AC293:AC299" si="622">+AB293/K293</f>
        <v>1</v>
      </c>
    </row>
    <row r="294" spans="1:29" ht="25.5" x14ac:dyDescent="0.2">
      <c r="A294" s="420">
        <v>1</v>
      </c>
      <c r="B294" s="323" t="s">
        <v>755</v>
      </c>
      <c r="C294" s="206" t="s">
        <v>756</v>
      </c>
      <c r="D294" s="332"/>
      <c r="E294" s="325">
        <f>SUM('ADICIONES  2021'!C294:N294)</f>
        <v>0</v>
      </c>
      <c r="F294" s="281"/>
      <c r="G294" s="281"/>
      <c r="H294" s="281"/>
      <c r="I294" s="281"/>
      <c r="J294" s="281"/>
      <c r="K294" s="281">
        <f t="shared" si="580"/>
        <v>0</v>
      </c>
      <c r="L294" s="281">
        <v>4625</v>
      </c>
      <c r="M294" s="281">
        <v>1467</v>
      </c>
      <c r="N294" s="281">
        <v>939</v>
      </c>
      <c r="O294" s="281">
        <v>845</v>
      </c>
      <c r="P294" s="281">
        <v>846</v>
      </c>
      <c r="Q294" s="281">
        <v>847</v>
      </c>
      <c r="R294" s="281">
        <f t="shared" si="586"/>
        <v>9569</v>
      </c>
      <c r="S294" s="281">
        <v>848</v>
      </c>
      <c r="T294" s="281">
        <v>849</v>
      </c>
      <c r="U294" s="281">
        <v>850</v>
      </c>
      <c r="V294" s="281">
        <v>851</v>
      </c>
      <c r="W294" s="281">
        <v>852</v>
      </c>
      <c r="X294" s="281">
        <v>853</v>
      </c>
      <c r="Y294" s="281"/>
      <c r="Z294" s="281"/>
      <c r="AA294" s="281">
        <f t="shared" si="600"/>
        <v>5103</v>
      </c>
      <c r="AB294" s="403">
        <f t="shared" si="587"/>
        <v>14672</v>
      </c>
      <c r="AC294" s="326">
        <v>0</v>
      </c>
    </row>
    <row r="295" spans="1:29" ht="14.25" x14ac:dyDescent="0.2">
      <c r="A295" s="420">
        <v>1</v>
      </c>
      <c r="B295" s="323" t="s">
        <v>757</v>
      </c>
      <c r="C295" s="206" t="s">
        <v>758</v>
      </c>
      <c r="D295" s="332"/>
      <c r="E295" s="325">
        <f>SUM('ADICIONES  2021'!C295:N295)</f>
        <v>0</v>
      </c>
      <c r="F295" s="281"/>
      <c r="G295" s="281"/>
      <c r="H295" s="281"/>
      <c r="I295" s="281"/>
      <c r="J295" s="281"/>
      <c r="K295" s="281">
        <f t="shared" si="580"/>
        <v>0</v>
      </c>
      <c r="L295" s="281">
        <v>1880484</v>
      </c>
      <c r="M295" s="281">
        <v>1796516</v>
      </c>
      <c r="N295" s="281">
        <v>1799116</v>
      </c>
      <c r="O295" s="281">
        <v>1814924</v>
      </c>
      <c r="P295" s="281">
        <v>1833173</v>
      </c>
      <c r="Q295" s="281">
        <v>1852408</v>
      </c>
      <c r="R295" s="281">
        <f t="shared" si="586"/>
        <v>10976621</v>
      </c>
      <c r="S295" s="281">
        <v>1869532</v>
      </c>
      <c r="T295" s="281">
        <v>1938256</v>
      </c>
      <c r="U295" s="281">
        <v>1963897</v>
      </c>
      <c r="V295" s="281">
        <v>1959424</v>
      </c>
      <c r="W295" s="281">
        <v>1972500</v>
      </c>
      <c r="X295" s="281">
        <v>1980010</v>
      </c>
      <c r="Y295" s="281"/>
      <c r="Z295" s="281"/>
      <c r="AA295" s="281">
        <f t="shared" si="600"/>
        <v>11683619</v>
      </c>
      <c r="AB295" s="403">
        <f t="shared" si="587"/>
        <v>22660240</v>
      </c>
      <c r="AC295" s="326">
        <v>0</v>
      </c>
    </row>
    <row r="296" spans="1:29" ht="14.25" x14ac:dyDescent="0.2">
      <c r="A296" s="420">
        <v>1</v>
      </c>
      <c r="B296" s="323" t="s">
        <v>759</v>
      </c>
      <c r="C296" s="206" t="s">
        <v>760</v>
      </c>
      <c r="D296" s="332"/>
      <c r="E296" s="325">
        <f>SUM('ADICIONES  2021'!C296:N296)</f>
        <v>0</v>
      </c>
      <c r="F296" s="281"/>
      <c r="G296" s="281"/>
      <c r="H296" s="281"/>
      <c r="I296" s="281"/>
      <c r="J296" s="281"/>
      <c r="K296" s="281">
        <f t="shared" si="580"/>
        <v>0</v>
      </c>
      <c r="L296" s="281">
        <v>11953605</v>
      </c>
      <c r="M296" s="281">
        <v>10540464</v>
      </c>
      <c r="N296" s="281">
        <v>11038577</v>
      </c>
      <c r="O296" s="281">
        <v>10858581</v>
      </c>
      <c r="P296" s="281">
        <v>11811306</v>
      </c>
      <c r="Q296" s="281">
        <v>12640593</v>
      </c>
      <c r="R296" s="281">
        <f t="shared" si="586"/>
        <v>68843126</v>
      </c>
      <c r="S296" s="281">
        <v>10130661</v>
      </c>
      <c r="T296" s="281">
        <v>9949792</v>
      </c>
      <c r="U296" s="281">
        <v>10624554</v>
      </c>
      <c r="V296" s="281">
        <v>9653205</v>
      </c>
      <c r="W296" s="281">
        <v>7089633</v>
      </c>
      <c r="X296" s="281">
        <v>6197316</v>
      </c>
      <c r="Y296" s="281"/>
      <c r="Z296" s="281"/>
      <c r="AA296" s="281">
        <f t="shared" si="600"/>
        <v>53645161</v>
      </c>
      <c r="AB296" s="403">
        <f t="shared" si="587"/>
        <v>122488287</v>
      </c>
      <c r="AC296" s="326">
        <v>0</v>
      </c>
    </row>
    <row r="297" spans="1:29" ht="14.25" x14ac:dyDescent="0.2">
      <c r="A297" s="420">
        <v>1</v>
      </c>
      <c r="B297" s="323" t="s">
        <v>761</v>
      </c>
      <c r="C297" s="206" t="s">
        <v>762</v>
      </c>
      <c r="D297" s="332"/>
      <c r="E297" s="325">
        <f>SUM('ADICIONES  2021'!C297:N297)</f>
        <v>0</v>
      </c>
      <c r="F297" s="281"/>
      <c r="G297" s="281"/>
      <c r="H297" s="281"/>
      <c r="I297" s="281"/>
      <c r="J297" s="281"/>
      <c r="K297" s="281">
        <f t="shared" si="580"/>
        <v>0</v>
      </c>
      <c r="L297" s="281">
        <v>82487</v>
      </c>
      <c r="M297" s="281">
        <v>114936</v>
      </c>
      <c r="N297" s="281">
        <v>19296</v>
      </c>
      <c r="O297" s="281">
        <v>117797</v>
      </c>
      <c r="P297" s="281">
        <v>125259</v>
      </c>
      <c r="Q297" s="281">
        <v>220176</v>
      </c>
      <c r="R297" s="281">
        <f t="shared" si="586"/>
        <v>679951</v>
      </c>
      <c r="S297" s="281">
        <v>376968</v>
      </c>
      <c r="T297" s="281">
        <v>472171</v>
      </c>
      <c r="U297" s="281">
        <v>613810</v>
      </c>
      <c r="V297" s="281">
        <v>670869</v>
      </c>
      <c r="W297" s="281">
        <v>993450</v>
      </c>
      <c r="X297" s="281">
        <v>989884</v>
      </c>
      <c r="Y297" s="281"/>
      <c r="Z297" s="281"/>
      <c r="AA297" s="281">
        <f t="shared" si="600"/>
        <v>4117152</v>
      </c>
      <c r="AB297" s="403">
        <f t="shared" si="587"/>
        <v>4797103</v>
      </c>
      <c r="AC297" s="326">
        <v>0</v>
      </c>
    </row>
    <row r="298" spans="1:29" ht="14.25" x14ac:dyDescent="0.2">
      <c r="A298" s="420">
        <v>1</v>
      </c>
      <c r="B298" s="323" t="s">
        <v>763</v>
      </c>
      <c r="C298" s="206" t="s">
        <v>764</v>
      </c>
      <c r="D298" s="332"/>
      <c r="E298" s="325">
        <f>SUM('ADICIONES  2021'!C298:N298)</f>
        <v>0</v>
      </c>
      <c r="F298" s="281"/>
      <c r="G298" s="281"/>
      <c r="H298" s="281"/>
      <c r="I298" s="281"/>
      <c r="J298" s="281"/>
      <c r="K298" s="281">
        <f t="shared" si="580"/>
        <v>0</v>
      </c>
      <c r="L298" s="281">
        <v>403723</v>
      </c>
      <c r="M298" s="281">
        <v>359023</v>
      </c>
      <c r="N298" s="281">
        <v>651768</v>
      </c>
      <c r="O298" s="281">
        <v>625814</v>
      </c>
      <c r="P298" s="281">
        <v>634608</v>
      </c>
      <c r="Q298" s="281">
        <v>782892</v>
      </c>
      <c r="R298" s="281">
        <f t="shared" si="586"/>
        <v>3457828</v>
      </c>
      <c r="S298" s="281">
        <v>532402</v>
      </c>
      <c r="T298" s="281">
        <v>364358</v>
      </c>
      <c r="U298" s="281">
        <v>449103</v>
      </c>
      <c r="V298" s="281">
        <v>385754</v>
      </c>
      <c r="W298" s="281">
        <v>401508</v>
      </c>
      <c r="X298" s="281">
        <v>424216</v>
      </c>
      <c r="Y298" s="281"/>
      <c r="Z298" s="281"/>
      <c r="AA298" s="281">
        <f t="shared" si="600"/>
        <v>2557341</v>
      </c>
      <c r="AB298" s="403">
        <f t="shared" si="587"/>
        <v>6015169</v>
      </c>
      <c r="AC298" s="326">
        <v>0</v>
      </c>
    </row>
    <row r="299" spans="1:29" ht="14.25" x14ac:dyDescent="0.2">
      <c r="A299" s="420">
        <v>1</v>
      </c>
      <c r="B299" s="323" t="s">
        <v>765</v>
      </c>
      <c r="C299" s="206" t="s">
        <v>766</v>
      </c>
      <c r="D299" s="332">
        <v>105000000</v>
      </c>
      <c r="E299" s="325">
        <f>SUM('ADICIONES  2021'!C299:N299)</f>
        <v>0</v>
      </c>
      <c r="F299" s="281"/>
      <c r="G299" s="281"/>
      <c r="H299" s="281"/>
      <c r="I299" s="281"/>
      <c r="J299" s="281"/>
      <c r="K299" s="281">
        <f t="shared" si="580"/>
        <v>105000000</v>
      </c>
      <c r="L299" s="281">
        <v>7551521.0800000001</v>
      </c>
      <c r="M299" s="281">
        <v>7643048.7300000004</v>
      </c>
      <c r="N299" s="281">
        <v>7737505.6100000003</v>
      </c>
      <c r="O299" s="281">
        <v>9860214.2799999993</v>
      </c>
      <c r="P299" s="281">
        <v>8940849.2799999993</v>
      </c>
      <c r="Q299" s="281">
        <v>8928842.8200000003</v>
      </c>
      <c r="R299" s="281">
        <f t="shared" si="586"/>
        <v>50661981.800000004</v>
      </c>
      <c r="S299" s="281">
        <v>9711881.8499999996</v>
      </c>
      <c r="T299" s="281">
        <v>9433916.0500000007</v>
      </c>
      <c r="U299" s="281">
        <v>9092252.5500000007</v>
      </c>
      <c r="V299" s="281">
        <v>9875484.4000000004</v>
      </c>
      <c r="W299" s="281">
        <v>11602943.66</v>
      </c>
      <c r="X299" s="281">
        <v>13295435.66</v>
      </c>
      <c r="Y299" s="281"/>
      <c r="Z299" s="281"/>
      <c r="AA299" s="281">
        <f t="shared" si="600"/>
        <v>63011914.170000002</v>
      </c>
      <c r="AB299" s="403">
        <f t="shared" si="587"/>
        <v>113673895.97</v>
      </c>
      <c r="AC299" s="326">
        <f t="shared" si="622"/>
        <v>1.0826085330476189</v>
      </c>
    </row>
    <row r="300" spans="1:29" ht="25.5" x14ac:dyDescent="0.2">
      <c r="A300" s="420">
        <v>1</v>
      </c>
      <c r="B300" s="323" t="s">
        <v>767</v>
      </c>
      <c r="C300" s="206" t="s">
        <v>768</v>
      </c>
      <c r="D300" s="332"/>
      <c r="E300" s="325">
        <f>SUM('ADICIONES  2021'!C300:N300)</f>
        <v>0</v>
      </c>
      <c r="F300" s="277"/>
      <c r="G300" s="277"/>
      <c r="H300" s="277"/>
      <c r="I300" s="277"/>
      <c r="J300" s="277"/>
      <c r="K300" s="281">
        <f t="shared" si="580"/>
        <v>0</v>
      </c>
      <c r="L300" s="277">
        <v>25515804.18</v>
      </c>
      <c r="M300" s="277">
        <v>21941618.43</v>
      </c>
      <c r="N300" s="277">
        <v>23479216.600000001</v>
      </c>
      <c r="O300" s="277">
        <v>21639386.52</v>
      </c>
      <c r="P300" s="277">
        <v>23034845.399999999</v>
      </c>
      <c r="Q300" s="277">
        <v>23864084.489999998</v>
      </c>
      <c r="R300" s="281">
        <f t="shared" si="586"/>
        <v>139474955.62</v>
      </c>
      <c r="S300" s="277">
        <v>25122955.34</v>
      </c>
      <c r="T300" s="277">
        <v>10279069.289999999</v>
      </c>
      <c r="U300" s="277">
        <v>41291965.460000001</v>
      </c>
      <c r="V300" s="277">
        <v>27635230.98</v>
      </c>
      <c r="W300" s="277">
        <v>29497102.800000001</v>
      </c>
      <c r="X300" s="277">
        <v>32825265</v>
      </c>
      <c r="Y300" s="277"/>
      <c r="Z300" s="277"/>
      <c r="AA300" s="281">
        <f t="shared" si="600"/>
        <v>166651588.87</v>
      </c>
      <c r="AB300" s="403">
        <f t="shared" si="587"/>
        <v>306126544.49000001</v>
      </c>
      <c r="AC300" s="326">
        <v>0</v>
      </c>
    </row>
    <row r="301" spans="1:29" ht="14.25" x14ac:dyDescent="0.2">
      <c r="A301" s="420">
        <v>1</v>
      </c>
      <c r="B301" s="323" t="s">
        <v>769</v>
      </c>
      <c r="C301" s="206" t="s">
        <v>770</v>
      </c>
      <c r="D301" s="332"/>
      <c r="E301" s="325">
        <f>SUM('ADICIONES  2021'!C301:N301)</f>
        <v>0</v>
      </c>
      <c r="F301" s="277"/>
      <c r="G301" s="277"/>
      <c r="H301" s="277"/>
      <c r="I301" s="277"/>
      <c r="J301" s="277"/>
      <c r="K301" s="281">
        <f t="shared" si="580"/>
        <v>0</v>
      </c>
      <c r="L301" s="277">
        <v>1380773.39</v>
      </c>
      <c r="M301" s="277">
        <v>1258288.05</v>
      </c>
      <c r="N301" s="277">
        <v>2008440.14</v>
      </c>
      <c r="O301" s="277">
        <v>2219638</v>
      </c>
      <c r="P301" s="277">
        <v>2511381.12</v>
      </c>
      <c r="Q301" s="277">
        <v>2524962.7599999998</v>
      </c>
      <c r="R301" s="281">
        <f t="shared" si="586"/>
        <v>11903483.459999999</v>
      </c>
      <c r="S301" s="277">
        <v>2722750.97</v>
      </c>
      <c r="T301" s="277">
        <v>2823997.28</v>
      </c>
      <c r="U301" s="277">
        <v>2889293.73</v>
      </c>
      <c r="V301" s="277">
        <v>3221768.87</v>
      </c>
      <c r="W301" s="277">
        <v>4034316.16</v>
      </c>
      <c r="X301" s="277">
        <v>4538737.12</v>
      </c>
      <c r="Y301" s="277"/>
      <c r="Z301" s="277"/>
      <c r="AA301" s="281">
        <f t="shared" si="600"/>
        <v>20230864.130000003</v>
      </c>
      <c r="AB301" s="403">
        <f t="shared" si="587"/>
        <v>32134347.590000004</v>
      </c>
      <c r="AC301" s="326">
        <v>0</v>
      </c>
    </row>
    <row r="302" spans="1:29" ht="14.25" x14ac:dyDescent="0.2">
      <c r="A302" s="420">
        <v>1</v>
      </c>
      <c r="B302" s="323" t="s">
        <v>771</v>
      </c>
      <c r="C302" s="206" t="s">
        <v>772</v>
      </c>
      <c r="D302" s="332"/>
      <c r="E302" s="325">
        <f>SUM('ADICIONES  2021'!C302:N302)</f>
        <v>0</v>
      </c>
      <c r="F302" s="281"/>
      <c r="G302" s="281"/>
      <c r="H302" s="281"/>
      <c r="I302" s="281"/>
      <c r="J302" s="281"/>
      <c r="K302" s="281">
        <f t="shared" si="580"/>
        <v>0</v>
      </c>
      <c r="L302" s="281">
        <v>325794.93</v>
      </c>
      <c r="M302" s="281">
        <v>311112.25</v>
      </c>
      <c r="N302" s="281">
        <v>272886.88</v>
      </c>
      <c r="O302" s="281">
        <v>226634.71</v>
      </c>
      <c r="P302" s="281">
        <v>234313.84</v>
      </c>
      <c r="Q302" s="281">
        <v>225489.87</v>
      </c>
      <c r="R302" s="281">
        <f t="shared" si="586"/>
        <v>1596232.48</v>
      </c>
      <c r="S302" s="281">
        <v>233781.09</v>
      </c>
      <c r="T302" s="281">
        <v>234605.4</v>
      </c>
      <c r="U302" s="281">
        <v>226853.67</v>
      </c>
      <c r="V302" s="281">
        <v>234735.79</v>
      </c>
      <c r="W302" s="281">
        <v>226757.5</v>
      </c>
      <c r="X302" s="281">
        <v>265218.65999999997</v>
      </c>
      <c r="Y302" s="281"/>
      <c r="Z302" s="281"/>
      <c r="AA302" s="281">
        <f t="shared" si="600"/>
        <v>1421952.11</v>
      </c>
      <c r="AB302" s="403">
        <f t="shared" si="587"/>
        <v>3018184.59</v>
      </c>
      <c r="AC302" s="326">
        <v>0</v>
      </c>
    </row>
    <row r="303" spans="1:29" ht="14.25" x14ac:dyDescent="0.2">
      <c r="A303" s="420">
        <v>1</v>
      </c>
      <c r="B303" s="323" t="s">
        <v>773</v>
      </c>
      <c r="C303" s="206" t="s">
        <v>774</v>
      </c>
      <c r="D303" s="332"/>
      <c r="E303" s="325">
        <f>SUM('ADICIONES  2021'!C303:N303)</f>
        <v>0</v>
      </c>
      <c r="F303" s="281"/>
      <c r="G303" s="281"/>
      <c r="H303" s="281"/>
      <c r="I303" s="281"/>
      <c r="J303" s="281"/>
      <c r="K303" s="281">
        <f t="shared" si="580"/>
        <v>0</v>
      </c>
      <c r="L303" s="281">
        <v>273915.24</v>
      </c>
      <c r="M303" s="281">
        <v>127652</v>
      </c>
      <c r="N303" s="281">
        <v>285298.40999999997</v>
      </c>
      <c r="O303" s="281">
        <v>276299.05</v>
      </c>
      <c r="P303" s="281">
        <v>285720.76</v>
      </c>
      <c r="Q303" s="281">
        <v>261230.71</v>
      </c>
      <c r="R303" s="281">
        <f t="shared" si="586"/>
        <v>1510116.17</v>
      </c>
      <c r="S303" s="281">
        <v>286113.34999999998</v>
      </c>
      <c r="T303" s="281">
        <v>295281.93</v>
      </c>
      <c r="U303" s="281">
        <v>323047.38</v>
      </c>
      <c r="V303" s="281">
        <v>334058.02</v>
      </c>
      <c r="W303" s="281">
        <v>323487.73</v>
      </c>
      <c r="X303" s="281">
        <v>334483.82</v>
      </c>
      <c r="Y303" s="281"/>
      <c r="Z303" s="281"/>
      <c r="AA303" s="281">
        <f t="shared" si="600"/>
        <v>1896472.2300000002</v>
      </c>
      <c r="AB303" s="403">
        <f t="shared" si="587"/>
        <v>3406588.4000000004</v>
      </c>
      <c r="AC303" s="326">
        <v>0</v>
      </c>
    </row>
    <row r="304" spans="1:29" ht="14.25" x14ac:dyDescent="0.2">
      <c r="A304" s="420">
        <v>1</v>
      </c>
      <c r="B304" s="323" t="s">
        <v>775</v>
      </c>
      <c r="C304" s="206" t="s">
        <v>776</v>
      </c>
      <c r="D304" s="332"/>
      <c r="E304" s="325">
        <f>SUM('ADICIONES  2021'!C304:N304)</f>
        <v>0</v>
      </c>
      <c r="F304" s="281"/>
      <c r="G304" s="281"/>
      <c r="H304" s="281"/>
      <c r="I304" s="281"/>
      <c r="J304" s="281"/>
      <c r="K304" s="281">
        <f t="shared" si="580"/>
        <v>0</v>
      </c>
      <c r="L304" s="281">
        <v>140881</v>
      </c>
      <c r="M304" s="281">
        <v>62813</v>
      </c>
      <c r="N304" s="281">
        <v>33292</v>
      </c>
      <c r="O304" s="281">
        <v>29278</v>
      </c>
      <c r="P304" s="281">
        <v>26227</v>
      </c>
      <c r="Q304" s="281">
        <v>24282</v>
      </c>
      <c r="R304" s="281">
        <f t="shared" si="586"/>
        <v>316773</v>
      </c>
      <c r="S304" s="281">
        <v>24118</v>
      </c>
      <c r="T304" s="281">
        <v>22903</v>
      </c>
      <c r="U304" s="281">
        <v>16702</v>
      </c>
      <c r="V304" s="281">
        <v>11018</v>
      </c>
      <c r="W304" s="281">
        <v>6666</v>
      </c>
      <c r="X304" s="281">
        <v>4218</v>
      </c>
      <c r="Y304" s="281"/>
      <c r="Z304" s="281"/>
      <c r="AA304" s="281">
        <f t="shared" si="600"/>
        <v>85625</v>
      </c>
      <c r="AB304" s="403">
        <f t="shared" si="587"/>
        <v>402398</v>
      </c>
      <c r="AC304" s="326">
        <v>0</v>
      </c>
    </row>
    <row r="305" spans="1:29" ht="14.25" x14ac:dyDescent="0.2">
      <c r="A305" s="420">
        <v>1</v>
      </c>
      <c r="B305" s="323" t="s">
        <v>777</v>
      </c>
      <c r="C305" s="206" t="s">
        <v>778</v>
      </c>
      <c r="D305" s="332"/>
      <c r="E305" s="325">
        <f>SUM('ADICIONES  2021'!C305:N305)</f>
        <v>0</v>
      </c>
      <c r="F305" s="277"/>
      <c r="G305" s="277"/>
      <c r="H305" s="277"/>
      <c r="I305" s="277"/>
      <c r="J305" s="277"/>
      <c r="K305" s="281">
        <f t="shared" si="580"/>
        <v>0</v>
      </c>
      <c r="L305" s="277">
        <v>22621270.829999998</v>
      </c>
      <c r="M305" s="277">
        <v>6448772.7000000002</v>
      </c>
      <c r="N305" s="277">
        <v>6652316.3099999996</v>
      </c>
      <c r="O305" s="277">
        <v>6493682.4900000002</v>
      </c>
      <c r="P305" s="277">
        <v>6744436.7199999997</v>
      </c>
      <c r="Q305" s="277">
        <v>7416104.5899999999</v>
      </c>
      <c r="R305" s="281">
        <f t="shared" si="586"/>
        <v>56376583.640000001</v>
      </c>
      <c r="S305" s="277">
        <v>4937261.8600000003</v>
      </c>
      <c r="T305" s="277">
        <v>2701911.27</v>
      </c>
      <c r="U305" s="277">
        <v>2927683.08</v>
      </c>
      <c r="V305" s="277">
        <v>2572885.15</v>
      </c>
      <c r="W305" s="277">
        <v>2338467.5499999998</v>
      </c>
      <c r="X305" s="277">
        <v>2772175.48</v>
      </c>
      <c r="Y305" s="277"/>
      <c r="Z305" s="277"/>
      <c r="AA305" s="281">
        <f t="shared" si="600"/>
        <v>18250384.390000001</v>
      </c>
      <c r="AB305" s="403">
        <f t="shared" si="587"/>
        <v>74626968.030000001</v>
      </c>
      <c r="AC305" s="326">
        <v>0</v>
      </c>
    </row>
    <row r="306" spans="1:29" ht="14.25" x14ac:dyDescent="0.2">
      <c r="A306" s="420">
        <v>1</v>
      </c>
      <c r="B306" s="323" t="s">
        <v>779</v>
      </c>
      <c r="C306" s="206" t="s">
        <v>780</v>
      </c>
      <c r="D306" s="332"/>
      <c r="E306" s="325">
        <f>SUM('ADICIONES  2021'!C306:N306)</f>
        <v>0</v>
      </c>
      <c r="F306" s="277"/>
      <c r="G306" s="277"/>
      <c r="H306" s="277"/>
      <c r="I306" s="277"/>
      <c r="J306" s="277"/>
      <c r="K306" s="281">
        <f t="shared" si="580"/>
        <v>0</v>
      </c>
      <c r="L306" s="277">
        <v>113354</v>
      </c>
      <c r="M306" s="277">
        <v>89068</v>
      </c>
      <c r="N306" s="277">
        <v>98023</v>
      </c>
      <c r="O306" s="277">
        <v>94362</v>
      </c>
      <c r="P306" s="277">
        <v>97077</v>
      </c>
      <c r="Q306" s="277">
        <v>175889</v>
      </c>
      <c r="R306" s="281">
        <f t="shared" si="586"/>
        <v>667773</v>
      </c>
      <c r="S306" s="277">
        <v>95309</v>
      </c>
      <c r="T306" s="277">
        <v>95000</v>
      </c>
      <c r="U306" s="277">
        <v>91950</v>
      </c>
      <c r="V306" s="277">
        <v>95046</v>
      </c>
      <c r="W306" s="277">
        <v>92010</v>
      </c>
      <c r="X306" s="277">
        <v>95139</v>
      </c>
      <c r="Y306" s="277"/>
      <c r="Z306" s="277"/>
      <c r="AA306" s="281">
        <f t="shared" si="600"/>
        <v>564454</v>
      </c>
      <c r="AB306" s="403">
        <f t="shared" si="587"/>
        <v>1232227</v>
      </c>
      <c r="AC306" s="326">
        <v>0</v>
      </c>
    </row>
    <row r="307" spans="1:29" ht="14.25" x14ac:dyDescent="0.2">
      <c r="A307" s="420">
        <v>1</v>
      </c>
      <c r="B307" s="323" t="s">
        <v>781</v>
      </c>
      <c r="C307" s="206" t="s">
        <v>782</v>
      </c>
      <c r="D307" s="332"/>
      <c r="E307" s="325">
        <f>SUM('ADICIONES  2021'!C307:N307)</f>
        <v>0</v>
      </c>
      <c r="F307" s="277"/>
      <c r="G307" s="277"/>
      <c r="H307" s="277"/>
      <c r="I307" s="277"/>
      <c r="J307" s="277"/>
      <c r="K307" s="281">
        <f t="shared" si="580"/>
        <v>0</v>
      </c>
      <c r="L307" s="277">
        <v>1771186.28</v>
      </c>
      <c r="M307" s="277">
        <v>1944685.24</v>
      </c>
      <c r="N307" s="277">
        <v>2068896.59</v>
      </c>
      <c r="O307" s="277">
        <v>2494961.9300000002</v>
      </c>
      <c r="P307" s="277">
        <v>3494813.14</v>
      </c>
      <c r="Q307" s="277">
        <v>4352196.04</v>
      </c>
      <c r="R307" s="281">
        <f t="shared" si="586"/>
        <v>16126739.220000003</v>
      </c>
      <c r="S307" s="277">
        <v>5216712.4800000004</v>
      </c>
      <c r="T307" s="277">
        <v>5720439.3399999999</v>
      </c>
      <c r="U307" s="277">
        <v>6080302.8499999996</v>
      </c>
      <c r="V307" s="277">
        <v>6007388.2699999996</v>
      </c>
      <c r="W307" s="277">
        <v>6927286.6600000001</v>
      </c>
      <c r="X307" s="277">
        <v>7924070.8300000001</v>
      </c>
      <c r="Y307" s="277"/>
      <c r="Z307" s="277"/>
      <c r="AA307" s="281">
        <f t="shared" si="600"/>
        <v>37876200.43</v>
      </c>
      <c r="AB307" s="403">
        <f t="shared" si="587"/>
        <v>54002939.650000006</v>
      </c>
      <c r="AC307" s="326">
        <v>0</v>
      </c>
    </row>
    <row r="308" spans="1:29" ht="14.25" x14ac:dyDescent="0.2">
      <c r="A308" s="420">
        <v>1</v>
      </c>
      <c r="B308" s="323" t="s">
        <v>783</v>
      </c>
      <c r="C308" s="206" t="s">
        <v>784</v>
      </c>
      <c r="D308" s="332"/>
      <c r="E308" s="325">
        <f>SUM('ADICIONES  2021'!C308:N308)</f>
        <v>0</v>
      </c>
      <c r="F308" s="281"/>
      <c r="G308" s="281"/>
      <c r="H308" s="281"/>
      <c r="I308" s="281"/>
      <c r="J308" s="281"/>
      <c r="K308" s="281">
        <f t="shared" si="580"/>
        <v>0</v>
      </c>
      <c r="L308" s="281">
        <v>8521014</v>
      </c>
      <c r="M308" s="281">
        <v>5446204</v>
      </c>
      <c r="N308" s="281">
        <v>6539234</v>
      </c>
      <c r="O308" s="281">
        <v>6449821</v>
      </c>
      <c r="P308" s="281">
        <v>6285645</v>
      </c>
      <c r="Q308" s="281">
        <v>3776967</v>
      </c>
      <c r="R308" s="281">
        <f t="shared" si="586"/>
        <v>37018885</v>
      </c>
      <c r="S308" s="281">
        <v>3952027</v>
      </c>
      <c r="T308" s="281">
        <v>3296649</v>
      </c>
      <c r="U308" s="281">
        <v>2208993</v>
      </c>
      <c r="V308" s="281">
        <v>2205814</v>
      </c>
      <c r="W308" s="281">
        <v>-46507416</v>
      </c>
      <c r="X308" s="281">
        <v>1638241</v>
      </c>
      <c r="Y308" s="281"/>
      <c r="Z308" s="281"/>
      <c r="AA308" s="281">
        <f t="shared" si="600"/>
        <v>-33205692</v>
      </c>
      <c r="AB308" s="403">
        <f t="shared" si="587"/>
        <v>3813193</v>
      </c>
      <c r="AC308" s="326">
        <v>0</v>
      </c>
    </row>
    <row r="309" spans="1:29" ht="14.25" x14ac:dyDescent="0.2">
      <c r="A309" s="420">
        <v>1</v>
      </c>
      <c r="B309" s="323" t="s">
        <v>783</v>
      </c>
      <c r="C309" s="206" t="s">
        <v>784</v>
      </c>
      <c r="D309" s="332"/>
      <c r="E309" s="325">
        <f>SUM('ADICIONES  2021'!C309:N309)</f>
        <v>44267561</v>
      </c>
      <c r="F309" s="281"/>
      <c r="G309" s="281"/>
      <c r="H309" s="281"/>
      <c r="I309" s="281"/>
      <c r="J309" s="281"/>
      <c r="K309" s="281">
        <f t="shared" si="580"/>
        <v>44267561</v>
      </c>
      <c r="L309" s="281"/>
      <c r="M309" s="281"/>
      <c r="N309" s="281"/>
      <c r="O309" s="281"/>
      <c r="P309" s="281"/>
      <c r="Q309" s="281"/>
      <c r="R309" s="281">
        <f t="shared" si="586"/>
        <v>0</v>
      </c>
      <c r="S309" s="281"/>
      <c r="T309" s="281"/>
      <c r="U309" s="281"/>
      <c r="V309" s="281"/>
      <c r="W309" s="281">
        <v>48682368</v>
      </c>
      <c r="X309" s="281">
        <v>0</v>
      </c>
      <c r="Y309" s="281"/>
      <c r="Z309" s="281"/>
      <c r="AA309" s="281">
        <f t="shared" si="600"/>
        <v>48682368</v>
      </c>
      <c r="AB309" s="403">
        <f t="shared" si="587"/>
        <v>48682368</v>
      </c>
      <c r="AC309" s="326">
        <f t="shared" ref="AC309:AC372" si="623">+AB309/K309</f>
        <v>1.0997300709655091</v>
      </c>
    </row>
    <row r="310" spans="1:29" ht="14.25" x14ac:dyDescent="0.2">
      <c r="A310" s="420">
        <v>1</v>
      </c>
      <c r="B310" s="323" t="s">
        <v>785</v>
      </c>
      <c r="C310" s="206" t="s">
        <v>786</v>
      </c>
      <c r="D310" s="332"/>
      <c r="E310" s="325">
        <f>SUM('ADICIONES  2021'!C310:N310)</f>
        <v>0</v>
      </c>
      <c r="F310" s="281"/>
      <c r="G310" s="281"/>
      <c r="H310" s="281"/>
      <c r="I310" s="281"/>
      <c r="J310" s="281"/>
      <c r="K310" s="281">
        <f t="shared" si="580"/>
        <v>0</v>
      </c>
      <c r="L310" s="281">
        <v>28883</v>
      </c>
      <c r="M310" s="281">
        <v>24573</v>
      </c>
      <c r="N310" s="281">
        <v>23826</v>
      </c>
      <c r="O310" s="281">
        <v>23778</v>
      </c>
      <c r="P310" s="281">
        <v>23805</v>
      </c>
      <c r="Q310" s="281">
        <v>23833</v>
      </c>
      <c r="R310" s="281">
        <f t="shared" si="586"/>
        <v>148698</v>
      </c>
      <c r="S310" s="281">
        <v>23860</v>
      </c>
      <c r="T310" s="281">
        <v>23888</v>
      </c>
      <c r="U310" s="281">
        <v>19755</v>
      </c>
      <c r="V310" s="281">
        <v>16204</v>
      </c>
      <c r="W310" s="281">
        <v>13344</v>
      </c>
      <c r="X310" s="281">
        <v>8829</v>
      </c>
      <c r="Y310" s="281"/>
      <c r="Z310" s="281"/>
      <c r="AA310" s="281">
        <f t="shared" si="600"/>
        <v>105880</v>
      </c>
      <c r="AB310" s="403">
        <f t="shared" si="587"/>
        <v>254578</v>
      </c>
      <c r="AC310" s="326">
        <v>0</v>
      </c>
    </row>
    <row r="311" spans="1:29" ht="14.25" x14ac:dyDescent="0.2">
      <c r="A311" s="420">
        <v>1</v>
      </c>
      <c r="B311" s="323" t="s">
        <v>787</v>
      </c>
      <c r="C311" s="206" t="s">
        <v>330</v>
      </c>
      <c r="D311" s="332"/>
      <c r="E311" s="325">
        <f>SUM('ADICIONES  2021'!C311:N311)</f>
        <v>0</v>
      </c>
      <c r="F311" s="277"/>
      <c r="G311" s="277"/>
      <c r="H311" s="277"/>
      <c r="I311" s="277"/>
      <c r="J311" s="277"/>
      <c r="K311" s="281">
        <f t="shared" si="580"/>
        <v>0</v>
      </c>
      <c r="L311" s="277">
        <v>0</v>
      </c>
      <c r="M311" s="277">
        <v>0</v>
      </c>
      <c r="N311" s="277">
        <v>0</v>
      </c>
      <c r="O311" s="277">
        <v>0</v>
      </c>
      <c r="P311" s="277">
        <v>0</v>
      </c>
      <c r="Q311" s="277">
        <v>0</v>
      </c>
      <c r="R311" s="281">
        <f t="shared" si="586"/>
        <v>0</v>
      </c>
      <c r="S311" s="277">
        <v>0</v>
      </c>
      <c r="T311" s="277">
        <v>0</v>
      </c>
      <c r="U311" s="277">
        <v>0</v>
      </c>
      <c r="V311" s="277">
        <v>0</v>
      </c>
      <c r="W311" s="277">
        <v>0</v>
      </c>
      <c r="X311" s="277">
        <v>0</v>
      </c>
      <c r="Y311" s="277"/>
      <c r="Z311" s="277"/>
      <c r="AA311" s="281">
        <f t="shared" si="600"/>
        <v>0</v>
      </c>
      <c r="AB311" s="403">
        <f t="shared" si="587"/>
        <v>0</v>
      </c>
      <c r="AC311" s="326">
        <v>0</v>
      </c>
    </row>
    <row r="312" spans="1:29" ht="14.25" x14ac:dyDescent="0.2">
      <c r="A312" s="420">
        <v>1</v>
      </c>
      <c r="B312" s="323" t="s">
        <v>788</v>
      </c>
      <c r="C312" s="206" t="s">
        <v>331</v>
      </c>
      <c r="D312" s="332"/>
      <c r="E312" s="325">
        <f>SUM('ADICIONES  2021'!C312:N312)</f>
        <v>0</v>
      </c>
      <c r="F312" s="277"/>
      <c r="G312" s="277"/>
      <c r="H312" s="277"/>
      <c r="I312" s="277"/>
      <c r="J312" s="277"/>
      <c r="K312" s="281">
        <f t="shared" si="580"/>
        <v>0</v>
      </c>
      <c r="L312" s="277">
        <v>0</v>
      </c>
      <c r="M312" s="277">
        <v>0</v>
      </c>
      <c r="N312" s="277">
        <v>0</v>
      </c>
      <c r="O312" s="277">
        <v>0</v>
      </c>
      <c r="P312" s="277">
        <v>0</v>
      </c>
      <c r="Q312" s="277">
        <v>0</v>
      </c>
      <c r="R312" s="281">
        <f t="shared" si="586"/>
        <v>0</v>
      </c>
      <c r="S312" s="277">
        <v>0</v>
      </c>
      <c r="T312" s="277">
        <v>0</v>
      </c>
      <c r="U312" s="277">
        <v>0</v>
      </c>
      <c r="V312" s="277">
        <v>0</v>
      </c>
      <c r="W312" s="277">
        <v>0</v>
      </c>
      <c r="X312" s="277">
        <v>0</v>
      </c>
      <c r="Y312" s="277"/>
      <c r="Z312" s="277"/>
      <c r="AA312" s="281">
        <f t="shared" si="600"/>
        <v>0</v>
      </c>
      <c r="AB312" s="403">
        <f t="shared" si="587"/>
        <v>0</v>
      </c>
      <c r="AC312" s="326">
        <v>0</v>
      </c>
    </row>
    <row r="313" spans="1:29" ht="14.25" x14ac:dyDescent="0.2">
      <c r="A313" s="420">
        <v>1</v>
      </c>
      <c r="B313" s="323" t="s">
        <v>789</v>
      </c>
      <c r="C313" s="206" t="s">
        <v>332</v>
      </c>
      <c r="D313" s="332"/>
      <c r="E313" s="325">
        <f>SUM('ADICIONES  2021'!C313:N313)</f>
        <v>0</v>
      </c>
      <c r="F313" s="277"/>
      <c r="G313" s="277"/>
      <c r="H313" s="277"/>
      <c r="I313" s="277"/>
      <c r="J313" s="277"/>
      <c r="K313" s="281">
        <f t="shared" si="580"/>
        <v>0</v>
      </c>
      <c r="L313" s="277">
        <v>46107428</v>
      </c>
      <c r="M313" s="277">
        <v>27986004</v>
      </c>
      <c r="N313" s="277">
        <v>28040546</v>
      </c>
      <c r="O313" s="277">
        <v>27110162</v>
      </c>
      <c r="P313" s="277">
        <v>20345247</v>
      </c>
      <c r="Q313" s="277">
        <v>27382945</v>
      </c>
      <c r="R313" s="281">
        <f t="shared" si="586"/>
        <v>176972332</v>
      </c>
      <c r="S313" s="277">
        <v>42320399</v>
      </c>
      <c r="T313" s="277">
        <v>33236189</v>
      </c>
      <c r="U313" s="277">
        <v>31362452</v>
      </c>
      <c r="V313" s="277">
        <v>29496665</v>
      </c>
      <c r="W313" s="277">
        <v>28725605</v>
      </c>
      <c r="X313" s="277">
        <v>25417832</v>
      </c>
      <c r="Y313" s="277"/>
      <c r="Z313" s="277"/>
      <c r="AA313" s="281">
        <f t="shared" si="600"/>
        <v>190559142</v>
      </c>
      <c r="AB313" s="403">
        <f t="shared" si="587"/>
        <v>367531474</v>
      </c>
      <c r="AC313" s="326">
        <v>0</v>
      </c>
    </row>
    <row r="314" spans="1:29" ht="14.25" x14ac:dyDescent="0.2">
      <c r="A314" s="420">
        <v>1</v>
      </c>
      <c r="B314" s="323" t="s">
        <v>789</v>
      </c>
      <c r="C314" s="206" t="s">
        <v>332</v>
      </c>
      <c r="D314" s="332"/>
      <c r="E314" s="325">
        <f>SUM('ADICIONES  2021'!C314:N314)</f>
        <v>1863176</v>
      </c>
      <c r="F314" s="277"/>
      <c r="G314" s="277"/>
      <c r="H314" s="277"/>
      <c r="I314" s="277"/>
      <c r="J314" s="277"/>
      <c r="K314" s="281">
        <f t="shared" si="580"/>
        <v>1863176</v>
      </c>
      <c r="L314" s="277"/>
      <c r="M314" s="277"/>
      <c r="N314" s="277"/>
      <c r="O314" s="277">
        <v>0</v>
      </c>
      <c r="P314" s="277">
        <v>0</v>
      </c>
      <c r="Q314" s="277">
        <v>0</v>
      </c>
      <c r="R314" s="281">
        <f t="shared" si="586"/>
        <v>0</v>
      </c>
      <c r="S314" s="277">
        <v>0</v>
      </c>
      <c r="T314" s="277">
        <v>0</v>
      </c>
      <c r="U314" s="277">
        <v>0</v>
      </c>
      <c r="V314" s="277">
        <v>0</v>
      </c>
      <c r="W314" s="277">
        <v>1863176</v>
      </c>
      <c r="X314" s="277">
        <v>0</v>
      </c>
      <c r="Y314" s="277"/>
      <c r="Z314" s="277"/>
      <c r="AA314" s="281">
        <f t="shared" si="600"/>
        <v>1863176</v>
      </c>
      <c r="AB314" s="403">
        <f t="shared" si="587"/>
        <v>1863176</v>
      </c>
      <c r="AC314" s="326">
        <f t="shared" si="623"/>
        <v>1</v>
      </c>
    </row>
    <row r="315" spans="1:29" ht="14.25" x14ac:dyDescent="0.2">
      <c r="A315" s="420">
        <v>1</v>
      </c>
      <c r="B315" s="323" t="s">
        <v>789</v>
      </c>
      <c r="C315" s="206" t="s">
        <v>332</v>
      </c>
      <c r="D315" s="332"/>
      <c r="E315" s="325">
        <f>SUM('ADICIONES  2021'!C315:N315)</f>
        <v>2077885</v>
      </c>
      <c r="F315" s="277"/>
      <c r="G315" s="277"/>
      <c r="H315" s="277"/>
      <c r="I315" s="277"/>
      <c r="J315" s="277"/>
      <c r="K315" s="281">
        <f t="shared" si="580"/>
        <v>2077885</v>
      </c>
      <c r="L315" s="277"/>
      <c r="M315" s="277"/>
      <c r="N315" s="277"/>
      <c r="O315" s="277"/>
      <c r="P315" s="277"/>
      <c r="Q315" s="277"/>
      <c r="R315" s="281">
        <f t="shared" si="586"/>
        <v>0</v>
      </c>
      <c r="S315" s="277"/>
      <c r="T315" s="277"/>
      <c r="U315" s="277"/>
      <c r="V315" s="277"/>
      <c r="W315" s="277">
        <v>2077885</v>
      </c>
      <c r="X315" s="277">
        <v>0</v>
      </c>
      <c r="Y315" s="277"/>
      <c r="Z315" s="277"/>
      <c r="AA315" s="281">
        <f t="shared" si="600"/>
        <v>2077885</v>
      </c>
      <c r="AB315" s="403">
        <f t="shared" si="587"/>
        <v>2077885</v>
      </c>
      <c r="AC315" s="326">
        <f t="shared" si="623"/>
        <v>1</v>
      </c>
    </row>
    <row r="316" spans="1:29" ht="14.25" x14ac:dyDescent="0.2">
      <c r="A316" s="420">
        <v>1</v>
      </c>
      <c r="B316" s="323" t="s">
        <v>790</v>
      </c>
      <c r="C316" s="206" t="s">
        <v>333</v>
      </c>
      <c r="D316" s="332"/>
      <c r="E316" s="325">
        <f>SUM('ADICIONES  2021'!C316:N316)</f>
        <v>0</v>
      </c>
      <c r="F316" s="277"/>
      <c r="G316" s="277"/>
      <c r="H316" s="277"/>
      <c r="I316" s="277"/>
      <c r="J316" s="277"/>
      <c r="K316" s="281">
        <f t="shared" si="580"/>
        <v>0</v>
      </c>
      <c r="L316" s="277">
        <v>399214</v>
      </c>
      <c r="M316" s="277">
        <v>302816</v>
      </c>
      <c r="N316" s="277">
        <v>352834</v>
      </c>
      <c r="O316" s="277">
        <v>383729</v>
      </c>
      <c r="P316" s="277">
        <v>391461</v>
      </c>
      <c r="Q316" s="277">
        <v>147398</v>
      </c>
      <c r="R316" s="281">
        <f t="shared" si="586"/>
        <v>1977452</v>
      </c>
      <c r="S316" s="277">
        <v>147398</v>
      </c>
      <c r="T316" s="277">
        <v>199250</v>
      </c>
      <c r="U316" s="277">
        <v>810121</v>
      </c>
      <c r="V316" s="277">
        <v>553381</v>
      </c>
      <c r="W316" s="277">
        <v>564988</v>
      </c>
      <c r="X316" s="277">
        <v>643095</v>
      </c>
      <c r="Y316" s="277"/>
      <c r="Z316" s="277"/>
      <c r="AA316" s="281">
        <f t="shared" si="600"/>
        <v>2918233</v>
      </c>
      <c r="AB316" s="403">
        <f t="shared" si="587"/>
        <v>4895685</v>
      </c>
      <c r="AC316" s="326">
        <v>0</v>
      </c>
    </row>
    <row r="317" spans="1:29" ht="14.25" x14ac:dyDescent="0.2">
      <c r="A317" s="420">
        <v>1</v>
      </c>
      <c r="B317" s="323" t="s">
        <v>791</v>
      </c>
      <c r="C317" s="206" t="s">
        <v>334</v>
      </c>
      <c r="D317" s="332"/>
      <c r="E317" s="325">
        <f>SUM('ADICIONES  2021'!C317:N317)</f>
        <v>0</v>
      </c>
      <c r="F317" s="277"/>
      <c r="G317" s="277"/>
      <c r="H317" s="277"/>
      <c r="I317" s="277"/>
      <c r="J317" s="277"/>
      <c r="K317" s="281">
        <f t="shared" si="580"/>
        <v>0</v>
      </c>
      <c r="L317" s="277">
        <v>2922013</v>
      </c>
      <c r="M317" s="277">
        <v>1735292</v>
      </c>
      <c r="N317" s="277">
        <v>1876976</v>
      </c>
      <c r="O317" s="277">
        <v>1974655</v>
      </c>
      <c r="P317" s="277">
        <v>2391033</v>
      </c>
      <c r="Q317" s="277">
        <v>3209100</v>
      </c>
      <c r="R317" s="281">
        <f t="shared" si="586"/>
        <v>14109069</v>
      </c>
      <c r="S317" s="277">
        <v>2270734</v>
      </c>
      <c r="T317" s="277">
        <v>2263768</v>
      </c>
      <c r="U317" s="277">
        <v>2256393</v>
      </c>
      <c r="V317" s="277">
        <v>1964182</v>
      </c>
      <c r="W317" s="277">
        <v>1520700</v>
      </c>
      <c r="X317" s="277">
        <v>1358187</v>
      </c>
      <c r="Y317" s="277"/>
      <c r="Z317" s="277"/>
      <c r="AA317" s="281">
        <f t="shared" si="600"/>
        <v>11633964</v>
      </c>
      <c r="AB317" s="403">
        <f t="shared" si="587"/>
        <v>25743033</v>
      </c>
      <c r="AC317" s="326">
        <v>0</v>
      </c>
    </row>
    <row r="318" spans="1:29" ht="14.25" x14ac:dyDescent="0.2">
      <c r="A318" s="420">
        <v>1</v>
      </c>
      <c r="B318" s="323" t="s">
        <v>792</v>
      </c>
      <c r="C318" s="206" t="s">
        <v>335</v>
      </c>
      <c r="D318" s="332"/>
      <c r="E318" s="325">
        <f>SUM('ADICIONES  2021'!C318:N318)</f>
        <v>0</v>
      </c>
      <c r="F318" s="277"/>
      <c r="G318" s="277"/>
      <c r="H318" s="277"/>
      <c r="I318" s="277"/>
      <c r="J318" s="277"/>
      <c r="K318" s="281">
        <f t="shared" si="580"/>
        <v>0</v>
      </c>
      <c r="L318" s="277">
        <v>0</v>
      </c>
      <c r="M318" s="277">
        <v>0</v>
      </c>
      <c r="N318" s="277">
        <v>0</v>
      </c>
      <c r="O318" s="277">
        <v>0</v>
      </c>
      <c r="P318" s="277">
        <v>0</v>
      </c>
      <c r="Q318" s="277">
        <v>0</v>
      </c>
      <c r="R318" s="281">
        <f t="shared" si="586"/>
        <v>0</v>
      </c>
      <c r="S318" s="277">
        <v>0</v>
      </c>
      <c r="T318" s="277">
        <v>0</v>
      </c>
      <c r="U318" s="277">
        <v>0</v>
      </c>
      <c r="V318" s="277">
        <v>0</v>
      </c>
      <c r="W318" s="277">
        <v>0</v>
      </c>
      <c r="X318" s="277">
        <v>0</v>
      </c>
      <c r="Y318" s="277"/>
      <c r="Z318" s="277"/>
      <c r="AA318" s="281">
        <f t="shared" si="600"/>
        <v>0</v>
      </c>
      <c r="AB318" s="403">
        <f t="shared" si="587"/>
        <v>0</v>
      </c>
      <c r="AC318" s="326">
        <v>0</v>
      </c>
    </row>
    <row r="319" spans="1:29" ht="14.25" x14ac:dyDescent="0.2">
      <c r="A319" s="420">
        <v>1</v>
      </c>
      <c r="B319" s="323" t="s">
        <v>793</v>
      </c>
      <c r="C319" s="206" t="s">
        <v>336</v>
      </c>
      <c r="D319" s="332"/>
      <c r="E319" s="325">
        <f>SUM('ADICIONES  2021'!C319:N319)</f>
        <v>0</v>
      </c>
      <c r="F319" s="277"/>
      <c r="G319" s="277"/>
      <c r="H319" s="277"/>
      <c r="I319" s="277"/>
      <c r="J319" s="277"/>
      <c r="K319" s="281">
        <f t="shared" si="580"/>
        <v>0</v>
      </c>
      <c r="L319" s="277">
        <v>619150</v>
      </c>
      <c r="M319" s="277">
        <v>504283</v>
      </c>
      <c r="N319" s="277">
        <v>553402</v>
      </c>
      <c r="O319" s="277">
        <v>536697</v>
      </c>
      <c r="P319" s="277">
        <v>568828</v>
      </c>
      <c r="Q319" s="277">
        <v>595194</v>
      </c>
      <c r="R319" s="281">
        <f t="shared" si="586"/>
        <v>3377554</v>
      </c>
      <c r="S319" s="277">
        <v>616320</v>
      </c>
      <c r="T319" s="277">
        <v>617662</v>
      </c>
      <c r="U319" s="277">
        <v>595268</v>
      </c>
      <c r="V319" s="277">
        <v>614560</v>
      </c>
      <c r="W319" s="277">
        <v>620262</v>
      </c>
      <c r="X319" s="277">
        <v>613958</v>
      </c>
      <c r="Y319" s="277"/>
      <c r="Z319" s="277"/>
      <c r="AA319" s="281">
        <f t="shared" si="600"/>
        <v>3678030</v>
      </c>
      <c r="AB319" s="403">
        <f t="shared" si="587"/>
        <v>7055584</v>
      </c>
      <c r="AC319" s="326">
        <v>0</v>
      </c>
    </row>
    <row r="320" spans="1:29" ht="25.5" x14ac:dyDescent="0.2">
      <c r="A320" s="420">
        <v>1</v>
      </c>
      <c r="B320" s="323" t="s">
        <v>794</v>
      </c>
      <c r="C320" s="206" t="s">
        <v>337</v>
      </c>
      <c r="D320" s="332"/>
      <c r="E320" s="325">
        <f>SUM('ADICIONES  2021'!C320:N320)</f>
        <v>0</v>
      </c>
      <c r="F320" s="277"/>
      <c r="G320" s="277"/>
      <c r="H320" s="277"/>
      <c r="I320" s="277"/>
      <c r="J320" s="277"/>
      <c r="K320" s="281">
        <f t="shared" si="580"/>
        <v>0</v>
      </c>
      <c r="L320" s="277">
        <v>69314.44</v>
      </c>
      <c r="M320" s="277">
        <v>58470.99</v>
      </c>
      <c r="N320" s="277">
        <v>61645.57</v>
      </c>
      <c r="O320" s="277">
        <v>16173.2</v>
      </c>
      <c r="P320" s="277">
        <v>530.98</v>
      </c>
      <c r="Q320" s="277">
        <v>484.33</v>
      </c>
      <c r="R320" s="281">
        <f t="shared" si="586"/>
        <v>206619.51</v>
      </c>
      <c r="S320" s="277">
        <v>367.7</v>
      </c>
      <c r="T320" s="277">
        <v>366.56</v>
      </c>
      <c r="U320" s="277">
        <v>341.36</v>
      </c>
      <c r="V320" s="277">
        <v>288.83</v>
      </c>
      <c r="W320" s="277">
        <v>222.51</v>
      </c>
      <c r="X320" s="277">
        <v>192.75</v>
      </c>
      <c r="Y320" s="277"/>
      <c r="Z320" s="277"/>
      <c r="AA320" s="281">
        <f t="shared" si="600"/>
        <v>1779.7099999999998</v>
      </c>
      <c r="AB320" s="403">
        <f t="shared" si="587"/>
        <v>208399.22</v>
      </c>
      <c r="AC320" s="326">
        <v>0</v>
      </c>
    </row>
    <row r="321" spans="1:29" ht="25.5" x14ac:dyDescent="0.2">
      <c r="A321" s="420">
        <v>1</v>
      </c>
      <c r="B321" s="323" t="s">
        <v>795</v>
      </c>
      <c r="C321" s="206" t="s">
        <v>338</v>
      </c>
      <c r="D321" s="332"/>
      <c r="E321" s="325">
        <f>SUM('ADICIONES  2021'!C321:N321)</f>
        <v>0</v>
      </c>
      <c r="F321" s="277"/>
      <c r="G321" s="277"/>
      <c r="H321" s="277"/>
      <c r="I321" s="277"/>
      <c r="J321" s="277"/>
      <c r="K321" s="281">
        <f t="shared" si="580"/>
        <v>0</v>
      </c>
      <c r="L321" s="277">
        <v>18527848.949999999</v>
      </c>
      <c r="M321" s="277">
        <v>16474518.880000001</v>
      </c>
      <c r="N321" s="277">
        <v>9998075.9900000002</v>
      </c>
      <c r="O321" s="277">
        <v>9132826.0299999993</v>
      </c>
      <c r="P321" s="277">
        <v>8435357.9800000004</v>
      </c>
      <c r="Q321" s="277">
        <v>7505162.1900000004</v>
      </c>
      <c r="R321" s="281">
        <f t="shared" si="586"/>
        <v>70073790.019999996</v>
      </c>
      <c r="S321" s="277">
        <v>5854046.3600000003</v>
      </c>
      <c r="T321" s="277">
        <v>4354781.91</v>
      </c>
      <c r="U321" s="277">
        <v>3135969.08</v>
      </c>
      <c r="V321" s="277">
        <v>2556091.15</v>
      </c>
      <c r="W321" s="277">
        <v>2373385.63</v>
      </c>
      <c r="X321" s="277">
        <v>1971946.17</v>
      </c>
      <c r="Y321" s="277"/>
      <c r="Z321" s="277"/>
      <c r="AA321" s="281">
        <f t="shared" si="600"/>
        <v>20246220.299999997</v>
      </c>
      <c r="AB321" s="403">
        <f t="shared" si="587"/>
        <v>90320010.319999993</v>
      </c>
      <c r="AC321" s="326">
        <v>0</v>
      </c>
    </row>
    <row r="322" spans="1:29" ht="14.25" x14ac:dyDescent="0.2">
      <c r="A322" s="420">
        <v>1</v>
      </c>
      <c r="B322" s="323" t="s">
        <v>796</v>
      </c>
      <c r="C322" s="206" t="s">
        <v>339</v>
      </c>
      <c r="D322" s="332"/>
      <c r="E322" s="325">
        <f>SUM('ADICIONES  2021'!C322:N322)</f>
        <v>0</v>
      </c>
      <c r="F322" s="277"/>
      <c r="G322" s="277"/>
      <c r="H322" s="277"/>
      <c r="I322" s="277"/>
      <c r="J322" s="277"/>
      <c r="K322" s="281">
        <f t="shared" si="580"/>
        <v>0</v>
      </c>
      <c r="L322" s="277">
        <v>2471972</v>
      </c>
      <c r="M322" s="277">
        <v>507614</v>
      </c>
      <c r="N322" s="277">
        <v>918562</v>
      </c>
      <c r="O322" s="277">
        <v>1006338</v>
      </c>
      <c r="P322" s="277">
        <v>1137943</v>
      </c>
      <c r="Q322" s="277">
        <v>1168273</v>
      </c>
      <c r="R322" s="281">
        <f t="shared" si="586"/>
        <v>7210702</v>
      </c>
      <c r="S322" s="277">
        <v>1322372</v>
      </c>
      <c r="T322" s="277">
        <v>1433811</v>
      </c>
      <c r="U322" s="277">
        <v>1494090</v>
      </c>
      <c r="V322" s="277">
        <v>1531446</v>
      </c>
      <c r="W322" s="277">
        <v>1663861</v>
      </c>
      <c r="X322" s="277">
        <v>1678423</v>
      </c>
      <c r="Y322" s="277"/>
      <c r="Z322" s="277"/>
      <c r="AA322" s="281">
        <f t="shared" si="600"/>
        <v>9124003</v>
      </c>
      <c r="AB322" s="403">
        <f t="shared" si="587"/>
        <v>16334705</v>
      </c>
      <c r="AC322" s="326">
        <v>0</v>
      </c>
    </row>
    <row r="323" spans="1:29" ht="25.5" x14ac:dyDescent="0.2">
      <c r="A323" s="420">
        <v>1</v>
      </c>
      <c r="B323" s="323" t="s">
        <v>797</v>
      </c>
      <c r="C323" s="206" t="s">
        <v>340</v>
      </c>
      <c r="D323" s="332"/>
      <c r="E323" s="325">
        <f>SUM('ADICIONES  2021'!C323:N323)</f>
        <v>0</v>
      </c>
      <c r="F323" s="277"/>
      <c r="G323" s="277"/>
      <c r="H323" s="277"/>
      <c r="I323" s="277"/>
      <c r="J323" s="277"/>
      <c r="K323" s="281">
        <f t="shared" si="580"/>
        <v>0</v>
      </c>
      <c r="L323" s="277">
        <v>1105238.1399999999</v>
      </c>
      <c r="M323" s="277">
        <v>998515.22</v>
      </c>
      <c r="N323" s="277">
        <v>1105759.92</v>
      </c>
      <c r="O323" s="277">
        <v>1070351.3799999999</v>
      </c>
      <c r="P323" s="277">
        <v>1106299.6599999999</v>
      </c>
      <c r="Q323" s="277">
        <v>575563.4</v>
      </c>
      <c r="R323" s="281">
        <f t="shared" si="586"/>
        <v>5961727.7200000007</v>
      </c>
      <c r="S323" s="277">
        <v>414987.62</v>
      </c>
      <c r="T323" s="277">
        <v>415026.14</v>
      </c>
      <c r="U323" s="277">
        <v>401675.03</v>
      </c>
      <c r="V323" s="277">
        <v>415102.33</v>
      </c>
      <c r="W323" s="277">
        <v>401748.56</v>
      </c>
      <c r="X323" s="277">
        <v>2884694.02</v>
      </c>
      <c r="Y323" s="277"/>
      <c r="Z323" s="277"/>
      <c r="AA323" s="281">
        <f t="shared" si="600"/>
        <v>4933233.7</v>
      </c>
      <c r="AB323" s="403">
        <f t="shared" si="587"/>
        <v>10894961.420000002</v>
      </c>
      <c r="AC323" s="326">
        <v>0</v>
      </c>
    </row>
    <row r="324" spans="1:29" ht="25.5" x14ac:dyDescent="0.2">
      <c r="A324" s="420">
        <v>1</v>
      </c>
      <c r="B324" s="323" t="s">
        <v>798</v>
      </c>
      <c r="C324" s="206" t="s">
        <v>341</v>
      </c>
      <c r="D324" s="332"/>
      <c r="E324" s="325">
        <f>SUM('ADICIONES  2021'!C324:N324)</f>
        <v>0</v>
      </c>
      <c r="F324" s="277"/>
      <c r="G324" s="277"/>
      <c r="H324" s="277"/>
      <c r="I324" s="277"/>
      <c r="J324" s="277"/>
      <c r="K324" s="281">
        <f t="shared" si="580"/>
        <v>0</v>
      </c>
      <c r="L324" s="277">
        <v>9827</v>
      </c>
      <c r="M324" s="277">
        <v>41185</v>
      </c>
      <c r="N324" s="277">
        <v>52676</v>
      </c>
      <c r="O324" s="277">
        <v>67250</v>
      </c>
      <c r="P324" s="277">
        <v>77024</v>
      </c>
      <c r="Q324" s="277">
        <v>116265</v>
      </c>
      <c r="R324" s="281">
        <f t="shared" si="586"/>
        <v>364227</v>
      </c>
      <c r="S324" s="277">
        <v>63236</v>
      </c>
      <c r="T324" s="277">
        <v>73366</v>
      </c>
      <c r="U324" s="277">
        <v>56710</v>
      </c>
      <c r="V324" s="277">
        <v>19958</v>
      </c>
      <c r="W324" s="277">
        <v>0</v>
      </c>
      <c r="X324" s="277">
        <v>1471614</v>
      </c>
      <c r="Y324" s="277"/>
      <c r="Z324" s="277"/>
      <c r="AA324" s="281">
        <f t="shared" si="600"/>
        <v>1684884</v>
      </c>
      <c r="AB324" s="403">
        <f t="shared" si="587"/>
        <v>2049111</v>
      </c>
      <c r="AC324" s="326">
        <v>0</v>
      </c>
    </row>
    <row r="325" spans="1:29" ht="25.5" x14ac:dyDescent="0.2">
      <c r="A325" s="420">
        <v>1</v>
      </c>
      <c r="B325" s="323" t="s">
        <v>799</v>
      </c>
      <c r="C325" s="206" t="s">
        <v>800</v>
      </c>
      <c r="D325" s="332">
        <v>85000000</v>
      </c>
      <c r="E325" s="325">
        <f>SUM('ADICIONES  2021'!C325:N325)</f>
        <v>0</v>
      </c>
      <c r="F325" s="277"/>
      <c r="G325" s="277"/>
      <c r="H325" s="277"/>
      <c r="I325" s="277"/>
      <c r="J325" s="277"/>
      <c r="K325" s="281">
        <f t="shared" si="580"/>
        <v>85000000</v>
      </c>
      <c r="L325" s="277">
        <v>1933865.05</v>
      </c>
      <c r="M325" s="277">
        <v>26427.13</v>
      </c>
      <c r="N325" s="277">
        <v>4197492.51</v>
      </c>
      <c r="O325" s="277">
        <v>2173098.23</v>
      </c>
      <c r="P325" s="277">
        <v>2041414.77</v>
      </c>
      <c r="Q325" s="277">
        <v>2140121.02</v>
      </c>
      <c r="R325" s="281">
        <f t="shared" si="586"/>
        <v>12512418.709999999</v>
      </c>
      <c r="S325" s="277">
        <v>1857851.32</v>
      </c>
      <c r="T325" s="277">
        <v>1353357.06</v>
      </c>
      <c r="U325" s="277">
        <v>1595316.06</v>
      </c>
      <c r="V325" s="277">
        <v>1647846.49</v>
      </c>
      <c r="W325" s="277">
        <v>1691918</v>
      </c>
      <c r="X325" s="277">
        <v>9728352.7599999998</v>
      </c>
      <c r="Y325" s="277"/>
      <c r="Z325" s="277"/>
      <c r="AA325" s="281">
        <f t="shared" si="600"/>
        <v>17874641.689999998</v>
      </c>
      <c r="AB325" s="403">
        <f t="shared" si="587"/>
        <v>30387060.399999999</v>
      </c>
      <c r="AC325" s="326">
        <f t="shared" si="623"/>
        <v>0.3574948282352941</v>
      </c>
    </row>
    <row r="326" spans="1:29" ht="25.5" x14ac:dyDescent="0.2">
      <c r="A326" s="420">
        <v>1</v>
      </c>
      <c r="B326" s="323" t="s">
        <v>801</v>
      </c>
      <c r="C326" s="206" t="s">
        <v>802</v>
      </c>
      <c r="D326" s="332"/>
      <c r="E326" s="325">
        <f>SUM('ADICIONES  2021'!C326:N326)</f>
        <v>0</v>
      </c>
      <c r="F326" s="277"/>
      <c r="G326" s="277"/>
      <c r="H326" s="277"/>
      <c r="I326" s="277"/>
      <c r="J326" s="277"/>
      <c r="K326" s="281">
        <f t="shared" si="580"/>
        <v>0</v>
      </c>
      <c r="L326" s="277">
        <v>103920.67</v>
      </c>
      <c r="M326" s="277">
        <v>78649.3</v>
      </c>
      <c r="N326" s="277">
        <v>122766.32</v>
      </c>
      <c r="O326" s="277">
        <v>139478.44</v>
      </c>
      <c r="P326" s="277">
        <v>177283.32</v>
      </c>
      <c r="Q326" s="277">
        <v>115156.74</v>
      </c>
      <c r="R326" s="281">
        <f t="shared" si="586"/>
        <v>737254.79</v>
      </c>
      <c r="S326" s="277">
        <v>86136.69</v>
      </c>
      <c r="T326" s="277">
        <v>91565.21</v>
      </c>
      <c r="U326" s="277">
        <v>108483.51</v>
      </c>
      <c r="V326" s="277">
        <v>116970.23</v>
      </c>
      <c r="W326" s="277">
        <v>130124.92</v>
      </c>
      <c r="X326" s="277">
        <v>1011427.49</v>
      </c>
      <c r="Y326" s="277"/>
      <c r="Z326" s="277"/>
      <c r="AA326" s="281">
        <f t="shared" si="600"/>
        <v>1544708.05</v>
      </c>
      <c r="AB326" s="403">
        <f t="shared" si="587"/>
        <v>2281962.84</v>
      </c>
      <c r="AC326" s="326">
        <v>0</v>
      </c>
    </row>
    <row r="327" spans="1:29" ht="38.25" x14ac:dyDescent="0.2">
      <c r="A327" s="420">
        <v>1</v>
      </c>
      <c r="B327" s="323" t="s">
        <v>803</v>
      </c>
      <c r="C327" s="206" t="s">
        <v>804</v>
      </c>
      <c r="D327" s="332"/>
      <c r="E327" s="325">
        <f>SUM('ADICIONES  2021'!C327:N327)</f>
        <v>0</v>
      </c>
      <c r="F327" s="277"/>
      <c r="G327" s="277"/>
      <c r="H327" s="277"/>
      <c r="I327" s="277"/>
      <c r="J327" s="277"/>
      <c r="K327" s="281">
        <f t="shared" si="580"/>
        <v>0</v>
      </c>
      <c r="L327" s="277">
        <v>409584.4</v>
      </c>
      <c r="M327" s="277">
        <v>566719.72</v>
      </c>
      <c r="N327" s="277">
        <v>627586.35</v>
      </c>
      <c r="O327" s="277">
        <v>575303</v>
      </c>
      <c r="P327" s="277">
        <v>561362.76</v>
      </c>
      <c r="Q327" s="277">
        <v>292054.53999999998</v>
      </c>
      <c r="R327" s="281">
        <f t="shared" si="586"/>
        <v>3032610.7699999996</v>
      </c>
      <c r="S327" s="277">
        <v>210574.51</v>
      </c>
      <c r="T327" s="277">
        <v>210594.09</v>
      </c>
      <c r="U327" s="277">
        <v>203819.39</v>
      </c>
      <c r="V327" s="277">
        <v>210632.66</v>
      </c>
      <c r="W327" s="277">
        <v>199497.86</v>
      </c>
      <c r="X327" s="277">
        <v>1111271.98</v>
      </c>
      <c r="Y327" s="277"/>
      <c r="Z327" s="277"/>
      <c r="AA327" s="281">
        <f t="shared" si="600"/>
        <v>2146390.4900000002</v>
      </c>
      <c r="AB327" s="403">
        <f t="shared" si="587"/>
        <v>5179001.26</v>
      </c>
      <c r="AC327" s="326">
        <v>0</v>
      </c>
    </row>
    <row r="328" spans="1:29" ht="38.25" x14ac:dyDescent="0.2">
      <c r="A328" s="420">
        <v>1</v>
      </c>
      <c r="B328" s="323" t="s">
        <v>805</v>
      </c>
      <c r="C328" s="206" t="s">
        <v>806</v>
      </c>
      <c r="D328" s="332"/>
      <c r="E328" s="325">
        <f>SUM('ADICIONES  2021'!C328:N328)</f>
        <v>0</v>
      </c>
      <c r="F328" s="277"/>
      <c r="G328" s="277"/>
      <c r="H328" s="277"/>
      <c r="I328" s="277"/>
      <c r="J328" s="277"/>
      <c r="K328" s="281">
        <f t="shared" si="580"/>
        <v>0</v>
      </c>
      <c r="L328" s="277">
        <v>0</v>
      </c>
      <c r="M328" s="277">
        <v>0</v>
      </c>
      <c r="N328" s="277">
        <v>0</v>
      </c>
      <c r="O328" s="277">
        <v>0</v>
      </c>
      <c r="P328" s="277">
        <v>0</v>
      </c>
      <c r="Q328" s="277">
        <v>0</v>
      </c>
      <c r="R328" s="281">
        <f t="shared" si="586"/>
        <v>0</v>
      </c>
      <c r="S328" s="277">
        <v>0</v>
      </c>
      <c r="T328" s="277">
        <v>0</v>
      </c>
      <c r="U328" s="277">
        <v>0</v>
      </c>
      <c r="V328" s="277">
        <v>0</v>
      </c>
      <c r="W328" s="277">
        <v>0</v>
      </c>
      <c r="X328" s="277">
        <v>0</v>
      </c>
      <c r="Y328" s="277"/>
      <c r="Z328" s="277"/>
      <c r="AA328" s="281">
        <f t="shared" si="600"/>
        <v>0</v>
      </c>
      <c r="AB328" s="403">
        <f t="shared" si="587"/>
        <v>0</v>
      </c>
      <c r="AC328" s="326">
        <v>0</v>
      </c>
    </row>
    <row r="329" spans="1:29" ht="14.25" x14ac:dyDescent="0.2">
      <c r="A329" s="420">
        <v>1</v>
      </c>
      <c r="B329" s="323" t="s">
        <v>807</v>
      </c>
      <c r="C329" s="206" t="s">
        <v>342</v>
      </c>
      <c r="D329" s="332"/>
      <c r="E329" s="325">
        <f>SUM('ADICIONES  2021'!C329:N329)</f>
        <v>0</v>
      </c>
      <c r="F329" s="277"/>
      <c r="G329" s="277"/>
      <c r="H329" s="277"/>
      <c r="I329" s="277"/>
      <c r="J329" s="277"/>
      <c r="K329" s="281">
        <f t="shared" si="580"/>
        <v>0</v>
      </c>
      <c r="L329" s="277">
        <v>9388681</v>
      </c>
      <c r="M329" s="277">
        <v>7332271</v>
      </c>
      <c r="N329" s="277">
        <v>11119937</v>
      </c>
      <c r="O329" s="277">
        <v>11513972</v>
      </c>
      <c r="P329" s="277">
        <v>12148271</v>
      </c>
      <c r="Q329" s="277">
        <v>14539171</v>
      </c>
      <c r="R329" s="281">
        <f t="shared" si="586"/>
        <v>66042303</v>
      </c>
      <c r="S329" s="277">
        <v>17037622</v>
      </c>
      <c r="T329" s="277">
        <v>17303214</v>
      </c>
      <c r="U329" s="277">
        <v>16808574</v>
      </c>
      <c r="V329" s="277">
        <v>15036366</v>
      </c>
      <c r="W329" s="277">
        <v>12835373</v>
      </c>
      <c r="X329" s="277">
        <v>10077988</v>
      </c>
      <c r="Y329" s="277"/>
      <c r="Z329" s="277"/>
      <c r="AA329" s="281">
        <f t="shared" si="600"/>
        <v>89099137</v>
      </c>
      <c r="AB329" s="403">
        <f t="shared" si="587"/>
        <v>155141440</v>
      </c>
      <c r="AC329" s="326">
        <v>0</v>
      </c>
    </row>
    <row r="330" spans="1:29" ht="14.25" x14ac:dyDescent="0.2">
      <c r="A330" s="420">
        <v>1</v>
      </c>
      <c r="B330" s="323" t="s">
        <v>808</v>
      </c>
      <c r="C330" s="206" t="s">
        <v>809</v>
      </c>
      <c r="D330" s="332"/>
      <c r="E330" s="325">
        <f>SUM('ADICIONES  2021'!C330:N330)</f>
        <v>0</v>
      </c>
      <c r="F330" s="277"/>
      <c r="G330" s="277"/>
      <c r="H330" s="277"/>
      <c r="I330" s="277"/>
      <c r="J330" s="277"/>
      <c r="K330" s="281">
        <f t="shared" si="580"/>
        <v>0</v>
      </c>
      <c r="L330" s="277">
        <v>0</v>
      </c>
      <c r="M330" s="277">
        <v>0</v>
      </c>
      <c r="N330" s="277">
        <v>0</v>
      </c>
      <c r="O330" s="277">
        <v>0</v>
      </c>
      <c r="P330" s="277">
        <v>0</v>
      </c>
      <c r="Q330" s="277">
        <v>0</v>
      </c>
      <c r="R330" s="281">
        <f t="shared" si="586"/>
        <v>0</v>
      </c>
      <c r="S330" s="277">
        <v>0</v>
      </c>
      <c r="T330" s="277">
        <v>0</v>
      </c>
      <c r="U330" s="277">
        <v>0</v>
      </c>
      <c r="V330" s="277">
        <v>0</v>
      </c>
      <c r="W330" s="277">
        <v>0</v>
      </c>
      <c r="X330" s="277">
        <v>0</v>
      </c>
      <c r="Y330" s="277"/>
      <c r="Z330" s="277"/>
      <c r="AA330" s="281">
        <f t="shared" si="600"/>
        <v>0</v>
      </c>
      <c r="AB330" s="403">
        <f t="shared" si="587"/>
        <v>0</v>
      </c>
      <c r="AC330" s="326">
        <v>0</v>
      </c>
    </row>
    <row r="331" spans="1:29" ht="25.5" x14ac:dyDescent="0.2">
      <c r="A331" s="420">
        <v>1</v>
      </c>
      <c r="B331" s="323" t="s">
        <v>810</v>
      </c>
      <c r="C331" s="206" t="s">
        <v>343</v>
      </c>
      <c r="D331" s="332"/>
      <c r="E331" s="325">
        <f>SUM('ADICIONES  2021'!C331:N331)</f>
        <v>0</v>
      </c>
      <c r="F331" s="277"/>
      <c r="G331" s="277"/>
      <c r="H331" s="277"/>
      <c r="I331" s="277"/>
      <c r="J331" s="277"/>
      <c r="K331" s="281">
        <f t="shared" si="580"/>
        <v>0</v>
      </c>
      <c r="L331" s="277">
        <v>480022.95</v>
      </c>
      <c r="M331" s="277">
        <v>388657.13</v>
      </c>
      <c r="N331" s="277">
        <v>405943.28</v>
      </c>
      <c r="O331" s="277">
        <v>391351.63</v>
      </c>
      <c r="P331" s="277">
        <v>395638.94</v>
      </c>
      <c r="Q331" s="277">
        <v>381689.8</v>
      </c>
      <c r="R331" s="281">
        <f t="shared" si="586"/>
        <v>2443303.73</v>
      </c>
      <c r="S331" s="277">
        <v>394650.69</v>
      </c>
      <c r="T331" s="277">
        <v>389608.33</v>
      </c>
      <c r="U331" s="277">
        <v>364711.57</v>
      </c>
      <c r="V331" s="277">
        <v>408839.02</v>
      </c>
      <c r="W331" s="277">
        <v>481980.96</v>
      </c>
      <c r="X331" s="277">
        <v>516760.95</v>
      </c>
      <c r="Y331" s="277"/>
      <c r="Z331" s="277"/>
      <c r="AA331" s="281">
        <f t="shared" si="600"/>
        <v>2556551.52</v>
      </c>
      <c r="AB331" s="403">
        <f t="shared" si="587"/>
        <v>4999855.25</v>
      </c>
      <c r="AC331" s="326">
        <v>0</v>
      </c>
    </row>
    <row r="332" spans="1:29" ht="14.25" x14ac:dyDescent="0.2">
      <c r="A332" s="420">
        <v>1</v>
      </c>
      <c r="B332" s="323" t="s">
        <v>811</v>
      </c>
      <c r="C332" s="206" t="s">
        <v>344</v>
      </c>
      <c r="D332" s="332"/>
      <c r="E332" s="325">
        <f>SUM('ADICIONES  2021'!C332:N332)</f>
        <v>0</v>
      </c>
      <c r="F332" s="277"/>
      <c r="G332" s="277"/>
      <c r="H332" s="277"/>
      <c r="I332" s="277"/>
      <c r="J332" s="277"/>
      <c r="K332" s="281">
        <f t="shared" si="580"/>
        <v>0</v>
      </c>
      <c r="L332" s="277">
        <v>307827</v>
      </c>
      <c r="M332" s="277">
        <v>290454</v>
      </c>
      <c r="N332" s="277">
        <v>286213</v>
      </c>
      <c r="O332" s="277">
        <v>286502</v>
      </c>
      <c r="P332" s="277">
        <v>286742</v>
      </c>
      <c r="Q332" s="277">
        <v>287005</v>
      </c>
      <c r="R332" s="281">
        <f t="shared" si="586"/>
        <v>1744743</v>
      </c>
      <c r="S332" s="277">
        <v>257535</v>
      </c>
      <c r="T332" s="277">
        <v>113454</v>
      </c>
      <c r="U332" s="277">
        <v>18780</v>
      </c>
      <c r="V332" s="277">
        <v>1511</v>
      </c>
      <c r="W332" s="277">
        <v>4</v>
      </c>
      <c r="X332" s="277">
        <v>4</v>
      </c>
      <c r="Y332" s="277"/>
      <c r="Z332" s="277"/>
      <c r="AA332" s="281">
        <f t="shared" si="600"/>
        <v>391288</v>
      </c>
      <c r="AB332" s="403">
        <f t="shared" si="587"/>
        <v>2136031</v>
      </c>
      <c r="AC332" s="326">
        <v>0</v>
      </c>
    </row>
    <row r="333" spans="1:29" ht="25.5" x14ac:dyDescent="0.2">
      <c r="A333" s="420">
        <v>1</v>
      </c>
      <c r="B333" s="323" t="s">
        <v>1826</v>
      </c>
      <c r="C333" s="206" t="s">
        <v>1827</v>
      </c>
      <c r="D333" s="332"/>
      <c r="E333" s="325">
        <f>SUM('ADICIONES  2021'!C333:N333)</f>
        <v>6600708</v>
      </c>
      <c r="F333" s="277"/>
      <c r="G333" s="277"/>
      <c r="H333" s="277"/>
      <c r="I333" s="277"/>
      <c r="J333" s="277"/>
      <c r="K333" s="281">
        <f t="shared" si="580"/>
        <v>6600708</v>
      </c>
      <c r="L333" s="277"/>
      <c r="M333" s="277"/>
      <c r="N333" s="277"/>
      <c r="O333" s="277"/>
      <c r="P333" s="277">
        <v>0</v>
      </c>
      <c r="Q333" s="277">
        <v>0</v>
      </c>
      <c r="R333" s="281">
        <f t="shared" si="586"/>
        <v>0</v>
      </c>
      <c r="S333" s="277">
        <v>0</v>
      </c>
      <c r="T333" s="277">
        <v>0</v>
      </c>
      <c r="U333" s="277">
        <v>0</v>
      </c>
      <c r="V333" s="277">
        <v>0</v>
      </c>
      <c r="W333" s="277">
        <v>6600708</v>
      </c>
      <c r="X333" s="277">
        <v>0</v>
      </c>
      <c r="Y333" s="277"/>
      <c r="Z333" s="277"/>
      <c r="AA333" s="281">
        <f t="shared" si="600"/>
        <v>6600708</v>
      </c>
      <c r="AB333" s="403">
        <f t="shared" si="587"/>
        <v>6600708</v>
      </c>
      <c r="AC333" s="326">
        <f t="shared" si="623"/>
        <v>1</v>
      </c>
    </row>
    <row r="334" spans="1:29" ht="25.5" x14ac:dyDescent="0.2">
      <c r="A334" s="420">
        <v>1</v>
      </c>
      <c r="B334" s="323" t="s">
        <v>1828</v>
      </c>
      <c r="C334" s="206" t="s">
        <v>1829</v>
      </c>
      <c r="D334" s="332"/>
      <c r="E334" s="325">
        <f>SUM('ADICIONES  2021'!C334:N334)</f>
        <v>3803246</v>
      </c>
      <c r="F334" s="277"/>
      <c r="G334" s="277"/>
      <c r="H334" s="277"/>
      <c r="I334" s="277"/>
      <c r="J334" s="277"/>
      <c r="K334" s="281">
        <f t="shared" si="580"/>
        <v>3803246</v>
      </c>
      <c r="L334" s="277"/>
      <c r="M334" s="277"/>
      <c r="N334" s="277"/>
      <c r="O334" s="277"/>
      <c r="P334" s="277">
        <v>0</v>
      </c>
      <c r="Q334" s="277">
        <v>0</v>
      </c>
      <c r="R334" s="281">
        <f t="shared" si="586"/>
        <v>0</v>
      </c>
      <c r="S334" s="277">
        <v>0</v>
      </c>
      <c r="T334" s="277">
        <v>0</v>
      </c>
      <c r="U334" s="277">
        <v>0</v>
      </c>
      <c r="V334" s="277">
        <v>0</v>
      </c>
      <c r="W334" s="277">
        <v>3803246</v>
      </c>
      <c r="X334" s="277">
        <v>0</v>
      </c>
      <c r="Y334" s="277"/>
      <c r="Z334" s="277"/>
      <c r="AA334" s="281">
        <f t="shared" si="600"/>
        <v>3803246</v>
      </c>
      <c r="AB334" s="403">
        <f t="shared" si="587"/>
        <v>3803246</v>
      </c>
      <c r="AC334" s="326">
        <f t="shared" si="623"/>
        <v>1</v>
      </c>
    </row>
    <row r="335" spans="1:29" ht="14.25" x14ac:dyDescent="0.2">
      <c r="A335" s="420">
        <v>1</v>
      </c>
      <c r="B335" s="323" t="s">
        <v>1888</v>
      </c>
      <c r="C335" s="206" t="s">
        <v>1889</v>
      </c>
      <c r="D335" s="332"/>
      <c r="E335" s="325">
        <f>SUM('ADICIONES  2021'!C335:N335)</f>
        <v>48678228</v>
      </c>
      <c r="F335" s="277"/>
      <c r="G335" s="277"/>
      <c r="H335" s="277"/>
      <c r="I335" s="277"/>
      <c r="J335" s="277"/>
      <c r="K335" s="281">
        <f t="shared" si="580"/>
        <v>48678228</v>
      </c>
      <c r="L335" s="277"/>
      <c r="M335" s="277"/>
      <c r="N335" s="277"/>
      <c r="O335" s="277"/>
      <c r="P335" s="277"/>
      <c r="Q335" s="277"/>
      <c r="R335" s="281">
        <f t="shared" si="586"/>
        <v>0</v>
      </c>
      <c r="S335" s="277"/>
      <c r="T335" s="277"/>
      <c r="U335" s="277"/>
      <c r="V335" s="277"/>
      <c r="W335" s="277">
        <v>48678228</v>
      </c>
      <c r="X335" s="277">
        <v>0</v>
      </c>
      <c r="Y335" s="277"/>
      <c r="Z335" s="277"/>
      <c r="AA335" s="281">
        <f t="shared" si="600"/>
        <v>48678228</v>
      </c>
      <c r="AB335" s="403">
        <f t="shared" si="587"/>
        <v>48678228</v>
      </c>
      <c r="AC335" s="326">
        <f t="shared" si="623"/>
        <v>1</v>
      </c>
    </row>
    <row r="336" spans="1:29" ht="25.5" x14ac:dyDescent="0.2">
      <c r="A336" s="420">
        <v>1</v>
      </c>
      <c r="B336" s="323" t="s">
        <v>1890</v>
      </c>
      <c r="C336" s="206" t="s">
        <v>1891</v>
      </c>
      <c r="D336" s="332"/>
      <c r="E336" s="325">
        <f>SUM('ADICIONES  2021'!C336:N336)</f>
        <v>38436024</v>
      </c>
      <c r="F336" s="277"/>
      <c r="G336" s="277"/>
      <c r="H336" s="277"/>
      <c r="I336" s="277"/>
      <c r="J336" s="277"/>
      <c r="K336" s="281">
        <f t="shared" si="580"/>
        <v>38436024</v>
      </c>
      <c r="L336" s="277"/>
      <c r="M336" s="277"/>
      <c r="N336" s="277"/>
      <c r="O336" s="277"/>
      <c r="P336" s="277"/>
      <c r="Q336" s="277"/>
      <c r="R336" s="281">
        <f t="shared" si="586"/>
        <v>0</v>
      </c>
      <c r="S336" s="277"/>
      <c r="T336" s="277"/>
      <c r="U336" s="277"/>
      <c r="V336" s="277"/>
      <c r="W336" s="277">
        <v>38436024</v>
      </c>
      <c r="X336" s="277">
        <v>0</v>
      </c>
      <c r="Y336" s="277"/>
      <c r="Z336" s="277"/>
      <c r="AA336" s="281">
        <f t="shared" si="600"/>
        <v>38436024</v>
      </c>
      <c r="AB336" s="403">
        <f t="shared" si="587"/>
        <v>38436024</v>
      </c>
      <c r="AC336" s="326">
        <f t="shared" si="623"/>
        <v>1</v>
      </c>
    </row>
    <row r="337" spans="1:29" s="61" customFormat="1" ht="15.75" x14ac:dyDescent="0.2">
      <c r="A337" s="421">
        <v>1</v>
      </c>
      <c r="B337" s="318" t="s">
        <v>1221</v>
      </c>
      <c r="C337" s="319" t="s">
        <v>1222</v>
      </c>
      <c r="D337" s="279">
        <f t="shared" ref="D337:D338" si="624">+D338</f>
        <v>0</v>
      </c>
      <c r="E337" s="322">
        <f>SUM('ADICIONES  2021'!C337:N337)</f>
        <v>139605410925.26001</v>
      </c>
      <c r="F337" s="279">
        <f t="shared" ref="F337:J338" si="625">+F338</f>
        <v>0</v>
      </c>
      <c r="G337" s="279">
        <f t="shared" si="625"/>
        <v>0</v>
      </c>
      <c r="H337" s="279">
        <f t="shared" si="625"/>
        <v>0</v>
      </c>
      <c r="I337" s="279">
        <f t="shared" si="625"/>
        <v>0</v>
      </c>
      <c r="J337" s="279">
        <f t="shared" si="625"/>
        <v>0</v>
      </c>
      <c r="K337" s="276">
        <f t="shared" si="580"/>
        <v>139605410925.26001</v>
      </c>
      <c r="L337" s="279">
        <f t="shared" ref="L337:Q338" si="626">+L338</f>
        <v>0</v>
      </c>
      <c r="M337" s="279">
        <f t="shared" si="626"/>
        <v>0</v>
      </c>
      <c r="N337" s="279">
        <f t="shared" si="626"/>
        <v>0</v>
      </c>
      <c r="O337" s="279">
        <f t="shared" si="626"/>
        <v>0</v>
      </c>
      <c r="P337" s="279">
        <f t="shared" si="626"/>
        <v>0</v>
      </c>
      <c r="Q337" s="279">
        <f t="shared" si="626"/>
        <v>0</v>
      </c>
      <c r="R337" s="276">
        <f t="shared" si="586"/>
        <v>0</v>
      </c>
      <c r="S337" s="279">
        <f t="shared" ref="S337:Z338" si="627">+S338</f>
        <v>0</v>
      </c>
      <c r="T337" s="279">
        <f t="shared" si="627"/>
        <v>0</v>
      </c>
      <c r="U337" s="279">
        <f t="shared" si="627"/>
        <v>0</v>
      </c>
      <c r="V337" s="279">
        <f t="shared" si="627"/>
        <v>0</v>
      </c>
      <c r="W337" s="279">
        <f t="shared" si="627"/>
        <v>0</v>
      </c>
      <c r="X337" s="279">
        <f>+X338</f>
        <v>7593286009</v>
      </c>
      <c r="Y337" s="279">
        <f t="shared" si="627"/>
        <v>0</v>
      </c>
      <c r="Z337" s="279">
        <f t="shared" si="627"/>
        <v>0</v>
      </c>
      <c r="AA337" s="276">
        <f t="shared" si="600"/>
        <v>7593286009</v>
      </c>
      <c r="AB337" s="402">
        <f t="shared" si="587"/>
        <v>7593286009</v>
      </c>
      <c r="AC337" s="326">
        <f t="shared" si="623"/>
        <v>5.439105804477154E-2</v>
      </c>
    </row>
    <row r="338" spans="1:29" s="61" customFormat="1" ht="15.75" x14ac:dyDescent="0.2">
      <c r="A338" s="421"/>
      <c r="B338" s="318" t="s">
        <v>1223</v>
      </c>
      <c r="C338" s="319" t="s">
        <v>1224</v>
      </c>
      <c r="D338" s="279">
        <f t="shared" si="624"/>
        <v>0</v>
      </c>
      <c r="E338" s="322">
        <f>SUM('ADICIONES  2021'!C338:N338)</f>
        <v>139605410925.26001</v>
      </c>
      <c r="F338" s="279">
        <f t="shared" si="625"/>
        <v>0</v>
      </c>
      <c r="G338" s="279">
        <f t="shared" si="625"/>
        <v>0</v>
      </c>
      <c r="H338" s="279">
        <f t="shared" si="625"/>
        <v>0</v>
      </c>
      <c r="I338" s="279">
        <f t="shared" si="625"/>
        <v>0</v>
      </c>
      <c r="J338" s="279">
        <f t="shared" si="625"/>
        <v>0</v>
      </c>
      <c r="K338" s="276">
        <f t="shared" si="580"/>
        <v>139605410925.26001</v>
      </c>
      <c r="L338" s="279">
        <f t="shared" si="626"/>
        <v>0</v>
      </c>
      <c r="M338" s="279">
        <f t="shared" si="626"/>
        <v>0</v>
      </c>
      <c r="N338" s="279">
        <f t="shared" si="626"/>
        <v>0</v>
      </c>
      <c r="O338" s="279">
        <f t="shared" si="626"/>
        <v>0</v>
      </c>
      <c r="P338" s="279">
        <f t="shared" si="626"/>
        <v>0</v>
      </c>
      <c r="Q338" s="279">
        <f t="shared" si="626"/>
        <v>0</v>
      </c>
      <c r="R338" s="276">
        <f t="shared" si="586"/>
        <v>0</v>
      </c>
      <c r="S338" s="279">
        <f t="shared" si="627"/>
        <v>0</v>
      </c>
      <c r="T338" s="279">
        <f t="shared" si="627"/>
        <v>0</v>
      </c>
      <c r="U338" s="279">
        <f t="shared" si="627"/>
        <v>0</v>
      </c>
      <c r="V338" s="279">
        <f t="shared" si="627"/>
        <v>0</v>
      </c>
      <c r="W338" s="279">
        <f t="shared" si="627"/>
        <v>0</v>
      </c>
      <c r="X338" s="279">
        <f>+X339</f>
        <v>7593286009</v>
      </c>
      <c r="Y338" s="279">
        <f t="shared" si="627"/>
        <v>0</v>
      </c>
      <c r="Z338" s="279">
        <f t="shared" si="627"/>
        <v>0</v>
      </c>
      <c r="AA338" s="276">
        <f t="shared" si="600"/>
        <v>7593286009</v>
      </c>
      <c r="AB338" s="402">
        <f t="shared" si="587"/>
        <v>7593286009</v>
      </c>
      <c r="AC338" s="326">
        <f t="shared" si="623"/>
        <v>5.439105804477154E-2</v>
      </c>
    </row>
    <row r="339" spans="1:29" s="61" customFormat="1" ht="15.75" x14ac:dyDescent="0.2">
      <c r="A339" s="421"/>
      <c r="B339" s="318" t="s">
        <v>1225</v>
      </c>
      <c r="C339" s="319" t="s">
        <v>1226</v>
      </c>
      <c r="D339" s="279">
        <f>SUM(D340:D342)</f>
        <v>0</v>
      </c>
      <c r="E339" s="322">
        <f>SUM('ADICIONES  2021'!C339:N339)</f>
        <v>139605410925.26001</v>
      </c>
      <c r="F339" s="279">
        <f t="shared" ref="F339:J339" si="628">SUM(F340:F342)</f>
        <v>0</v>
      </c>
      <c r="G339" s="279">
        <f t="shared" si="628"/>
        <v>0</v>
      </c>
      <c r="H339" s="279">
        <f t="shared" si="628"/>
        <v>0</v>
      </c>
      <c r="I339" s="279">
        <f t="shared" si="628"/>
        <v>0</v>
      </c>
      <c r="J339" s="279">
        <f t="shared" si="628"/>
        <v>0</v>
      </c>
      <c r="K339" s="276">
        <f t="shared" si="580"/>
        <v>139605410925.26001</v>
      </c>
      <c r="L339" s="279">
        <f t="shared" ref="L339:Q339" si="629">SUM(L340:L342)</f>
        <v>0</v>
      </c>
      <c r="M339" s="279">
        <f t="shared" si="629"/>
        <v>0</v>
      </c>
      <c r="N339" s="279">
        <f t="shared" si="629"/>
        <v>0</v>
      </c>
      <c r="O339" s="279">
        <f t="shared" si="629"/>
        <v>0</v>
      </c>
      <c r="P339" s="279">
        <f t="shared" si="629"/>
        <v>0</v>
      </c>
      <c r="Q339" s="279">
        <f t="shared" si="629"/>
        <v>0</v>
      </c>
      <c r="R339" s="276">
        <f t="shared" si="586"/>
        <v>0</v>
      </c>
      <c r="S339" s="279">
        <f t="shared" ref="S339:Z339" si="630">SUM(S340:S342)</f>
        <v>0</v>
      </c>
      <c r="T339" s="279">
        <f t="shared" si="630"/>
        <v>0</v>
      </c>
      <c r="U339" s="279">
        <f t="shared" si="630"/>
        <v>0</v>
      </c>
      <c r="V339" s="279">
        <f t="shared" si="630"/>
        <v>0</v>
      </c>
      <c r="W339" s="279">
        <f t="shared" si="630"/>
        <v>0</v>
      </c>
      <c r="X339" s="279">
        <f t="shared" si="630"/>
        <v>7593286009</v>
      </c>
      <c r="Y339" s="279">
        <f t="shared" si="630"/>
        <v>0</v>
      </c>
      <c r="Z339" s="279">
        <f t="shared" si="630"/>
        <v>0</v>
      </c>
      <c r="AA339" s="276">
        <f>SUM(S339:Z339)</f>
        <v>7593286009</v>
      </c>
      <c r="AB339" s="402">
        <f t="shared" si="587"/>
        <v>7593286009</v>
      </c>
      <c r="AC339" s="326">
        <f t="shared" si="623"/>
        <v>5.439105804477154E-2</v>
      </c>
    </row>
    <row r="340" spans="1:29" ht="25.5" x14ac:dyDescent="0.2">
      <c r="B340" s="323" t="s">
        <v>1217</v>
      </c>
      <c r="C340" s="206" t="s">
        <v>1218</v>
      </c>
      <c r="D340" s="277"/>
      <c r="E340" s="325">
        <f>SUM('ADICIONES  2021'!C340:N340)</f>
        <v>79982811133.960007</v>
      </c>
      <c r="F340" s="277"/>
      <c r="G340" s="277"/>
      <c r="H340" s="277"/>
      <c r="I340" s="277"/>
      <c r="J340" s="277"/>
      <c r="K340" s="281">
        <f t="shared" si="580"/>
        <v>79982811133.960007</v>
      </c>
      <c r="L340" s="277"/>
      <c r="M340" s="277"/>
      <c r="N340" s="277"/>
      <c r="O340" s="277"/>
      <c r="P340" s="277"/>
      <c r="Q340" s="277"/>
      <c r="R340" s="281">
        <f t="shared" si="586"/>
        <v>0</v>
      </c>
      <c r="S340" s="277"/>
      <c r="T340" s="277"/>
      <c r="U340" s="277"/>
      <c r="V340" s="277"/>
      <c r="W340" s="277"/>
      <c r="X340" s="277">
        <v>0</v>
      </c>
      <c r="Y340" s="277"/>
      <c r="Z340" s="277"/>
      <c r="AA340" s="281">
        <f t="shared" si="600"/>
        <v>0</v>
      </c>
      <c r="AB340" s="403">
        <f t="shared" si="587"/>
        <v>0</v>
      </c>
      <c r="AC340" s="326">
        <f t="shared" si="623"/>
        <v>0</v>
      </c>
    </row>
    <row r="341" spans="1:29" ht="25.5" x14ac:dyDescent="0.2">
      <c r="B341" s="323" t="s">
        <v>1219</v>
      </c>
      <c r="C341" s="206" t="s">
        <v>1220</v>
      </c>
      <c r="D341" s="277"/>
      <c r="E341" s="325">
        <f>SUM('ADICIONES  2021'!C341:N341)</f>
        <v>10647623088.299999</v>
      </c>
      <c r="F341" s="277"/>
      <c r="G341" s="277"/>
      <c r="H341" s="277"/>
      <c r="I341" s="277"/>
      <c r="J341" s="277"/>
      <c r="K341" s="281">
        <f t="shared" si="580"/>
        <v>10647623088.299999</v>
      </c>
      <c r="L341" s="277"/>
      <c r="M341" s="277"/>
      <c r="N341" s="277"/>
      <c r="O341" s="277"/>
      <c r="P341" s="277"/>
      <c r="Q341" s="277"/>
      <c r="R341" s="281">
        <f t="shared" si="586"/>
        <v>0</v>
      </c>
      <c r="S341" s="277"/>
      <c r="T341" s="277"/>
      <c r="U341" s="277"/>
      <c r="V341" s="277"/>
      <c r="W341" s="277"/>
      <c r="X341" s="277">
        <v>0</v>
      </c>
      <c r="Y341" s="277"/>
      <c r="Z341" s="277"/>
      <c r="AA341" s="281">
        <f t="shared" si="600"/>
        <v>0</v>
      </c>
      <c r="AB341" s="403">
        <f t="shared" si="587"/>
        <v>0</v>
      </c>
      <c r="AC341" s="326">
        <f t="shared" si="623"/>
        <v>0</v>
      </c>
    </row>
    <row r="342" spans="1:29" ht="25.5" x14ac:dyDescent="0.2">
      <c r="B342" s="323" t="s">
        <v>1821</v>
      </c>
      <c r="C342" s="206" t="s">
        <v>1822</v>
      </c>
      <c r="D342" s="277"/>
      <c r="E342" s="325">
        <f>SUM('ADICIONES  2021'!C342:N342)</f>
        <v>48974976703</v>
      </c>
      <c r="F342" s="277"/>
      <c r="G342" s="277"/>
      <c r="H342" s="277"/>
      <c r="I342" s="277"/>
      <c r="J342" s="277"/>
      <c r="K342" s="281">
        <f t="shared" si="580"/>
        <v>48974976703</v>
      </c>
      <c r="L342" s="277"/>
      <c r="M342" s="277"/>
      <c r="N342" s="277"/>
      <c r="O342" s="277"/>
      <c r="P342" s="277"/>
      <c r="Q342" s="277"/>
      <c r="R342" s="281">
        <f t="shared" si="586"/>
        <v>0</v>
      </c>
      <c r="S342" s="277"/>
      <c r="T342" s="277"/>
      <c r="U342" s="277"/>
      <c r="V342" s="277"/>
      <c r="W342" s="277"/>
      <c r="X342" s="277">
        <v>7593286009</v>
      </c>
      <c r="Y342" s="277"/>
      <c r="Z342" s="277"/>
      <c r="AA342" s="281">
        <f t="shared" si="600"/>
        <v>7593286009</v>
      </c>
      <c r="AB342" s="403">
        <f t="shared" si="587"/>
        <v>7593286009</v>
      </c>
      <c r="AC342" s="326">
        <f t="shared" si="623"/>
        <v>0.15504419849034592</v>
      </c>
    </row>
    <row r="343" spans="1:29" s="61" customFormat="1" ht="15.75" hidden="1" x14ac:dyDescent="0.2">
      <c r="A343" s="421">
        <v>1</v>
      </c>
      <c r="B343" s="318" t="s">
        <v>812</v>
      </c>
      <c r="C343" s="319" t="s">
        <v>813</v>
      </c>
      <c r="D343" s="275">
        <f t="shared" ref="D343:D345" si="631">+D344</f>
        <v>0</v>
      </c>
      <c r="E343" s="322">
        <f>SUM('ADICIONES  2021'!C343:N343)</f>
        <v>0</v>
      </c>
      <c r="F343" s="275">
        <f t="shared" ref="F343:J345" si="632">+F344</f>
        <v>0</v>
      </c>
      <c r="G343" s="275">
        <f t="shared" si="632"/>
        <v>0</v>
      </c>
      <c r="H343" s="275">
        <f t="shared" si="632"/>
        <v>0</v>
      </c>
      <c r="I343" s="275">
        <f t="shared" si="632"/>
        <v>0</v>
      </c>
      <c r="J343" s="275">
        <f t="shared" si="632"/>
        <v>0</v>
      </c>
      <c r="K343" s="276">
        <f t="shared" si="580"/>
        <v>0</v>
      </c>
      <c r="L343" s="275">
        <f t="shared" ref="L343:Q345" si="633">+L344</f>
        <v>0</v>
      </c>
      <c r="M343" s="275">
        <f t="shared" si="633"/>
        <v>0</v>
      </c>
      <c r="N343" s="275">
        <f t="shared" si="633"/>
        <v>0</v>
      </c>
      <c r="O343" s="275">
        <f t="shared" si="633"/>
        <v>0</v>
      </c>
      <c r="P343" s="275">
        <f t="shared" si="633"/>
        <v>0</v>
      </c>
      <c r="Q343" s="275">
        <f t="shared" si="633"/>
        <v>0</v>
      </c>
      <c r="R343" s="276">
        <f t="shared" si="586"/>
        <v>0</v>
      </c>
      <c r="S343" s="275">
        <f t="shared" ref="S343:Z345" si="634">+S344</f>
        <v>0</v>
      </c>
      <c r="T343" s="275">
        <f t="shared" si="634"/>
        <v>0</v>
      </c>
      <c r="U343" s="275">
        <f t="shared" si="634"/>
        <v>0</v>
      </c>
      <c r="V343" s="275">
        <f t="shared" si="634"/>
        <v>0</v>
      </c>
      <c r="W343" s="275">
        <f t="shared" si="634"/>
        <v>0</v>
      </c>
      <c r="X343" s="275">
        <f t="shared" si="634"/>
        <v>0</v>
      </c>
      <c r="Y343" s="275">
        <f t="shared" si="634"/>
        <v>0</v>
      </c>
      <c r="Z343" s="275">
        <f t="shared" si="634"/>
        <v>0</v>
      </c>
      <c r="AA343" s="276">
        <f t="shared" si="600"/>
        <v>0</v>
      </c>
      <c r="AB343" s="402">
        <f t="shared" si="587"/>
        <v>0</v>
      </c>
      <c r="AC343" s="321" t="e">
        <f t="shared" si="623"/>
        <v>#DIV/0!</v>
      </c>
    </row>
    <row r="344" spans="1:29" s="61" customFormat="1" ht="15.75" hidden="1" x14ac:dyDescent="0.2">
      <c r="A344" s="421"/>
      <c r="B344" s="318" t="s">
        <v>814</v>
      </c>
      <c r="C344" s="319" t="s">
        <v>815</v>
      </c>
      <c r="D344" s="275">
        <f t="shared" si="631"/>
        <v>0</v>
      </c>
      <c r="E344" s="322">
        <f>SUM('ADICIONES  2021'!C344:N344)</f>
        <v>0</v>
      </c>
      <c r="F344" s="275">
        <f t="shared" si="632"/>
        <v>0</v>
      </c>
      <c r="G344" s="275">
        <f t="shared" si="632"/>
        <v>0</v>
      </c>
      <c r="H344" s="275">
        <f t="shared" si="632"/>
        <v>0</v>
      </c>
      <c r="I344" s="275">
        <f t="shared" si="632"/>
        <v>0</v>
      </c>
      <c r="J344" s="275">
        <f t="shared" si="632"/>
        <v>0</v>
      </c>
      <c r="K344" s="276">
        <f t="shared" si="580"/>
        <v>0</v>
      </c>
      <c r="L344" s="275">
        <f t="shared" si="633"/>
        <v>0</v>
      </c>
      <c r="M344" s="275">
        <f t="shared" si="633"/>
        <v>0</v>
      </c>
      <c r="N344" s="275">
        <f t="shared" si="633"/>
        <v>0</v>
      </c>
      <c r="O344" s="275">
        <f t="shared" si="633"/>
        <v>0</v>
      </c>
      <c r="P344" s="275">
        <f t="shared" si="633"/>
        <v>0</v>
      </c>
      <c r="Q344" s="275">
        <f t="shared" si="633"/>
        <v>0</v>
      </c>
      <c r="R344" s="276">
        <f t="shared" si="586"/>
        <v>0</v>
      </c>
      <c r="S344" s="275">
        <f t="shared" si="634"/>
        <v>0</v>
      </c>
      <c r="T344" s="275">
        <f t="shared" si="634"/>
        <v>0</v>
      </c>
      <c r="U344" s="275">
        <f t="shared" si="634"/>
        <v>0</v>
      </c>
      <c r="V344" s="275">
        <f t="shared" si="634"/>
        <v>0</v>
      </c>
      <c r="W344" s="275">
        <f t="shared" si="634"/>
        <v>0</v>
      </c>
      <c r="X344" s="275">
        <f t="shared" si="634"/>
        <v>0</v>
      </c>
      <c r="Y344" s="275">
        <f t="shared" si="634"/>
        <v>0</v>
      </c>
      <c r="Z344" s="275">
        <f t="shared" si="634"/>
        <v>0</v>
      </c>
      <c r="AA344" s="276">
        <f t="shared" si="600"/>
        <v>0</v>
      </c>
      <c r="AB344" s="402">
        <f t="shared" si="587"/>
        <v>0</v>
      </c>
      <c r="AC344" s="321" t="e">
        <f t="shared" si="623"/>
        <v>#DIV/0!</v>
      </c>
    </row>
    <row r="345" spans="1:29" s="61" customFormat="1" ht="15.75" hidden="1" x14ac:dyDescent="0.2">
      <c r="A345" s="421"/>
      <c r="B345" s="318" t="s">
        <v>816</v>
      </c>
      <c r="C345" s="319" t="s">
        <v>817</v>
      </c>
      <c r="D345" s="275">
        <f t="shared" si="631"/>
        <v>0</v>
      </c>
      <c r="E345" s="322">
        <f>SUM('ADICIONES  2021'!C345:N345)</f>
        <v>0</v>
      </c>
      <c r="F345" s="275">
        <f t="shared" si="632"/>
        <v>0</v>
      </c>
      <c r="G345" s="275">
        <f t="shared" si="632"/>
        <v>0</v>
      </c>
      <c r="H345" s="275">
        <f t="shared" si="632"/>
        <v>0</v>
      </c>
      <c r="I345" s="275">
        <f t="shared" si="632"/>
        <v>0</v>
      </c>
      <c r="J345" s="275">
        <f t="shared" si="632"/>
        <v>0</v>
      </c>
      <c r="K345" s="276">
        <f t="shared" si="580"/>
        <v>0</v>
      </c>
      <c r="L345" s="275">
        <f t="shared" si="633"/>
        <v>0</v>
      </c>
      <c r="M345" s="275">
        <f t="shared" si="633"/>
        <v>0</v>
      </c>
      <c r="N345" s="275">
        <f t="shared" si="633"/>
        <v>0</v>
      </c>
      <c r="O345" s="275">
        <f t="shared" si="633"/>
        <v>0</v>
      </c>
      <c r="P345" s="275">
        <f t="shared" si="633"/>
        <v>0</v>
      </c>
      <c r="Q345" s="275">
        <f t="shared" si="633"/>
        <v>0</v>
      </c>
      <c r="R345" s="276">
        <f t="shared" si="586"/>
        <v>0</v>
      </c>
      <c r="S345" s="275">
        <f t="shared" si="634"/>
        <v>0</v>
      </c>
      <c r="T345" s="275">
        <f t="shared" si="634"/>
        <v>0</v>
      </c>
      <c r="U345" s="275">
        <f t="shared" si="634"/>
        <v>0</v>
      </c>
      <c r="V345" s="275">
        <f t="shared" si="634"/>
        <v>0</v>
      </c>
      <c r="W345" s="275">
        <f t="shared" si="634"/>
        <v>0</v>
      </c>
      <c r="X345" s="275">
        <f t="shared" si="634"/>
        <v>0</v>
      </c>
      <c r="Y345" s="275">
        <f t="shared" si="634"/>
        <v>0</v>
      </c>
      <c r="Z345" s="275">
        <f t="shared" si="634"/>
        <v>0</v>
      </c>
      <c r="AA345" s="276">
        <f t="shared" si="600"/>
        <v>0</v>
      </c>
      <c r="AB345" s="402">
        <f t="shared" si="587"/>
        <v>0</v>
      </c>
      <c r="AC345" s="321" t="e">
        <f t="shared" si="623"/>
        <v>#DIV/0!</v>
      </c>
    </row>
    <row r="346" spans="1:29" s="61" customFormat="1" ht="15.75" hidden="1" x14ac:dyDescent="0.2">
      <c r="A346" s="421"/>
      <c r="B346" s="318" t="s">
        <v>818</v>
      </c>
      <c r="C346" s="319" t="s">
        <v>819</v>
      </c>
      <c r="D346" s="275">
        <f t="shared" ref="D346" si="635">SUM(D347:D347)</f>
        <v>0</v>
      </c>
      <c r="E346" s="322">
        <f>SUM('ADICIONES  2021'!C346:N346)</f>
        <v>0</v>
      </c>
      <c r="F346" s="275">
        <f t="shared" ref="F346:J346" si="636">SUM(F347:F347)</f>
        <v>0</v>
      </c>
      <c r="G346" s="275">
        <f t="shared" si="636"/>
        <v>0</v>
      </c>
      <c r="H346" s="275">
        <f t="shared" si="636"/>
        <v>0</v>
      </c>
      <c r="I346" s="275">
        <f t="shared" si="636"/>
        <v>0</v>
      </c>
      <c r="J346" s="275">
        <f t="shared" si="636"/>
        <v>0</v>
      </c>
      <c r="K346" s="276">
        <f t="shared" si="580"/>
        <v>0</v>
      </c>
      <c r="L346" s="275">
        <f t="shared" ref="L346:Q346" si="637">SUM(L347:L347)</f>
        <v>0</v>
      </c>
      <c r="M346" s="275">
        <f t="shared" si="637"/>
        <v>0</v>
      </c>
      <c r="N346" s="275">
        <f t="shared" si="637"/>
        <v>0</v>
      </c>
      <c r="O346" s="275">
        <f t="shared" si="637"/>
        <v>0</v>
      </c>
      <c r="P346" s="275">
        <f t="shared" si="637"/>
        <v>0</v>
      </c>
      <c r="Q346" s="275">
        <f t="shared" si="637"/>
        <v>0</v>
      </c>
      <c r="R346" s="276">
        <f t="shared" si="586"/>
        <v>0</v>
      </c>
      <c r="S346" s="275">
        <f t="shared" ref="S346:Z346" si="638">SUM(S347:S347)</f>
        <v>0</v>
      </c>
      <c r="T346" s="275">
        <f t="shared" si="638"/>
        <v>0</v>
      </c>
      <c r="U346" s="275">
        <f t="shared" si="638"/>
        <v>0</v>
      </c>
      <c r="V346" s="275">
        <f t="shared" si="638"/>
        <v>0</v>
      </c>
      <c r="W346" s="275">
        <f t="shared" si="638"/>
        <v>0</v>
      </c>
      <c r="X346" s="275">
        <f t="shared" si="638"/>
        <v>0</v>
      </c>
      <c r="Y346" s="275">
        <f t="shared" si="638"/>
        <v>0</v>
      </c>
      <c r="Z346" s="275">
        <f t="shared" si="638"/>
        <v>0</v>
      </c>
      <c r="AA346" s="276">
        <f t="shared" si="600"/>
        <v>0</v>
      </c>
      <c r="AB346" s="402">
        <f t="shared" si="587"/>
        <v>0</v>
      </c>
      <c r="AC346" s="321" t="e">
        <f t="shared" si="623"/>
        <v>#DIV/0!</v>
      </c>
    </row>
    <row r="347" spans="1:29" ht="14.25" hidden="1" x14ac:dyDescent="0.2">
      <c r="A347" s="420">
        <v>1</v>
      </c>
      <c r="B347" s="323" t="s">
        <v>820</v>
      </c>
      <c r="C347" s="206" t="s">
        <v>235</v>
      </c>
      <c r="D347" s="277"/>
      <c r="E347" s="325">
        <f>SUM('ADICIONES  2021'!C347:N347)</f>
        <v>0</v>
      </c>
      <c r="F347" s="277"/>
      <c r="G347" s="277"/>
      <c r="H347" s="277"/>
      <c r="I347" s="277"/>
      <c r="J347" s="277"/>
      <c r="K347" s="281">
        <f t="shared" si="580"/>
        <v>0</v>
      </c>
      <c r="L347" s="277"/>
      <c r="M347" s="277"/>
      <c r="N347" s="277"/>
      <c r="O347" s="277"/>
      <c r="P347" s="277"/>
      <c r="Q347" s="277"/>
      <c r="R347" s="281">
        <f t="shared" si="586"/>
        <v>0</v>
      </c>
      <c r="S347" s="277"/>
      <c r="T347" s="277"/>
      <c r="U347" s="277"/>
      <c r="V347" s="277"/>
      <c r="W347" s="277"/>
      <c r="X347" s="277">
        <v>0</v>
      </c>
      <c r="Y347" s="277"/>
      <c r="Z347" s="277"/>
      <c r="AA347" s="281">
        <f t="shared" si="600"/>
        <v>0</v>
      </c>
      <c r="AB347" s="403">
        <f t="shared" si="587"/>
        <v>0</v>
      </c>
      <c r="AC347" s="321" t="e">
        <f t="shared" si="623"/>
        <v>#DIV/0!</v>
      </c>
    </row>
    <row r="348" spans="1:29" s="61" customFormat="1" ht="15.75" x14ac:dyDescent="0.2">
      <c r="A348" s="421">
        <v>1</v>
      </c>
      <c r="B348" s="318" t="s">
        <v>821</v>
      </c>
      <c r="C348" s="319" t="s">
        <v>108</v>
      </c>
      <c r="D348" s="285">
        <f t="shared" ref="D348" si="639">+D349</f>
        <v>0</v>
      </c>
      <c r="E348" s="322">
        <f>SUM('ADICIONES  2021'!C348:N348)</f>
        <v>173932935340.40997</v>
      </c>
      <c r="F348" s="285">
        <f t="shared" ref="F348:J348" si="640">+F349</f>
        <v>0</v>
      </c>
      <c r="G348" s="285">
        <f t="shared" si="640"/>
        <v>0</v>
      </c>
      <c r="H348" s="285">
        <f t="shared" si="640"/>
        <v>3129206267</v>
      </c>
      <c r="I348" s="285">
        <f t="shared" si="640"/>
        <v>0</v>
      </c>
      <c r="J348" s="285">
        <f t="shared" si="640"/>
        <v>0</v>
      </c>
      <c r="K348" s="276">
        <f t="shared" si="580"/>
        <v>170803729073.40997</v>
      </c>
      <c r="L348" s="285">
        <f t="shared" ref="L348:Q348" si="641">+L349</f>
        <v>0</v>
      </c>
      <c r="M348" s="285">
        <f t="shared" si="641"/>
        <v>0</v>
      </c>
      <c r="N348" s="285">
        <f t="shared" si="641"/>
        <v>0</v>
      </c>
      <c r="O348" s="285">
        <f t="shared" si="641"/>
        <v>0</v>
      </c>
      <c r="P348" s="285">
        <f t="shared" si="641"/>
        <v>143910095102.78998</v>
      </c>
      <c r="Q348" s="285">
        <f t="shared" si="641"/>
        <v>0.01</v>
      </c>
      <c r="R348" s="276">
        <f t="shared" si="586"/>
        <v>143910095102.79999</v>
      </c>
      <c r="S348" s="285">
        <f t="shared" ref="S348:Z348" si="642">+S349</f>
        <v>0</v>
      </c>
      <c r="T348" s="285">
        <f t="shared" si="642"/>
        <v>6768385132</v>
      </c>
      <c r="U348" s="285">
        <f t="shared" si="642"/>
        <v>60752</v>
      </c>
      <c r="V348" s="285">
        <f t="shared" si="642"/>
        <v>0</v>
      </c>
      <c r="W348" s="285">
        <f t="shared" si="642"/>
        <v>287789030.54999995</v>
      </c>
      <c r="X348" s="285">
        <f t="shared" si="642"/>
        <v>6194296095.3400002</v>
      </c>
      <c r="Y348" s="285">
        <f t="shared" si="642"/>
        <v>0</v>
      </c>
      <c r="Z348" s="285">
        <f t="shared" si="642"/>
        <v>0</v>
      </c>
      <c r="AA348" s="276">
        <f t="shared" si="600"/>
        <v>13250531009.889999</v>
      </c>
      <c r="AB348" s="402">
        <f t="shared" si="587"/>
        <v>157160626112.69</v>
      </c>
      <c r="AC348" s="321">
        <f t="shared" si="623"/>
        <v>0.92012409193445488</v>
      </c>
    </row>
    <row r="349" spans="1:29" s="61" customFormat="1" ht="15.75" x14ac:dyDescent="0.2">
      <c r="A349" s="421"/>
      <c r="B349" s="318" t="s">
        <v>822</v>
      </c>
      <c r="C349" s="319" t="s">
        <v>823</v>
      </c>
      <c r="D349" s="285">
        <f>+D350+D354+D415+D419+D423+D432+D473+D480+D513+D515+D517+D519+D521+D524+D526+D528+D530+D532+D534+D536+D538+D540+D542+D544+D546+D549+D551+D553+D555+D557+D559+D561+D563+D565+D567+D569+D571+D573+D575+D577+D586+D589+D592+D595+D596+D598+D600+D602+D604</f>
        <v>0</v>
      </c>
      <c r="E349" s="322">
        <f>SUM('ADICIONES  2021'!C349:N349)</f>
        <v>173932935340.40997</v>
      </c>
      <c r="F349" s="285">
        <f t="shared" ref="F349:J349" si="643">+F350+F354+F415+F419+F423+F432+F473+F480+F513+F515+F517+F519+F521+F524+F526+F528+F530+F532+F534+F536+F538+F540+F542+F544+F546+F549+F551+F553+F555+F557+F559+F561+F563+F565+F567+F569+F571+F573+F575+F577+F586+F589+F592+F595+F596+F598+F600+F602+F604</f>
        <v>0</v>
      </c>
      <c r="G349" s="285">
        <f t="shared" si="643"/>
        <v>0</v>
      </c>
      <c r="H349" s="285">
        <f t="shared" si="643"/>
        <v>3129206267</v>
      </c>
      <c r="I349" s="285">
        <f t="shared" si="643"/>
        <v>0</v>
      </c>
      <c r="J349" s="285">
        <f t="shared" si="643"/>
        <v>0</v>
      </c>
      <c r="K349" s="276">
        <f t="shared" si="580"/>
        <v>170803729073.40997</v>
      </c>
      <c r="L349" s="285">
        <f t="shared" ref="L349:Q349" si="644">+L350+L354+L415+L419+L423+L432+L473+L480+L513+L515+L517+L519+L521+L524+L526+L528+L530+L532+L534+L536+L538+L540+L542+L544+L546+L549+L551+L553+L555+L557+L559+L561+L563+L565+L567+L569+L571+L573+L575+L577+L586+L589+L592+L595+L596+L598+L600+L602+L604</f>
        <v>0</v>
      </c>
      <c r="M349" s="285">
        <f t="shared" si="644"/>
        <v>0</v>
      </c>
      <c r="N349" s="285">
        <f t="shared" si="644"/>
        <v>0</v>
      </c>
      <c r="O349" s="285">
        <f t="shared" si="644"/>
        <v>0</v>
      </c>
      <c r="P349" s="285">
        <f t="shared" si="644"/>
        <v>143910095102.78998</v>
      </c>
      <c r="Q349" s="285">
        <f t="shared" si="644"/>
        <v>0.01</v>
      </c>
      <c r="R349" s="276">
        <f t="shared" si="586"/>
        <v>143910095102.79999</v>
      </c>
      <c r="S349" s="285">
        <f t="shared" ref="S349:Z349" si="645">+S350+S354+S415+S419+S423+S432+S473+S480+S513+S515+S517+S519+S521+S524+S526+S528+S530+S532+S534+S536+S538+S540+S542+S544+S546+S549+S551+S553+S555+S557+S559+S561+S563+S565+S567+S569+S571+S573+S575+S577+S586+S589+S592+S595+S596+S598+S600+S602+S604</f>
        <v>0</v>
      </c>
      <c r="T349" s="285">
        <f t="shared" si="645"/>
        <v>6768385132</v>
      </c>
      <c r="U349" s="285">
        <f t="shared" si="645"/>
        <v>60752</v>
      </c>
      <c r="V349" s="285">
        <f t="shared" si="645"/>
        <v>0</v>
      </c>
      <c r="W349" s="285">
        <f t="shared" si="645"/>
        <v>287789030.54999995</v>
      </c>
      <c r="X349" s="285">
        <f t="shared" si="645"/>
        <v>6194296095.3400002</v>
      </c>
      <c r="Y349" s="285">
        <f t="shared" si="645"/>
        <v>0</v>
      </c>
      <c r="Z349" s="285">
        <f t="shared" si="645"/>
        <v>0</v>
      </c>
      <c r="AA349" s="276">
        <f t="shared" si="600"/>
        <v>13250531009.889999</v>
      </c>
      <c r="AB349" s="402">
        <f t="shared" si="587"/>
        <v>157160626112.69</v>
      </c>
      <c r="AC349" s="321">
        <f t="shared" si="623"/>
        <v>0.92012409193445488</v>
      </c>
    </row>
    <row r="350" spans="1:29" s="61" customFormat="1" ht="25.5" x14ac:dyDescent="0.2">
      <c r="A350" s="421"/>
      <c r="B350" s="318" t="s">
        <v>824</v>
      </c>
      <c r="C350" s="319" t="s">
        <v>825</v>
      </c>
      <c r="D350" s="285">
        <f t="shared" ref="D350" si="646">SUM(D351:D353)</f>
        <v>0</v>
      </c>
      <c r="E350" s="322">
        <f>SUM('ADICIONES  2021'!C350:N350)</f>
        <v>5727988989</v>
      </c>
      <c r="F350" s="285">
        <f t="shared" ref="F350:J350" si="647">SUM(F351:F353)</f>
        <v>0</v>
      </c>
      <c r="G350" s="285">
        <f t="shared" si="647"/>
        <v>0</v>
      </c>
      <c r="H350" s="285">
        <f t="shared" si="647"/>
        <v>0</v>
      </c>
      <c r="I350" s="285">
        <f t="shared" si="647"/>
        <v>0</v>
      </c>
      <c r="J350" s="285">
        <f t="shared" si="647"/>
        <v>0</v>
      </c>
      <c r="K350" s="276">
        <f t="shared" si="580"/>
        <v>5727988989</v>
      </c>
      <c r="L350" s="285">
        <f t="shared" ref="L350:Q350" si="648">SUM(L351:L353)</f>
        <v>0</v>
      </c>
      <c r="M350" s="285">
        <f t="shared" si="648"/>
        <v>0</v>
      </c>
      <c r="N350" s="285">
        <f t="shared" si="648"/>
        <v>0</v>
      </c>
      <c r="O350" s="285">
        <f t="shared" si="648"/>
        <v>0</v>
      </c>
      <c r="P350" s="285">
        <f t="shared" si="648"/>
        <v>0</v>
      </c>
      <c r="Q350" s="285">
        <f t="shared" si="648"/>
        <v>0</v>
      </c>
      <c r="R350" s="276">
        <f t="shared" si="586"/>
        <v>0</v>
      </c>
      <c r="S350" s="285">
        <f t="shared" ref="S350:Z350" si="649">SUM(S351:S353)</f>
        <v>0</v>
      </c>
      <c r="T350" s="285">
        <f t="shared" si="649"/>
        <v>0</v>
      </c>
      <c r="U350" s="285">
        <f t="shared" si="649"/>
        <v>0</v>
      </c>
      <c r="V350" s="285">
        <f t="shared" si="649"/>
        <v>0</v>
      </c>
      <c r="W350" s="285">
        <f t="shared" si="649"/>
        <v>0</v>
      </c>
      <c r="X350" s="285">
        <f t="shared" si="649"/>
        <v>5727988989</v>
      </c>
      <c r="Y350" s="285">
        <f t="shared" si="649"/>
        <v>0</v>
      </c>
      <c r="Z350" s="285">
        <f t="shared" si="649"/>
        <v>0</v>
      </c>
      <c r="AA350" s="276">
        <f t="shared" si="600"/>
        <v>5727988989</v>
      </c>
      <c r="AB350" s="402">
        <f t="shared" si="587"/>
        <v>5727988989</v>
      </c>
      <c r="AC350" s="321">
        <f t="shared" si="623"/>
        <v>1</v>
      </c>
    </row>
    <row r="351" spans="1:29" ht="25.5" x14ac:dyDescent="0.2">
      <c r="B351" s="323" t="s">
        <v>826</v>
      </c>
      <c r="C351" s="206" t="s">
        <v>827</v>
      </c>
      <c r="D351" s="277"/>
      <c r="E351" s="325">
        <f>SUM('ADICIONES  2021'!C351:N351)</f>
        <v>574700</v>
      </c>
      <c r="F351" s="277"/>
      <c r="G351" s="277"/>
      <c r="H351" s="277"/>
      <c r="I351" s="277"/>
      <c r="J351" s="277"/>
      <c r="K351" s="281">
        <f t="shared" si="580"/>
        <v>574700</v>
      </c>
      <c r="L351" s="277"/>
      <c r="M351" s="277"/>
      <c r="N351" s="277"/>
      <c r="O351" s="277"/>
      <c r="P351" s="277"/>
      <c r="Q351" s="277"/>
      <c r="R351" s="281">
        <f t="shared" si="586"/>
        <v>0</v>
      </c>
      <c r="S351" s="277"/>
      <c r="T351" s="277"/>
      <c r="U351" s="277"/>
      <c r="V351" s="277"/>
      <c r="W351" s="277"/>
      <c r="X351" s="277">
        <v>574700</v>
      </c>
      <c r="Y351" s="277"/>
      <c r="Z351" s="277"/>
      <c r="AA351" s="281">
        <f t="shared" si="600"/>
        <v>574700</v>
      </c>
      <c r="AB351" s="403">
        <f t="shared" si="587"/>
        <v>574700</v>
      </c>
      <c r="AC351" s="326">
        <f t="shared" si="623"/>
        <v>1</v>
      </c>
    </row>
    <row r="352" spans="1:29" ht="38.25" x14ac:dyDescent="0.2">
      <c r="B352" s="323" t="s">
        <v>828</v>
      </c>
      <c r="C352" s="206" t="s">
        <v>829</v>
      </c>
      <c r="D352" s="277"/>
      <c r="E352" s="325">
        <f>SUM('ADICIONES  2021'!C352:N352)</f>
        <v>5709414289</v>
      </c>
      <c r="F352" s="277"/>
      <c r="G352" s="277"/>
      <c r="H352" s="277"/>
      <c r="I352" s="277"/>
      <c r="J352" s="277"/>
      <c r="K352" s="281">
        <f t="shared" ref="K352:K606" si="650">+D352+E352-F352+G352-H352</f>
        <v>5709414289</v>
      </c>
      <c r="L352" s="277"/>
      <c r="M352" s="277"/>
      <c r="N352" s="277"/>
      <c r="O352" s="277"/>
      <c r="P352" s="277"/>
      <c r="Q352" s="277"/>
      <c r="R352" s="281">
        <f t="shared" si="586"/>
        <v>0</v>
      </c>
      <c r="S352" s="277"/>
      <c r="T352" s="277"/>
      <c r="U352" s="277"/>
      <c r="V352" s="277"/>
      <c r="W352" s="277"/>
      <c r="X352" s="277">
        <v>5709414289</v>
      </c>
      <c r="Y352" s="277"/>
      <c r="Z352" s="277"/>
      <c r="AA352" s="281">
        <f t="shared" si="600"/>
        <v>5709414289</v>
      </c>
      <c r="AB352" s="403">
        <f t="shared" si="587"/>
        <v>5709414289</v>
      </c>
      <c r="AC352" s="326">
        <f t="shared" si="623"/>
        <v>1</v>
      </c>
    </row>
    <row r="353" spans="1:29" ht="25.5" x14ac:dyDescent="0.2">
      <c r="B353" s="323" t="s">
        <v>830</v>
      </c>
      <c r="C353" s="206" t="s">
        <v>831</v>
      </c>
      <c r="D353" s="277"/>
      <c r="E353" s="325">
        <f>SUM('ADICIONES  2021'!C353:N353)</f>
        <v>18000000</v>
      </c>
      <c r="F353" s="277"/>
      <c r="G353" s="277"/>
      <c r="H353" s="277"/>
      <c r="I353" s="277"/>
      <c r="J353" s="277"/>
      <c r="K353" s="281">
        <f t="shared" si="650"/>
        <v>18000000</v>
      </c>
      <c r="L353" s="277"/>
      <c r="M353" s="277"/>
      <c r="N353" s="277"/>
      <c r="O353" s="277"/>
      <c r="P353" s="277"/>
      <c r="Q353" s="277"/>
      <c r="R353" s="281">
        <f t="shared" si="586"/>
        <v>0</v>
      </c>
      <c r="S353" s="277"/>
      <c r="T353" s="277"/>
      <c r="U353" s="277"/>
      <c r="V353" s="277"/>
      <c r="W353" s="277"/>
      <c r="X353" s="277">
        <v>18000000</v>
      </c>
      <c r="Y353" s="277"/>
      <c r="Z353" s="277"/>
      <c r="AA353" s="281">
        <f t="shared" si="600"/>
        <v>18000000</v>
      </c>
      <c r="AB353" s="403">
        <f t="shared" si="587"/>
        <v>18000000</v>
      </c>
      <c r="AC353" s="326">
        <f t="shared" si="623"/>
        <v>1</v>
      </c>
    </row>
    <row r="354" spans="1:29" s="61" customFormat="1" ht="15.75" x14ac:dyDescent="0.2">
      <c r="A354" s="421"/>
      <c r="B354" s="318" t="s">
        <v>832</v>
      </c>
      <c r="C354" s="319" t="s">
        <v>833</v>
      </c>
      <c r="D354" s="285">
        <f>+D355+D357+D361+D363+D383+D384+D385+D386+D387+D388+D389+D390+D391+D392+D393+D394+D395+D396+D397+D398+D399+D400+D401+D402+D403+D404+D405+D406+D408+D410+D411+D412+D413+D414+D407+D409</f>
        <v>0</v>
      </c>
      <c r="E354" s="322">
        <f>SUM('ADICIONES  2021'!C354:N354)</f>
        <v>8921335496.3299999</v>
      </c>
      <c r="F354" s="285">
        <f t="shared" ref="F354:J354" si="651">+F355+F357+F361+F363+F383+F384+F385+F386+F387+F388+F389+F390+F391+F392+F393+F394+F395+F396+F397+F398+F399+F400+F401+F402+F403+F404+F405+F406+F408+F410+F411+F412+F413+F414+F407+F409</f>
        <v>0</v>
      </c>
      <c r="G354" s="285">
        <f t="shared" si="651"/>
        <v>0</v>
      </c>
      <c r="H354" s="285">
        <f t="shared" si="651"/>
        <v>0</v>
      </c>
      <c r="I354" s="285">
        <f t="shared" si="651"/>
        <v>0</v>
      </c>
      <c r="J354" s="285">
        <f t="shared" si="651"/>
        <v>0</v>
      </c>
      <c r="K354" s="276">
        <f t="shared" si="650"/>
        <v>8921335496.3299999</v>
      </c>
      <c r="L354" s="285">
        <f t="shared" ref="L354:Q354" si="652">+L355+L357+L361+L363+L383+L384+L385+L386+L387+L388+L389+L390+L391+L392+L393+L394+L395+L396+L397+L398+L399+L400+L401+L402+L403+L404+L405+L406+L408+L410+L411+L412+L413+L414+L407+L409</f>
        <v>0</v>
      </c>
      <c r="M354" s="285">
        <f t="shared" si="652"/>
        <v>0</v>
      </c>
      <c r="N354" s="285">
        <f t="shared" si="652"/>
        <v>0</v>
      </c>
      <c r="O354" s="285">
        <f t="shared" si="652"/>
        <v>0</v>
      </c>
      <c r="P354" s="285">
        <f t="shared" si="652"/>
        <v>7839414227.4300003</v>
      </c>
      <c r="Q354" s="285">
        <f t="shared" si="652"/>
        <v>0</v>
      </c>
      <c r="R354" s="276">
        <f t="shared" ref="R354:R674" si="653">SUM(L354:Q354)</f>
        <v>7839414227.4300003</v>
      </c>
      <c r="S354" s="285">
        <f t="shared" ref="S354:Z354" si="654">+S355+S357+S361+S363+S383+S384+S385+S386+S387+S388+S389+S390+S391+S392+S393+S394+S395+S396+S397+S398+S399+S400+S401+S402+S403+S404+S405+S406+S408+S410+S411+S412+S413+S414+S407+S409</f>
        <v>0</v>
      </c>
      <c r="T354" s="285">
        <f t="shared" si="654"/>
        <v>866275555.33000004</v>
      </c>
      <c r="U354" s="285">
        <f t="shared" si="654"/>
        <v>60752</v>
      </c>
      <c r="V354" s="285">
        <f t="shared" si="654"/>
        <v>0</v>
      </c>
      <c r="W354" s="285">
        <f t="shared" si="654"/>
        <v>209582434.37</v>
      </c>
      <c r="X354" s="285">
        <f t="shared" si="654"/>
        <v>6002527</v>
      </c>
      <c r="Y354" s="285">
        <f t="shared" si="654"/>
        <v>0</v>
      </c>
      <c r="Z354" s="285">
        <f t="shared" si="654"/>
        <v>0</v>
      </c>
      <c r="AA354" s="276">
        <f t="shared" si="600"/>
        <v>1081921268.7</v>
      </c>
      <c r="AB354" s="402">
        <f t="shared" ref="AB354:AB608" si="655">+R354+AA354</f>
        <v>8921335496.1300011</v>
      </c>
      <c r="AC354" s="321">
        <f t="shared" si="623"/>
        <v>0.99999999997758193</v>
      </c>
    </row>
    <row r="355" spans="1:29" s="61" customFormat="1" ht="25.5" x14ac:dyDescent="0.2">
      <c r="A355" s="421"/>
      <c r="B355" s="318" t="s">
        <v>834</v>
      </c>
      <c r="C355" s="319" t="s">
        <v>835</v>
      </c>
      <c r="D355" s="285">
        <f t="shared" ref="D355" si="656">+D356</f>
        <v>0</v>
      </c>
      <c r="E355" s="322">
        <f>SUM('ADICIONES  2021'!C355:N355)</f>
        <v>6063279</v>
      </c>
      <c r="F355" s="285">
        <f t="shared" ref="F355:J355" si="657">+F356</f>
        <v>0</v>
      </c>
      <c r="G355" s="285">
        <f t="shared" si="657"/>
        <v>0</v>
      </c>
      <c r="H355" s="285">
        <f t="shared" si="657"/>
        <v>0</v>
      </c>
      <c r="I355" s="285">
        <f t="shared" si="657"/>
        <v>0</v>
      </c>
      <c r="J355" s="285">
        <f t="shared" si="657"/>
        <v>0</v>
      </c>
      <c r="K355" s="276">
        <f t="shared" si="650"/>
        <v>6063279</v>
      </c>
      <c r="L355" s="285">
        <f t="shared" ref="L355:Q355" si="658">+L356</f>
        <v>0</v>
      </c>
      <c r="M355" s="285">
        <f t="shared" si="658"/>
        <v>0</v>
      </c>
      <c r="N355" s="285">
        <f t="shared" si="658"/>
        <v>0</v>
      </c>
      <c r="O355" s="285">
        <f t="shared" si="658"/>
        <v>0</v>
      </c>
      <c r="P355" s="285">
        <f t="shared" si="658"/>
        <v>0</v>
      </c>
      <c r="Q355" s="285">
        <f t="shared" si="658"/>
        <v>0</v>
      </c>
      <c r="R355" s="276">
        <f t="shared" si="653"/>
        <v>0</v>
      </c>
      <c r="S355" s="285">
        <f t="shared" ref="S355:Z355" si="659">+S356</f>
        <v>0</v>
      </c>
      <c r="T355" s="285">
        <f t="shared" si="659"/>
        <v>0</v>
      </c>
      <c r="U355" s="285">
        <f t="shared" si="659"/>
        <v>0</v>
      </c>
      <c r="V355" s="285">
        <f t="shared" si="659"/>
        <v>0</v>
      </c>
      <c r="W355" s="285">
        <f t="shared" si="659"/>
        <v>0</v>
      </c>
      <c r="X355" s="285">
        <f t="shared" si="659"/>
        <v>6063279</v>
      </c>
      <c r="Y355" s="285">
        <f t="shared" si="659"/>
        <v>0</v>
      </c>
      <c r="Z355" s="285">
        <f t="shared" si="659"/>
        <v>0</v>
      </c>
      <c r="AA355" s="276">
        <f t="shared" si="600"/>
        <v>6063279</v>
      </c>
      <c r="AB355" s="402">
        <f t="shared" si="655"/>
        <v>6063279</v>
      </c>
      <c r="AC355" s="321">
        <f t="shared" si="623"/>
        <v>1</v>
      </c>
    </row>
    <row r="356" spans="1:29" ht="14.25" x14ac:dyDescent="0.2">
      <c r="B356" s="323" t="s">
        <v>836</v>
      </c>
      <c r="C356" s="206" t="s">
        <v>835</v>
      </c>
      <c r="D356" s="277"/>
      <c r="E356" s="325">
        <f>SUM('ADICIONES  2021'!C356:N356)</f>
        <v>6063279</v>
      </c>
      <c r="F356" s="277"/>
      <c r="G356" s="277"/>
      <c r="H356" s="277"/>
      <c r="I356" s="277"/>
      <c r="J356" s="277"/>
      <c r="K356" s="281">
        <f t="shared" si="650"/>
        <v>6063279</v>
      </c>
      <c r="L356" s="277"/>
      <c r="M356" s="277"/>
      <c r="N356" s="277"/>
      <c r="O356" s="277"/>
      <c r="P356" s="277"/>
      <c r="Q356" s="277"/>
      <c r="R356" s="281">
        <f t="shared" si="653"/>
        <v>0</v>
      </c>
      <c r="S356" s="277"/>
      <c r="T356" s="277"/>
      <c r="U356" s="277"/>
      <c r="V356" s="277"/>
      <c r="W356" s="277"/>
      <c r="X356" s="277">
        <v>6063279</v>
      </c>
      <c r="Y356" s="277"/>
      <c r="Z356" s="277"/>
      <c r="AA356" s="281">
        <f t="shared" si="600"/>
        <v>6063279</v>
      </c>
      <c r="AB356" s="403">
        <f t="shared" si="655"/>
        <v>6063279</v>
      </c>
      <c r="AC356" s="326">
        <f t="shared" si="623"/>
        <v>1</v>
      </c>
    </row>
    <row r="357" spans="1:29" x14ac:dyDescent="0.2">
      <c r="B357" s="318" t="s">
        <v>1171</v>
      </c>
      <c r="C357" s="319" t="s">
        <v>1172</v>
      </c>
      <c r="D357" s="285">
        <f>SUM(D358:D360)</f>
        <v>0</v>
      </c>
      <c r="E357" s="322">
        <f>SUM('ADICIONES  2021'!C357:N357)</f>
        <v>1547294150.01</v>
      </c>
      <c r="F357" s="285">
        <f t="shared" ref="F357:J357" si="660">SUM(F358:F360)</f>
        <v>0</v>
      </c>
      <c r="G357" s="285">
        <f t="shared" si="660"/>
        <v>0</v>
      </c>
      <c r="H357" s="285">
        <f t="shared" si="660"/>
        <v>0</v>
      </c>
      <c r="I357" s="285">
        <f t="shared" si="660"/>
        <v>0</v>
      </c>
      <c r="J357" s="285">
        <f t="shared" si="660"/>
        <v>0</v>
      </c>
      <c r="K357" s="276">
        <f t="shared" si="650"/>
        <v>1547294150.01</v>
      </c>
      <c r="L357" s="285">
        <f t="shared" ref="L357:Q357" si="661">SUM(L358:L360)</f>
        <v>0</v>
      </c>
      <c r="M357" s="285">
        <f t="shared" si="661"/>
        <v>0</v>
      </c>
      <c r="N357" s="285">
        <f t="shared" si="661"/>
        <v>0</v>
      </c>
      <c r="O357" s="285">
        <f t="shared" si="661"/>
        <v>0</v>
      </c>
      <c r="P357" s="285">
        <f t="shared" si="661"/>
        <v>612356670.00999999</v>
      </c>
      <c r="Q357" s="285">
        <f t="shared" si="661"/>
        <v>0</v>
      </c>
      <c r="R357" s="276">
        <f t="shared" si="653"/>
        <v>612356670.00999999</v>
      </c>
      <c r="S357" s="285">
        <f t="shared" ref="S357:Y357" si="662">SUM(S358:S360)</f>
        <v>0</v>
      </c>
      <c r="T357" s="285">
        <f t="shared" si="662"/>
        <v>725437500</v>
      </c>
      <c r="U357" s="285">
        <f t="shared" si="662"/>
        <v>0</v>
      </c>
      <c r="V357" s="285">
        <f t="shared" si="662"/>
        <v>0</v>
      </c>
      <c r="W357" s="285">
        <f t="shared" si="662"/>
        <v>209499980</v>
      </c>
      <c r="X357" s="285">
        <f t="shared" si="662"/>
        <v>0</v>
      </c>
      <c r="Y357" s="285">
        <f t="shared" si="662"/>
        <v>0</v>
      </c>
      <c r="Z357" s="285">
        <f>SUM(Z358:Z360)</f>
        <v>0</v>
      </c>
      <c r="AA357" s="276">
        <f t="shared" ref="AA357:AA433" si="663">SUM(S357:Z357)</f>
        <v>934937480</v>
      </c>
      <c r="AB357" s="402">
        <f t="shared" si="655"/>
        <v>1547294150.01</v>
      </c>
      <c r="AC357" s="321">
        <f t="shared" si="623"/>
        <v>1</v>
      </c>
    </row>
    <row r="358" spans="1:29" ht="14.25" x14ac:dyDescent="0.2">
      <c r="B358" s="323" t="s">
        <v>1173</v>
      </c>
      <c r="C358" s="206" t="s">
        <v>1172</v>
      </c>
      <c r="D358" s="281"/>
      <c r="E358" s="325">
        <f>SUM('ADICIONES  2021'!C358:N358)</f>
        <v>612356670.00999999</v>
      </c>
      <c r="F358" s="281"/>
      <c r="G358" s="281"/>
      <c r="H358" s="281"/>
      <c r="I358" s="281"/>
      <c r="J358" s="281"/>
      <c r="K358" s="281">
        <f t="shared" si="650"/>
        <v>612356670.00999999</v>
      </c>
      <c r="L358" s="281"/>
      <c r="M358" s="281"/>
      <c r="N358" s="281"/>
      <c r="O358" s="281"/>
      <c r="P358" s="281">
        <v>612356670.00999999</v>
      </c>
      <c r="Q358" s="281"/>
      <c r="R358" s="281">
        <f t="shared" si="653"/>
        <v>612356670.00999999</v>
      </c>
      <c r="S358" s="281"/>
      <c r="T358" s="281"/>
      <c r="U358" s="281"/>
      <c r="V358" s="281"/>
      <c r="W358" s="281">
        <v>0</v>
      </c>
      <c r="X358" s="281"/>
      <c r="Y358" s="281"/>
      <c r="Z358" s="281"/>
      <c r="AA358" s="281">
        <f t="shared" ref="AA358" si="664">SUM(S358:Z358)</f>
        <v>0</v>
      </c>
      <c r="AB358" s="403">
        <f t="shared" si="655"/>
        <v>612356670.00999999</v>
      </c>
      <c r="AC358" s="326">
        <f t="shared" si="623"/>
        <v>1</v>
      </c>
    </row>
    <row r="359" spans="1:29" ht="14.25" x14ac:dyDescent="0.2">
      <c r="B359" s="323" t="s">
        <v>1173</v>
      </c>
      <c r="C359" s="206" t="s">
        <v>1172</v>
      </c>
      <c r="D359" s="277"/>
      <c r="E359" s="325">
        <f>SUM('ADICIONES  2021'!C359:N359)</f>
        <v>725437500</v>
      </c>
      <c r="F359" s="277"/>
      <c r="G359" s="277"/>
      <c r="H359" s="277"/>
      <c r="I359" s="277"/>
      <c r="J359" s="277"/>
      <c r="K359" s="281">
        <f t="shared" si="650"/>
        <v>725437500</v>
      </c>
      <c r="L359" s="277"/>
      <c r="M359" s="277"/>
      <c r="N359" s="277"/>
      <c r="O359" s="277"/>
      <c r="P359" s="277">
        <v>0</v>
      </c>
      <c r="Q359" s="277"/>
      <c r="R359" s="281">
        <f t="shared" si="653"/>
        <v>0</v>
      </c>
      <c r="S359" s="277"/>
      <c r="T359" s="277">
        <v>725437500</v>
      </c>
      <c r="U359" s="277"/>
      <c r="V359" s="277"/>
      <c r="W359" s="277">
        <v>0</v>
      </c>
      <c r="X359" s="277"/>
      <c r="Y359" s="277"/>
      <c r="Z359" s="277"/>
      <c r="AA359" s="281">
        <f t="shared" si="663"/>
        <v>725437500</v>
      </c>
      <c r="AB359" s="403">
        <f t="shared" si="655"/>
        <v>725437500</v>
      </c>
      <c r="AC359" s="326">
        <f t="shared" si="623"/>
        <v>1</v>
      </c>
    </row>
    <row r="360" spans="1:29" ht="14.25" x14ac:dyDescent="0.2">
      <c r="B360" s="323" t="s">
        <v>1173</v>
      </c>
      <c r="C360" s="206" t="s">
        <v>1172</v>
      </c>
      <c r="D360" s="277"/>
      <c r="E360" s="325">
        <f>SUM('ADICIONES  2021'!C360:N360)</f>
        <v>209499980</v>
      </c>
      <c r="F360" s="277"/>
      <c r="G360" s="277"/>
      <c r="H360" s="277"/>
      <c r="I360" s="277"/>
      <c r="J360" s="277"/>
      <c r="K360" s="281">
        <f t="shared" si="650"/>
        <v>209499980</v>
      </c>
      <c r="L360" s="277"/>
      <c r="M360" s="277"/>
      <c r="N360" s="277"/>
      <c r="O360" s="277"/>
      <c r="P360" s="277"/>
      <c r="Q360" s="277"/>
      <c r="R360" s="281">
        <f t="shared" si="653"/>
        <v>0</v>
      </c>
      <c r="S360" s="277"/>
      <c r="T360" s="277"/>
      <c r="U360" s="277"/>
      <c r="V360" s="277"/>
      <c r="W360" s="277">
        <v>209499980</v>
      </c>
      <c r="X360" s="277"/>
      <c r="Y360" s="277"/>
      <c r="Z360" s="277"/>
      <c r="AA360" s="281">
        <f t="shared" ref="AA360" si="665">SUM(S360:Z360)</f>
        <v>209499980</v>
      </c>
      <c r="AB360" s="403">
        <f t="shared" si="655"/>
        <v>209499980</v>
      </c>
      <c r="AC360" s="326">
        <f t="shared" si="623"/>
        <v>1</v>
      </c>
    </row>
    <row r="361" spans="1:29" ht="25.5" x14ac:dyDescent="0.2">
      <c r="B361" s="318" t="s">
        <v>1174</v>
      </c>
      <c r="C361" s="319" t="s">
        <v>1175</v>
      </c>
      <c r="D361" s="285">
        <f t="shared" ref="D361" si="666">+D362</f>
        <v>0</v>
      </c>
      <c r="E361" s="322">
        <f>SUM('ADICIONES  2021'!C361:N361)</f>
        <v>54534939.329999998</v>
      </c>
      <c r="F361" s="285">
        <f t="shared" ref="F361:J361" si="667">+F362</f>
        <v>0</v>
      </c>
      <c r="G361" s="285">
        <f t="shared" si="667"/>
        <v>0</v>
      </c>
      <c r="H361" s="285">
        <f t="shared" si="667"/>
        <v>0</v>
      </c>
      <c r="I361" s="285">
        <f t="shared" si="667"/>
        <v>0</v>
      </c>
      <c r="J361" s="285">
        <f t="shared" si="667"/>
        <v>0</v>
      </c>
      <c r="K361" s="276">
        <f t="shared" si="650"/>
        <v>54534939.329999998</v>
      </c>
      <c r="L361" s="285">
        <f t="shared" ref="L361:Q361" si="668">+L362</f>
        <v>0</v>
      </c>
      <c r="M361" s="285">
        <f t="shared" si="668"/>
        <v>0</v>
      </c>
      <c r="N361" s="285">
        <f t="shared" si="668"/>
        <v>0</v>
      </c>
      <c r="O361" s="285">
        <f t="shared" si="668"/>
        <v>0</v>
      </c>
      <c r="P361" s="285">
        <f t="shared" si="668"/>
        <v>0</v>
      </c>
      <c r="Q361" s="285">
        <f t="shared" si="668"/>
        <v>0</v>
      </c>
      <c r="R361" s="276">
        <f t="shared" si="653"/>
        <v>0</v>
      </c>
      <c r="S361" s="285">
        <f t="shared" ref="S361:Z361" si="669">+S362</f>
        <v>0</v>
      </c>
      <c r="T361" s="285">
        <f t="shared" si="669"/>
        <v>54534939.329999998</v>
      </c>
      <c r="U361" s="285">
        <f t="shared" si="669"/>
        <v>0</v>
      </c>
      <c r="V361" s="285">
        <f t="shared" si="669"/>
        <v>0</v>
      </c>
      <c r="W361" s="285">
        <f t="shared" si="669"/>
        <v>0</v>
      </c>
      <c r="X361" s="285">
        <f t="shared" si="669"/>
        <v>0</v>
      </c>
      <c r="Y361" s="285">
        <f t="shared" si="669"/>
        <v>0</v>
      </c>
      <c r="Z361" s="285">
        <f t="shared" si="669"/>
        <v>0</v>
      </c>
      <c r="AA361" s="276">
        <f t="shared" si="663"/>
        <v>54534939.329999998</v>
      </c>
      <c r="AB361" s="402">
        <f t="shared" si="655"/>
        <v>54534939.329999998</v>
      </c>
      <c r="AC361" s="321">
        <f t="shared" si="623"/>
        <v>1</v>
      </c>
    </row>
    <row r="362" spans="1:29" ht="25.5" x14ac:dyDescent="0.2">
      <c r="B362" s="323" t="s">
        <v>1176</v>
      </c>
      <c r="C362" s="206" t="s">
        <v>1177</v>
      </c>
      <c r="D362" s="277"/>
      <c r="E362" s="325">
        <f>SUM('ADICIONES  2021'!C362:N362)</f>
        <v>54534939.329999998</v>
      </c>
      <c r="F362" s="277"/>
      <c r="G362" s="277"/>
      <c r="H362" s="277"/>
      <c r="I362" s="277"/>
      <c r="J362" s="277"/>
      <c r="K362" s="281">
        <f t="shared" si="650"/>
        <v>54534939.329999998</v>
      </c>
      <c r="L362" s="277"/>
      <c r="M362" s="277"/>
      <c r="N362" s="277"/>
      <c r="O362" s="277"/>
      <c r="P362" s="277"/>
      <c r="Q362" s="277"/>
      <c r="R362" s="281">
        <f t="shared" si="653"/>
        <v>0</v>
      </c>
      <c r="S362" s="277"/>
      <c r="T362" s="277">
        <v>54534939.329999998</v>
      </c>
      <c r="U362" s="277"/>
      <c r="V362" s="277"/>
      <c r="W362" s="277"/>
      <c r="X362" s="277"/>
      <c r="Y362" s="277"/>
      <c r="Z362" s="277"/>
      <c r="AA362" s="281">
        <f t="shared" si="663"/>
        <v>54534939.329999998</v>
      </c>
      <c r="AB362" s="403">
        <f t="shared" si="655"/>
        <v>54534939.329999998</v>
      </c>
      <c r="AC362" s="326">
        <f t="shared" si="623"/>
        <v>1</v>
      </c>
    </row>
    <row r="363" spans="1:29" s="61" customFormat="1" ht="15.75" x14ac:dyDescent="0.2">
      <c r="A363" s="421"/>
      <c r="B363" s="318" t="s">
        <v>1229</v>
      </c>
      <c r="C363" s="319" t="s">
        <v>1230</v>
      </c>
      <c r="D363" s="279">
        <f>SUM(D364:D382)</f>
        <v>0</v>
      </c>
      <c r="E363" s="322">
        <f>SUM('ADICIONES  2021'!C363:N363)</f>
        <v>3598645853.5599999</v>
      </c>
      <c r="F363" s="279">
        <f t="shared" ref="F363:J363" si="670">SUM(F364:F382)</f>
        <v>0</v>
      </c>
      <c r="G363" s="279">
        <f t="shared" si="670"/>
        <v>0</v>
      </c>
      <c r="H363" s="279">
        <f t="shared" si="670"/>
        <v>0</v>
      </c>
      <c r="I363" s="279">
        <f t="shared" si="670"/>
        <v>0</v>
      </c>
      <c r="J363" s="279">
        <f t="shared" si="670"/>
        <v>0</v>
      </c>
      <c r="K363" s="276">
        <f t="shared" si="650"/>
        <v>3598645853.5599999</v>
      </c>
      <c r="L363" s="279">
        <f t="shared" ref="L363:Q363" si="671">SUM(L364:L382)</f>
        <v>0</v>
      </c>
      <c r="M363" s="279">
        <f t="shared" si="671"/>
        <v>0</v>
      </c>
      <c r="N363" s="279">
        <f t="shared" si="671"/>
        <v>0</v>
      </c>
      <c r="O363" s="279">
        <f t="shared" si="671"/>
        <v>0</v>
      </c>
      <c r="P363" s="279">
        <f t="shared" si="671"/>
        <v>3598645853.3600001</v>
      </c>
      <c r="Q363" s="279">
        <f t="shared" si="671"/>
        <v>0</v>
      </c>
      <c r="R363" s="276">
        <f t="shared" si="653"/>
        <v>3598645853.3600001</v>
      </c>
      <c r="S363" s="279">
        <f t="shared" ref="S363:Z363" si="672">SUM(S364:S382)</f>
        <v>0</v>
      </c>
      <c r="T363" s="279">
        <f t="shared" si="672"/>
        <v>0</v>
      </c>
      <c r="U363" s="279">
        <f t="shared" si="672"/>
        <v>0</v>
      </c>
      <c r="V363" s="279">
        <f t="shared" si="672"/>
        <v>0</v>
      </c>
      <c r="W363" s="279">
        <f t="shared" si="672"/>
        <v>0</v>
      </c>
      <c r="X363" s="279">
        <f t="shared" si="672"/>
        <v>0</v>
      </c>
      <c r="Y363" s="279">
        <f t="shared" si="672"/>
        <v>0</v>
      </c>
      <c r="Z363" s="279">
        <f t="shared" si="672"/>
        <v>0</v>
      </c>
      <c r="AA363" s="276">
        <f t="shared" si="663"/>
        <v>0</v>
      </c>
      <c r="AB363" s="402">
        <f t="shared" si="655"/>
        <v>3598645853.3600001</v>
      </c>
      <c r="AC363" s="321">
        <f t="shared" si="623"/>
        <v>0.99999999994442357</v>
      </c>
    </row>
    <row r="364" spans="1:29" ht="14.25" x14ac:dyDescent="0.2">
      <c r="B364" s="323" t="s">
        <v>1231</v>
      </c>
      <c r="C364" s="206" t="s">
        <v>1232</v>
      </c>
      <c r="D364" s="277"/>
      <c r="E364" s="325">
        <f>SUM('ADICIONES  2021'!C364:N364)</f>
        <v>1902148.61</v>
      </c>
      <c r="F364" s="277"/>
      <c r="G364" s="277"/>
      <c r="H364" s="277"/>
      <c r="I364" s="277"/>
      <c r="J364" s="277"/>
      <c r="K364" s="281">
        <f t="shared" si="650"/>
        <v>1902148.61</v>
      </c>
      <c r="L364" s="277"/>
      <c r="M364" s="277"/>
      <c r="N364" s="277"/>
      <c r="O364" s="277"/>
      <c r="P364" s="277">
        <v>1902148.61</v>
      </c>
      <c r="Q364" s="277"/>
      <c r="R364" s="281">
        <f t="shared" si="653"/>
        <v>1902148.61</v>
      </c>
      <c r="S364" s="277"/>
      <c r="T364" s="277"/>
      <c r="U364" s="277"/>
      <c r="V364" s="277"/>
      <c r="W364" s="277"/>
      <c r="X364" s="277"/>
      <c r="Y364" s="277"/>
      <c r="Z364" s="277"/>
      <c r="AA364" s="281">
        <f t="shared" si="663"/>
        <v>0</v>
      </c>
      <c r="AB364" s="403">
        <f t="shared" si="655"/>
        <v>1902148.61</v>
      </c>
      <c r="AC364" s="326">
        <f t="shared" si="623"/>
        <v>1</v>
      </c>
    </row>
    <row r="365" spans="1:29" ht="25.5" x14ac:dyDescent="0.2">
      <c r="B365" s="323" t="s">
        <v>1233</v>
      </c>
      <c r="C365" s="206" t="s">
        <v>1234</v>
      </c>
      <c r="D365" s="277"/>
      <c r="E365" s="325">
        <f>SUM('ADICIONES  2021'!C365:N365)</f>
        <v>1621491649.77</v>
      </c>
      <c r="F365" s="277"/>
      <c r="G365" s="277"/>
      <c r="H365" s="277"/>
      <c r="I365" s="277"/>
      <c r="J365" s="277"/>
      <c r="K365" s="281">
        <f t="shared" si="650"/>
        <v>1621491649.77</v>
      </c>
      <c r="L365" s="277"/>
      <c r="M365" s="277"/>
      <c r="N365" s="277"/>
      <c r="O365" s="277"/>
      <c r="P365" s="277">
        <v>1621491649.77</v>
      </c>
      <c r="Q365" s="277"/>
      <c r="R365" s="281">
        <f t="shared" si="653"/>
        <v>1621491649.77</v>
      </c>
      <c r="S365" s="277"/>
      <c r="T365" s="277"/>
      <c r="U365" s="277"/>
      <c r="V365" s="277"/>
      <c r="W365" s="277"/>
      <c r="X365" s="277"/>
      <c r="Y365" s="277"/>
      <c r="Z365" s="277"/>
      <c r="AA365" s="281">
        <f t="shared" si="663"/>
        <v>0</v>
      </c>
      <c r="AB365" s="403">
        <f t="shared" si="655"/>
        <v>1621491649.77</v>
      </c>
      <c r="AC365" s="326">
        <f t="shared" si="623"/>
        <v>1</v>
      </c>
    </row>
    <row r="366" spans="1:29" ht="25.5" x14ac:dyDescent="0.2">
      <c r="B366" s="323" t="s">
        <v>1235</v>
      </c>
      <c r="C366" s="206" t="s">
        <v>1236</v>
      </c>
      <c r="D366" s="277"/>
      <c r="E366" s="325">
        <f>SUM('ADICIONES  2021'!C366:N366)</f>
        <v>177998545.74000001</v>
      </c>
      <c r="F366" s="277"/>
      <c r="G366" s="277"/>
      <c r="H366" s="277"/>
      <c r="I366" s="277"/>
      <c r="J366" s="277"/>
      <c r="K366" s="281">
        <f t="shared" si="650"/>
        <v>177998545.74000001</v>
      </c>
      <c r="L366" s="277"/>
      <c r="M366" s="277"/>
      <c r="N366" s="277"/>
      <c r="O366" s="277"/>
      <c r="P366" s="277">
        <v>177998545.74000001</v>
      </c>
      <c r="Q366" s="277"/>
      <c r="R366" s="281">
        <f t="shared" si="653"/>
        <v>177998545.74000001</v>
      </c>
      <c r="S366" s="277"/>
      <c r="T366" s="277"/>
      <c r="U366" s="277"/>
      <c r="V366" s="277"/>
      <c r="W366" s="277"/>
      <c r="X366" s="277"/>
      <c r="Y366" s="277"/>
      <c r="Z366" s="277"/>
      <c r="AA366" s="281">
        <f t="shared" si="663"/>
        <v>0</v>
      </c>
      <c r="AB366" s="403">
        <f t="shared" si="655"/>
        <v>177998545.74000001</v>
      </c>
      <c r="AC366" s="326">
        <f t="shared" si="623"/>
        <v>1</v>
      </c>
    </row>
    <row r="367" spans="1:29" ht="14.25" x14ac:dyDescent="0.2">
      <c r="B367" s="323" t="s">
        <v>1237</v>
      </c>
      <c r="C367" s="206" t="s">
        <v>1238</v>
      </c>
      <c r="D367" s="277"/>
      <c r="E367" s="325">
        <f>SUM('ADICIONES  2021'!C367:N367)</f>
        <v>381321589.42000002</v>
      </c>
      <c r="F367" s="277"/>
      <c r="G367" s="277"/>
      <c r="H367" s="277"/>
      <c r="I367" s="277"/>
      <c r="J367" s="277"/>
      <c r="K367" s="281">
        <f t="shared" si="650"/>
        <v>381321589.42000002</v>
      </c>
      <c r="L367" s="277"/>
      <c r="M367" s="277"/>
      <c r="N367" s="277"/>
      <c r="O367" s="277"/>
      <c r="P367" s="277">
        <v>381321589.42000002</v>
      </c>
      <c r="Q367" s="277"/>
      <c r="R367" s="281">
        <f t="shared" si="653"/>
        <v>381321589.42000002</v>
      </c>
      <c r="S367" s="277"/>
      <c r="T367" s="277"/>
      <c r="U367" s="277"/>
      <c r="V367" s="277"/>
      <c r="W367" s="277"/>
      <c r="X367" s="277"/>
      <c r="Y367" s="277"/>
      <c r="Z367" s="277"/>
      <c r="AA367" s="281">
        <f t="shared" si="663"/>
        <v>0</v>
      </c>
      <c r="AB367" s="403">
        <f t="shared" si="655"/>
        <v>381321589.42000002</v>
      </c>
      <c r="AC367" s="326">
        <f t="shared" si="623"/>
        <v>1</v>
      </c>
    </row>
    <row r="368" spans="1:29" ht="14.25" x14ac:dyDescent="0.2">
      <c r="B368" s="323" t="s">
        <v>1239</v>
      </c>
      <c r="C368" s="206" t="s">
        <v>1240</v>
      </c>
      <c r="D368" s="277"/>
      <c r="E368" s="325">
        <f>SUM('ADICIONES  2021'!C368:N368)</f>
        <v>84461834.549999997</v>
      </c>
      <c r="F368" s="277"/>
      <c r="G368" s="277"/>
      <c r="H368" s="277"/>
      <c r="I368" s="277"/>
      <c r="J368" s="277"/>
      <c r="K368" s="281">
        <f t="shared" si="650"/>
        <v>84461834.549999997</v>
      </c>
      <c r="L368" s="277"/>
      <c r="M368" s="277"/>
      <c r="N368" s="277"/>
      <c r="O368" s="277"/>
      <c r="P368" s="277">
        <v>84461834.549999997</v>
      </c>
      <c r="Q368" s="277"/>
      <c r="R368" s="281">
        <f t="shared" si="653"/>
        <v>84461834.549999997</v>
      </c>
      <c r="S368" s="277"/>
      <c r="T368" s="277"/>
      <c r="U368" s="277"/>
      <c r="V368" s="277"/>
      <c r="W368" s="277"/>
      <c r="X368" s="277"/>
      <c r="Y368" s="277"/>
      <c r="Z368" s="277"/>
      <c r="AA368" s="281">
        <f t="shared" si="663"/>
        <v>0</v>
      </c>
      <c r="AB368" s="403">
        <f t="shared" si="655"/>
        <v>84461834.549999997</v>
      </c>
      <c r="AC368" s="326">
        <f t="shared" si="623"/>
        <v>1</v>
      </c>
    </row>
    <row r="369" spans="2:29" ht="14.25" x14ac:dyDescent="0.2">
      <c r="B369" s="323" t="s">
        <v>1241</v>
      </c>
      <c r="C369" s="206" t="s">
        <v>1242</v>
      </c>
      <c r="D369" s="277"/>
      <c r="E369" s="325">
        <f>SUM('ADICIONES  2021'!C369:N369)</f>
        <v>130177270.2</v>
      </c>
      <c r="F369" s="277"/>
      <c r="G369" s="277"/>
      <c r="H369" s="277"/>
      <c r="I369" s="277"/>
      <c r="J369" s="277"/>
      <c r="K369" s="281">
        <f t="shared" si="650"/>
        <v>130177270.2</v>
      </c>
      <c r="L369" s="277"/>
      <c r="M369" s="277"/>
      <c r="N369" s="277"/>
      <c r="O369" s="277"/>
      <c r="P369" s="277">
        <v>130177270</v>
      </c>
      <c r="Q369" s="277"/>
      <c r="R369" s="281">
        <f t="shared" si="653"/>
        <v>130177270</v>
      </c>
      <c r="S369" s="277"/>
      <c r="T369" s="277"/>
      <c r="U369" s="277"/>
      <c r="V369" s="277"/>
      <c r="W369" s="277"/>
      <c r="X369" s="277"/>
      <c r="Y369" s="277"/>
      <c r="Z369" s="277"/>
      <c r="AA369" s="281">
        <f t="shared" si="663"/>
        <v>0</v>
      </c>
      <c r="AB369" s="403">
        <f t="shared" si="655"/>
        <v>130177270</v>
      </c>
      <c r="AC369" s="326">
        <f t="shared" si="623"/>
        <v>0.99999999846363341</v>
      </c>
    </row>
    <row r="370" spans="2:29" ht="38.25" x14ac:dyDescent="0.2">
      <c r="B370" s="323" t="s">
        <v>1243</v>
      </c>
      <c r="C370" s="206" t="s">
        <v>1244</v>
      </c>
      <c r="D370" s="277"/>
      <c r="E370" s="325">
        <f>SUM('ADICIONES  2021'!C370:N370)</f>
        <v>132503403.73999999</v>
      </c>
      <c r="F370" s="277"/>
      <c r="G370" s="277"/>
      <c r="H370" s="277"/>
      <c r="I370" s="277"/>
      <c r="J370" s="277"/>
      <c r="K370" s="281">
        <f t="shared" si="650"/>
        <v>132503403.73999999</v>
      </c>
      <c r="L370" s="277"/>
      <c r="M370" s="277"/>
      <c r="N370" s="277"/>
      <c r="O370" s="277"/>
      <c r="P370" s="277">
        <v>132503403.73999999</v>
      </c>
      <c r="Q370" s="277"/>
      <c r="R370" s="281">
        <f t="shared" si="653"/>
        <v>132503403.73999999</v>
      </c>
      <c r="S370" s="277"/>
      <c r="T370" s="277"/>
      <c r="U370" s="277"/>
      <c r="V370" s="277"/>
      <c r="W370" s="277"/>
      <c r="X370" s="277"/>
      <c r="Y370" s="277"/>
      <c r="Z370" s="277"/>
      <c r="AA370" s="281">
        <f t="shared" si="663"/>
        <v>0</v>
      </c>
      <c r="AB370" s="403">
        <f t="shared" si="655"/>
        <v>132503403.73999999</v>
      </c>
      <c r="AC370" s="326">
        <f t="shared" si="623"/>
        <v>1</v>
      </c>
    </row>
    <row r="371" spans="2:29" ht="25.5" x14ac:dyDescent="0.2">
      <c r="B371" s="323" t="s">
        <v>1245</v>
      </c>
      <c r="C371" s="206" t="s">
        <v>1246</v>
      </c>
      <c r="D371" s="277"/>
      <c r="E371" s="325">
        <f>SUM('ADICIONES  2021'!C371:N371)</f>
        <v>2966244.44</v>
      </c>
      <c r="F371" s="277"/>
      <c r="G371" s="277"/>
      <c r="H371" s="277"/>
      <c r="I371" s="277"/>
      <c r="J371" s="277"/>
      <c r="K371" s="281">
        <f t="shared" si="650"/>
        <v>2966244.44</v>
      </c>
      <c r="L371" s="277"/>
      <c r="M371" s="277"/>
      <c r="N371" s="277"/>
      <c r="O371" s="277"/>
      <c r="P371" s="277">
        <v>2966244.44</v>
      </c>
      <c r="Q371" s="277"/>
      <c r="R371" s="281">
        <f t="shared" si="653"/>
        <v>2966244.44</v>
      </c>
      <c r="S371" s="277"/>
      <c r="T371" s="277"/>
      <c r="U371" s="277"/>
      <c r="V371" s="277"/>
      <c r="W371" s="277"/>
      <c r="X371" s="277"/>
      <c r="Y371" s="277"/>
      <c r="Z371" s="277"/>
      <c r="AA371" s="281">
        <f t="shared" si="663"/>
        <v>0</v>
      </c>
      <c r="AB371" s="403">
        <f t="shared" si="655"/>
        <v>2966244.44</v>
      </c>
      <c r="AC371" s="326">
        <f t="shared" si="623"/>
        <v>1</v>
      </c>
    </row>
    <row r="372" spans="2:29" ht="25.5" x14ac:dyDescent="0.2">
      <c r="B372" s="323" t="s">
        <v>1247</v>
      </c>
      <c r="C372" s="206" t="s">
        <v>1248</v>
      </c>
      <c r="D372" s="277"/>
      <c r="E372" s="325">
        <f>SUM('ADICIONES  2021'!C372:N372)</f>
        <v>77303408.400000006</v>
      </c>
      <c r="F372" s="277"/>
      <c r="G372" s="277"/>
      <c r="H372" s="277"/>
      <c r="I372" s="277"/>
      <c r="J372" s="277"/>
      <c r="K372" s="281">
        <f t="shared" si="650"/>
        <v>77303408.400000006</v>
      </c>
      <c r="L372" s="277"/>
      <c r="M372" s="277"/>
      <c r="N372" s="277"/>
      <c r="O372" s="277"/>
      <c r="P372" s="277">
        <v>77303408.400000006</v>
      </c>
      <c r="Q372" s="277"/>
      <c r="R372" s="281">
        <f t="shared" si="653"/>
        <v>77303408.400000006</v>
      </c>
      <c r="S372" s="277"/>
      <c r="T372" s="277"/>
      <c r="U372" s="277"/>
      <c r="V372" s="277"/>
      <c r="W372" s="277"/>
      <c r="X372" s="277"/>
      <c r="Y372" s="277"/>
      <c r="Z372" s="277"/>
      <c r="AA372" s="281">
        <f t="shared" si="663"/>
        <v>0</v>
      </c>
      <c r="AB372" s="403">
        <f t="shared" si="655"/>
        <v>77303408.400000006</v>
      </c>
      <c r="AC372" s="326">
        <f t="shared" si="623"/>
        <v>1</v>
      </c>
    </row>
    <row r="373" spans="2:29" ht="25.5" x14ac:dyDescent="0.2">
      <c r="B373" s="323" t="s">
        <v>1249</v>
      </c>
      <c r="C373" s="206" t="s">
        <v>1250</v>
      </c>
      <c r="D373" s="277"/>
      <c r="E373" s="325">
        <f>SUM('ADICIONES  2021'!C373:N373)</f>
        <v>113234205.3</v>
      </c>
      <c r="F373" s="277"/>
      <c r="G373" s="277"/>
      <c r="H373" s="277"/>
      <c r="I373" s="277"/>
      <c r="J373" s="277"/>
      <c r="K373" s="281">
        <f t="shared" si="650"/>
        <v>113234205.3</v>
      </c>
      <c r="L373" s="277"/>
      <c r="M373" s="277"/>
      <c r="N373" s="277"/>
      <c r="O373" s="277"/>
      <c r="P373" s="277">
        <v>113234205.3</v>
      </c>
      <c r="Q373" s="277"/>
      <c r="R373" s="281">
        <f t="shared" si="653"/>
        <v>113234205.3</v>
      </c>
      <c r="S373" s="277"/>
      <c r="T373" s="277"/>
      <c r="U373" s="277"/>
      <c r="V373" s="277"/>
      <c r="W373" s="277"/>
      <c r="X373" s="277"/>
      <c r="Y373" s="277"/>
      <c r="Z373" s="277"/>
      <c r="AA373" s="281">
        <f t="shared" si="663"/>
        <v>0</v>
      </c>
      <c r="AB373" s="403">
        <f t="shared" si="655"/>
        <v>113234205.3</v>
      </c>
      <c r="AC373" s="326">
        <f t="shared" ref="AC373:AC613" si="673">+AB373/K373</f>
        <v>1</v>
      </c>
    </row>
    <row r="374" spans="2:29" ht="25.5" x14ac:dyDescent="0.2">
      <c r="B374" s="323" t="s">
        <v>1251</v>
      </c>
      <c r="C374" s="206" t="s">
        <v>1252</v>
      </c>
      <c r="D374" s="277"/>
      <c r="E374" s="325">
        <f>SUM('ADICIONES  2021'!C374:N374)</f>
        <v>153953647.03999999</v>
      </c>
      <c r="F374" s="277"/>
      <c r="G374" s="277"/>
      <c r="H374" s="277"/>
      <c r="I374" s="277"/>
      <c r="J374" s="277"/>
      <c r="K374" s="281">
        <f t="shared" si="650"/>
        <v>153953647.03999999</v>
      </c>
      <c r="L374" s="277"/>
      <c r="M374" s="277"/>
      <c r="N374" s="277"/>
      <c r="O374" s="277"/>
      <c r="P374" s="277">
        <v>153953647.03999999</v>
      </c>
      <c r="Q374" s="277"/>
      <c r="R374" s="281">
        <f t="shared" si="653"/>
        <v>153953647.03999999</v>
      </c>
      <c r="S374" s="277"/>
      <c r="T374" s="277"/>
      <c r="U374" s="277"/>
      <c r="V374" s="277"/>
      <c r="W374" s="277"/>
      <c r="X374" s="277"/>
      <c r="Y374" s="277"/>
      <c r="Z374" s="277"/>
      <c r="AA374" s="281">
        <f t="shared" si="663"/>
        <v>0</v>
      </c>
      <c r="AB374" s="403">
        <f t="shared" si="655"/>
        <v>153953647.03999999</v>
      </c>
      <c r="AC374" s="326">
        <f t="shared" si="673"/>
        <v>1</v>
      </c>
    </row>
    <row r="375" spans="2:29" ht="25.5" x14ac:dyDescent="0.2">
      <c r="B375" s="323" t="s">
        <v>1253</v>
      </c>
      <c r="C375" s="206" t="s">
        <v>1254</v>
      </c>
      <c r="D375" s="277"/>
      <c r="E375" s="325">
        <f>SUM('ADICIONES  2021'!C375:N375)</f>
        <v>315352581.86000001</v>
      </c>
      <c r="F375" s="277"/>
      <c r="G375" s="277"/>
      <c r="H375" s="277"/>
      <c r="I375" s="277"/>
      <c r="J375" s="277"/>
      <c r="K375" s="281">
        <f t="shared" si="650"/>
        <v>315352581.86000001</v>
      </c>
      <c r="L375" s="277"/>
      <c r="M375" s="277"/>
      <c r="N375" s="277"/>
      <c r="O375" s="277"/>
      <c r="P375" s="277">
        <v>315352581.86000001</v>
      </c>
      <c r="Q375" s="277"/>
      <c r="R375" s="281">
        <f t="shared" si="653"/>
        <v>315352581.86000001</v>
      </c>
      <c r="S375" s="277"/>
      <c r="T375" s="277"/>
      <c r="U375" s="277"/>
      <c r="V375" s="277"/>
      <c r="W375" s="277"/>
      <c r="X375" s="277"/>
      <c r="Y375" s="277"/>
      <c r="Z375" s="277"/>
      <c r="AA375" s="281">
        <f t="shared" si="663"/>
        <v>0</v>
      </c>
      <c r="AB375" s="403">
        <f t="shared" si="655"/>
        <v>315352581.86000001</v>
      </c>
      <c r="AC375" s="326">
        <f t="shared" si="673"/>
        <v>1</v>
      </c>
    </row>
    <row r="376" spans="2:29" ht="25.5" x14ac:dyDescent="0.2">
      <c r="B376" s="323" t="s">
        <v>1255</v>
      </c>
      <c r="C376" s="206" t="s">
        <v>1256</v>
      </c>
      <c r="D376" s="277"/>
      <c r="E376" s="325">
        <f>SUM('ADICIONES  2021'!C376:N376)</f>
        <v>103246582.93000001</v>
      </c>
      <c r="F376" s="277"/>
      <c r="G376" s="277"/>
      <c r="H376" s="277"/>
      <c r="I376" s="277"/>
      <c r="J376" s="277"/>
      <c r="K376" s="281">
        <f t="shared" si="650"/>
        <v>103246582.93000001</v>
      </c>
      <c r="L376" s="277"/>
      <c r="M376" s="277"/>
      <c r="N376" s="277"/>
      <c r="O376" s="277"/>
      <c r="P376" s="277">
        <v>103246582.93000001</v>
      </c>
      <c r="Q376" s="277"/>
      <c r="R376" s="281">
        <f t="shared" si="653"/>
        <v>103246582.93000001</v>
      </c>
      <c r="S376" s="277"/>
      <c r="T376" s="277"/>
      <c r="U376" s="277"/>
      <c r="V376" s="277"/>
      <c r="W376" s="277"/>
      <c r="X376" s="277"/>
      <c r="Y376" s="277"/>
      <c r="Z376" s="277"/>
      <c r="AA376" s="281">
        <f t="shared" si="663"/>
        <v>0</v>
      </c>
      <c r="AB376" s="403">
        <f t="shared" si="655"/>
        <v>103246582.93000001</v>
      </c>
      <c r="AC376" s="326">
        <f t="shared" si="673"/>
        <v>1</v>
      </c>
    </row>
    <row r="377" spans="2:29" ht="25.5" x14ac:dyDescent="0.2">
      <c r="B377" s="323" t="s">
        <v>1257</v>
      </c>
      <c r="C377" s="206" t="s">
        <v>1258</v>
      </c>
      <c r="D377" s="277"/>
      <c r="E377" s="325">
        <f>SUM('ADICIONES  2021'!C377:N377)</f>
        <v>99917502.230000004</v>
      </c>
      <c r="F377" s="277"/>
      <c r="G377" s="277"/>
      <c r="H377" s="277"/>
      <c r="I377" s="277"/>
      <c r="J377" s="277"/>
      <c r="K377" s="281">
        <f t="shared" si="650"/>
        <v>99917502.230000004</v>
      </c>
      <c r="L377" s="277"/>
      <c r="M377" s="277"/>
      <c r="N377" s="277"/>
      <c r="O377" s="277"/>
      <c r="P377" s="277">
        <v>99917502.230000004</v>
      </c>
      <c r="Q377" s="277"/>
      <c r="R377" s="281">
        <f t="shared" si="653"/>
        <v>99917502.230000004</v>
      </c>
      <c r="S377" s="277"/>
      <c r="T377" s="277"/>
      <c r="U377" s="277"/>
      <c r="V377" s="277"/>
      <c r="W377" s="277"/>
      <c r="X377" s="277"/>
      <c r="Y377" s="277"/>
      <c r="Z377" s="277"/>
      <c r="AA377" s="281">
        <f t="shared" ref="AA377:AA384" si="674">SUM(S377:Z377)</f>
        <v>0</v>
      </c>
      <c r="AB377" s="403">
        <f t="shared" si="655"/>
        <v>99917502.230000004</v>
      </c>
      <c r="AC377" s="326">
        <f t="shared" si="673"/>
        <v>1</v>
      </c>
    </row>
    <row r="378" spans="2:29" ht="25.5" x14ac:dyDescent="0.2">
      <c r="B378" s="323" t="s">
        <v>1259</v>
      </c>
      <c r="C378" s="206" t="s">
        <v>1260</v>
      </c>
      <c r="D378" s="277"/>
      <c r="E378" s="325">
        <f>SUM('ADICIONES  2021'!C378:N378)</f>
        <v>63729352.200000003</v>
      </c>
      <c r="F378" s="277"/>
      <c r="G378" s="277"/>
      <c r="H378" s="277"/>
      <c r="I378" s="277"/>
      <c r="J378" s="277"/>
      <c r="K378" s="281">
        <f t="shared" si="650"/>
        <v>63729352.200000003</v>
      </c>
      <c r="L378" s="277"/>
      <c r="M378" s="277"/>
      <c r="N378" s="277"/>
      <c r="O378" s="277"/>
      <c r="P378" s="277">
        <v>63729352.200000003</v>
      </c>
      <c r="Q378" s="277"/>
      <c r="R378" s="281">
        <f t="shared" ref="R378:R385" si="675">SUM(L378:Q378)</f>
        <v>63729352.200000003</v>
      </c>
      <c r="S378" s="277"/>
      <c r="T378" s="277"/>
      <c r="U378" s="277"/>
      <c r="V378" s="277"/>
      <c r="W378" s="277"/>
      <c r="X378" s="277"/>
      <c r="Y378" s="277"/>
      <c r="Z378" s="277"/>
      <c r="AA378" s="281">
        <f t="shared" si="674"/>
        <v>0</v>
      </c>
      <c r="AB378" s="403">
        <f t="shared" si="655"/>
        <v>63729352.200000003</v>
      </c>
      <c r="AC378" s="326">
        <f t="shared" si="673"/>
        <v>1</v>
      </c>
    </row>
    <row r="379" spans="2:29" ht="25.5" x14ac:dyDescent="0.2">
      <c r="B379" s="323" t="s">
        <v>1261</v>
      </c>
      <c r="C379" s="206" t="s">
        <v>1262</v>
      </c>
      <c r="D379" s="277"/>
      <c r="E379" s="325">
        <f>SUM('ADICIONES  2021'!C379:N379)</f>
        <v>15067397.539999999</v>
      </c>
      <c r="F379" s="277"/>
      <c r="G379" s="277"/>
      <c r="H379" s="277"/>
      <c r="I379" s="277"/>
      <c r="J379" s="277"/>
      <c r="K379" s="281">
        <f t="shared" si="650"/>
        <v>15067397.539999999</v>
      </c>
      <c r="L379" s="277"/>
      <c r="M379" s="277"/>
      <c r="N379" s="277"/>
      <c r="O379" s="277"/>
      <c r="P379" s="277">
        <v>15067397.539999999</v>
      </c>
      <c r="Q379" s="277"/>
      <c r="R379" s="281">
        <f t="shared" si="675"/>
        <v>15067397.539999999</v>
      </c>
      <c r="S379" s="277"/>
      <c r="T379" s="277"/>
      <c r="U379" s="277"/>
      <c r="V379" s="277"/>
      <c r="W379" s="277"/>
      <c r="X379" s="277"/>
      <c r="Y379" s="277"/>
      <c r="Z379" s="277"/>
      <c r="AA379" s="281">
        <f t="shared" si="674"/>
        <v>0</v>
      </c>
      <c r="AB379" s="403">
        <f t="shared" si="655"/>
        <v>15067397.539999999</v>
      </c>
      <c r="AC379" s="326">
        <f t="shared" si="673"/>
        <v>1</v>
      </c>
    </row>
    <row r="380" spans="2:29" ht="38.25" x14ac:dyDescent="0.2">
      <c r="B380" s="323" t="s">
        <v>1264</v>
      </c>
      <c r="C380" s="206" t="s">
        <v>1265</v>
      </c>
      <c r="D380" s="277"/>
      <c r="E380" s="325">
        <f>SUM('ADICIONES  2021'!C380:N380)</f>
        <v>67466552.810000002</v>
      </c>
      <c r="F380" s="277"/>
      <c r="G380" s="277"/>
      <c r="H380" s="277"/>
      <c r="I380" s="277"/>
      <c r="J380" s="277"/>
      <c r="K380" s="281">
        <f t="shared" si="650"/>
        <v>67466552.810000002</v>
      </c>
      <c r="L380" s="277"/>
      <c r="M380" s="277"/>
      <c r="N380" s="277"/>
      <c r="O380" s="277"/>
      <c r="P380" s="277">
        <v>67466552.810000002</v>
      </c>
      <c r="Q380" s="277"/>
      <c r="R380" s="281">
        <f t="shared" si="675"/>
        <v>67466552.810000002</v>
      </c>
      <c r="S380" s="277"/>
      <c r="T380" s="277"/>
      <c r="U380" s="277"/>
      <c r="V380" s="277"/>
      <c r="W380" s="277"/>
      <c r="X380" s="277"/>
      <c r="Y380" s="277"/>
      <c r="Z380" s="277"/>
      <c r="AA380" s="281">
        <f t="shared" si="674"/>
        <v>0</v>
      </c>
      <c r="AB380" s="403">
        <f t="shared" si="655"/>
        <v>67466552.810000002</v>
      </c>
      <c r="AC380" s="326">
        <f t="shared" si="673"/>
        <v>1</v>
      </c>
    </row>
    <row r="381" spans="2:29" ht="25.5" hidden="1" x14ac:dyDescent="0.2">
      <c r="B381" s="323" t="s">
        <v>1830</v>
      </c>
      <c r="C381" s="206" t="s">
        <v>1263</v>
      </c>
      <c r="D381" s="277"/>
      <c r="E381" s="325">
        <f>SUM('ADICIONES  2021'!C381:N381)</f>
        <v>0</v>
      </c>
      <c r="F381" s="277"/>
      <c r="G381" s="277"/>
      <c r="H381" s="277"/>
      <c r="I381" s="277"/>
      <c r="J381" s="277"/>
      <c r="K381" s="281">
        <f t="shared" si="650"/>
        <v>0</v>
      </c>
      <c r="L381" s="277"/>
      <c r="M381" s="277"/>
      <c r="N381" s="277"/>
      <c r="O381" s="277"/>
      <c r="P381" s="277">
        <v>0</v>
      </c>
      <c r="Q381" s="277"/>
      <c r="R381" s="281">
        <f t="shared" si="675"/>
        <v>0</v>
      </c>
      <c r="S381" s="277"/>
      <c r="T381" s="277"/>
      <c r="U381" s="277"/>
      <c r="V381" s="277"/>
      <c r="W381" s="277"/>
      <c r="X381" s="277"/>
      <c r="Y381" s="277"/>
      <c r="Z381" s="277"/>
      <c r="AA381" s="281">
        <f t="shared" si="674"/>
        <v>0</v>
      </c>
      <c r="AB381" s="403">
        <f t="shared" si="655"/>
        <v>0</v>
      </c>
      <c r="AC381" s="326" t="e">
        <f t="shared" si="673"/>
        <v>#DIV/0!</v>
      </c>
    </row>
    <row r="382" spans="2:29" ht="25.5" x14ac:dyDescent="0.2">
      <c r="B382" s="323" t="s">
        <v>1820</v>
      </c>
      <c r="C382" s="206" t="s">
        <v>1263</v>
      </c>
      <c r="D382" s="277"/>
      <c r="E382" s="325">
        <f>SUM('ADICIONES  2021'!C382:N382)</f>
        <v>56551936.780000001</v>
      </c>
      <c r="F382" s="277"/>
      <c r="G382" s="277"/>
      <c r="H382" s="277"/>
      <c r="I382" s="277"/>
      <c r="J382" s="277"/>
      <c r="K382" s="281">
        <f t="shared" si="650"/>
        <v>56551936.780000001</v>
      </c>
      <c r="L382" s="277"/>
      <c r="M382" s="277"/>
      <c r="N382" s="277"/>
      <c r="O382" s="277"/>
      <c r="P382" s="277">
        <v>56551936.780000001</v>
      </c>
      <c r="Q382" s="277"/>
      <c r="R382" s="281">
        <f t="shared" si="675"/>
        <v>56551936.780000001</v>
      </c>
      <c r="S382" s="277"/>
      <c r="T382" s="277"/>
      <c r="U382" s="277"/>
      <c r="V382" s="277"/>
      <c r="W382" s="277"/>
      <c r="X382" s="277"/>
      <c r="Y382" s="277"/>
      <c r="Z382" s="277"/>
      <c r="AA382" s="281">
        <f t="shared" si="674"/>
        <v>0</v>
      </c>
      <c r="AB382" s="403">
        <f t="shared" si="655"/>
        <v>56551936.780000001</v>
      </c>
      <c r="AC382" s="326">
        <f t="shared" si="673"/>
        <v>1</v>
      </c>
    </row>
    <row r="383" spans="2:29" ht="25.5" x14ac:dyDescent="0.2">
      <c r="B383" s="323" t="s">
        <v>1266</v>
      </c>
      <c r="C383" s="206" t="s">
        <v>1267</v>
      </c>
      <c r="D383" s="277"/>
      <c r="E383" s="325">
        <f>SUM('ADICIONES  2021'!C383:N383)</f>
        <v>10991322</v>
      </c>
      <c r="F383" s="277"/>
      <c r="G383" s="277"/>
      <c r="H383" s="277"/>
      <c r="I383" s="277"/>
      <c r="J383" s="277"/>
      <c r="K383" s="281">
        <f t="shared" si="650"/>
        <v>10991322</v>
      </c>
      <c r="L383" s="277"/>
      <c r="M383" s="277"/>
      <c r="N383" s="277"/>
      <c r="O383" s="277"/>
      <c r="P383" s="277">
        <v>10991322</v>
      </c>
      <c r="Q383" s="277"/>
      <c r="R383" s="281">
        <f t="shared" si="675"/>
        <v>10991322</v>
      </c>
      <c r="S383" s="277"/>
      <c r="T383" s="277"/>
      <c r="U383" s="277"/>
      <c r="V383" s="277"/>
      <c r="W383" s="277"/>
      <c r="X383" s="277"/>
      <c r="Y383" s="277"/>
      <c r="Z383" s="277"/>
      <c r="AA383" s="281">
        <f t="shared" si="674"/>
        <v>0</v>
      </c>
      <c r="AB383" s="403">
        <f t="shared" si="655"/>
        <v>10991322</v>
      </c>
      <c r="AC383" s="326">
        <f t="shared" si="673"/>
        <v>1</v>
      </c>
    </row>
    <row r="384" spans="2:29" ht="14.25" x14ac:dyDescent="0.2">
      <c r="B384" s="323" t="s">
        <v>1268</v>
      </c>
      <c r="C384" s="206" t="s">
        <v>1269</v>
      </c>
      <c r="D384" s="277"/>
      <c r="E384" s="325">
        <f>SUM('ADICIONES  2021'!C384:N384)</f>
        <v>9502617</v>
      </c>
      <c r="F384" s="277"/>
      <c r="G384" s="277"/>
      <c r="H384" s="277"/>
      <c r="I384" s="277"/>
      <c r="J384" s="277"/>
      <c r="K384" s="281">
        <f t="shared" si="650"/>
        <v>9502617</v>
      </c>
      <c r="L384" s="277"/>
      <c r="M384" s="277"/>
      <c r="N384" s="277"/>
      <c r="O384" s="277"/>
      <c r="P384" s="277">
        <v>9502617</v>
      </c>
      <c r="Q384" s="277"/>
      <c r="R384" s="281">
        <f t="shared" si="675"/>
        <v>9502617</v>
      </c>
      <c r="S384" s="277"/>
      <c r="T384" s="277"/>
      <c r="U384" s="277"/>
      <c r="V384" s="277"/>
      <c r="W384" s="277"/>
      <c r="X384" s="277"/>
      <c r="Y384" s="277"/>
      <c r="Z384" s="277"/>
      <c r="AA384" s="281">
        <f t="shared" si="674"/>
        <v>0</v>
      </c>
      <c r="AB384" s="403">
        <f t="shared" si="655"/>
        <v>9502617</v>
      </c>
      <c r="AC384" s="326">
        <f t="shared" si="673"/>
        <v>1</v>
      </c>
    </row>
    <row r="385" spans="2:29" ht="25.5" x14ac:dyDescent="0.2">
      <c r="B385" s="323" t="s">
        <v>1270</v>
      </c>
      <c r="C385" s="206" t="s">
        <v>1271</v>
      </c>
      <c r="D385" s="277"/>
      <c r="E385" s="325">
        <f>SUM('ADICIONES  2021'!C385:N385)</f>
        <v>32953848.239999998</v>
      </c>
      <c r="F385" s="277"/>
      <c r="G385" s="277"/>
      <c r="H385" s="277"/>
      <c r="I385" s="277"/>
      <c r="J385" s="277"/>
      <c r="K385" s="281">
        <f t="shared" si="650"/>
        <v>32953848.239999998</v>
      </c>
      <c r="L385" s="277"/>
      <c r="M385" s="277"/>
      <c r="N385" s="277"/>
      <c r="O385" s="277"/>
      <c r="P385" s="277">
        <v>32953848.239999998</v>
      </c>
      <c r="Q385" s="277"/>
      <c r="R385" s="281">
        <f t="shared" si="675"/>
        <v>32953848.239999998</v>
      </c>
      <c r="S385" s="277"/>
      <c r="T385" s="277"/>
      <c r="U385" s="277"/>
      <c r="V385" s="277"/>
      <c r="W385" s="277"/>
      <c r="X385" s="277"/>
      <c r="Y385" s="277"/>
      <c r="Z385" s="277"/>
      <c r="AA385" s="281">
        <f t="shared" si="663"/>
        <v>0</v>
      </c>
      <c r="AB385" s="403">
        <f t="shared" si="655"/>
        <v>32953848.239999998</v>
      </c>
      <c r="AC385" s="326">
        <f t="shared" si="673"/>
        <v>1</v>
      </c>
    </row>
    <row r="386" spans="2:29" ht="25.5" x14ac:dyDescent="0.2">
      <c r="B386" s="323" t="s">
        <v>1272</v>
      </c>
      <c r="C386" s="206" t="s">
        <v>1273</v>
      </c>
      <c r="D386" s="277"/>
      <c r="E386" s="325">
        <f>SUM('ADICIONES  2021'!C386:N386)</f>
        <v>69861319.959999993</v>
      </c>
      <c r="F386" s="277"/>
      <c r="G386" s="277"/>
      <c r="H386" s="277"/>
      <c r="I386" s="277"/>
      <c r="J386" s="277"/>
      <c r="K386" s="281">
        <f t="shared" si="650"/>
        <v>69861319.959999993</v>
      </c>
      <c r="L386" s="277"/>
      <c r="M386" s="277"/>
      <c r="N386" s="277"/>
      <c r="O386" s="277"/>
      <c r="P386" s="277">
        <v>69861319.959999993</v>
      </c>
      <c r="Q386" s="277"/>
      <c r="R386" s="281">
        <f t="shared" si="653"/>
        <v>69861319.959999993</v>
      </c>
      <c r="S386" s="277"/>
      <c r="T386" s="277"/>
      <c r="U386" s="277"/>
      <c r="V386" s="277"/>
      <c r="W386" s="277"/>
      <c r="X386" s="277"/>
      <c r="Y386" s="277"/>
      <c r="Z386" s="277"/>
      <c r="AA386" s="281">
        <f t="shared" si="663"/>
        <v>0</v>
      </c>
      <c r="AB386" s="403">
        <f t="shared" si="655"/>
        <v>69861319.959999993</v>
      </c>
      <c r="AC386" s="326">
        <f t="shared" si="673"/>
        <v>1</v>
      </c>
    </row>
    <row r="387" spans="2:29" ht="14.25" x14ac:dyDescent="0.2">
      <c r="B387" s="323" t="s">
        <v>1274</v>
      </c>
      <c r="C387" s="206" t="s">
        <v>1275</v>
      </c>
      <c r="D387" s="277"/>
      <c r="E387" s="325">
        <f>SUM('ADICIONES  2021'!C387:N387)</f>
        <v>14891617.699999999</v>
      </c>
      <c r="F387" s="277"/>
      <c r="G387" s="277"/>
      <c r="H387" s="277"/>
      <c r="I387" s="277"/>
      <c r="J387" s="277"/>
      <c r="K387" s="281">
        <f t="shared" si="650"/>
        <v>14891617.699999999</v>
      </c>
      <c r="L387" s="277"/>
      <c r="M387" s="277"/>
      <c r="N387" s="277"/>
      <c r="O387" s="277"/>
      <c r="P387" s="277">
        <v>14891617.699999999</v>
      </c>
      <c r="Q387" s="277"/>
      <c r="R387" s="281">
        <f t="shared" si="653"/>
        <v>14891617.699999999</v>
      </c>
      <c r="S387" s="277"/>
      <c r="T387" s="277"/>
      <c r="U387" s="277"/>
      <c r="V387" s="277"/>
      <c r="W387" s="277"/>
      <c r="X387" s="277"/>
      <c r="Y387" s="277"/>
      <c r="Z387" s="277"/>
      <c r="AA387" s="281">
        <f t="shared" si="663"/>
        <v>0</v>
      </c>
      <c r="AB387" s="403">
        <f t="shared" si="655"/>
        <v>14891617.699999999</v>
      </c>
      <c r="AC387" s="326">
        <f t="shared" si="673"/>
        <v>1</v>
      </c>
    </row>
    <row r="388" spans="2:29" ht="25.5" x14ac:dyDescent="0.2">
      <c r="B388" s="323" t="s">
        <v>1276</v>
      </c>
      <c r="C388" s="206" t="s">
        <v>1277</v>
      </c>
      <c r="D388" s="277"/>
      <c r="E388" s="325">
        <f>SUM('ADICIONES  2021'!C388:N388)</f>
        <v>5287463</v>
      </c>
      <c r="F388" s="277"/>
      <c r="G388" s="277"/>
      <c r="H388" s="277"/>
      <c r="I388" s="277"/>
      <c r="J388" s="277"/>
      <c r="K388" s="281">
        <f t="shared" si="650"/>
        <v>5287463</v>
      </c>
      <c r="L388" s="277"/>
      <c r="M388" s="277"/>
      <c r="N388" s="277"/>
      <c r="O388" s="277"/>
      <c r="P388" s="277">
        <v>5287463</v>
      </c>
      <c r="Q388" s="277"/>
      <c r="R388" s="281">
        <f t="shared" si="653"/>
        <v>5287463</v>
      </c>
      <c r="S388" s="277"/>
      <c r="T388" s="277"/>
      <c r="U388" s="277"/>
      <c r="V388" s="277"/>
      <c r="W388" s="277"/>
      <c r="X388" s="277"/>
      <c r="Y388" s="277"/>
      <c r="Z388" s="277"/>
      <c r="AA388" s="281">
        <f t="shared" si="663"/>
        <v>0</v>
      </c>
      <c r="AB388" s="403">
        <f t="shared" si="655"/>
        <v>5287463</v>
      </c>
      <c r="AC388" s="326">
        <f t="shared" si="673"/>
        <v>1</v>
      </c>
    </row>
    <row r="389" spans="2:29" ht="25.5" x14ac:dyDescent="0.2">
      <c r="B389" s="323" t="s">
        <v>1278</v>
      </c>
      <c r="C389" s="206" t="s">
        <v>1279</v>
      </c>
      <c r="D389" s="277"/>
      <c r="E389" s="325">
        <f>SUM('ADICIONES  2021'!C389:N389)</f>
        <v>853831345</v>
      </c>
      <c r="F389" s="277"/>
      <c r="G389" s="277"/>
      <c r="H389" s="277"/>
      <c r="I389" s="277"/>
      <c r="J389" s="277"/>
      <c r="K389" s="281">
        <f t="shared" si="650"/>
        <v>853831345</v>
      </c>
      <c r="L389" s="277"/>
      <c r="M389" s="277"/>
      <c r="N389" s="277"/>
      <c r="O389" s="277"/>
      <c r="P389" s="277">
        <v>853831345</v>
      </c>
      <c r="Q389" s="277"/>
      <c r="R389" s="281">
        <f t="shared" si="653"/>
        <v>853831345</v>
      </c>
      <c r="S389" s="277"/>
      <c r="T389" s="277"/>
      <c r="U389" s="277"/>
      <c r="V389" s="277"/>
      <c r="W389" s="277"/>
      <c r="X389" s="277"/>
      <c r="Y389" s="277"/>
      <c r="Z389" s="277"/>
      <c r="AA389" s="281">
        <f t="shared" si="663"/>
        <v>0</v>
      </c>
      <c r="AB389" s="403">
        <f t="shared" si="655"/>
        <v>853831345</v>
      </c>
      <c r="AC389" s="326">
        <f t="shared" si="673"/>
        <v>1</v>
      </c>
    </row>
    <row r="390" spans="2:29" ht="38.25" x14ac:dyDescent="0.2">
      <c r="B390" s="323" t="s">
        <v>1280</v>
      </c>
      <c r="C390" s="206" t="s">
        <v>1281</v>
      </c>
      <c r="D390" s="277"/>
      <c r="E390" s="325">
        <f>SUM('ADICIONES  2021'!C390:N390)</f>
        <v>20854350.050000001</v>
      </c>
      <c r="F390" s="277"/>
      <c r="G390" s="277"/>
      <c r="H390" s="277"/>
      <c r="I390" s="277"/>
      <c r="J390" s="277"/>
      <c r="K390" s="281">
        <f t="shared" si="650"/>
        <v>20854350.050000001</v>
      </c>
      <c r="L390" s="277"/>
      <c r="M390" s="277"/>
      <c r="N390" s="277"/>
      <c r="O390" s="277"/>
      <c r="P390" s="277">
        <v>20854350.050000001</v>
      </c>
      <c r="Q390" s="277"/>
      <c r="R390" s="281">
        <f t="shared" si="653"/>
        <v>20854350.050000001</v>
      </c>
      <c r="S390" s="277"/>
      <c r="T390" s="277"/>
      <c r="U390" s="277"/>
      <c r="V390" s="277"/>
      <c r="W390" s="277"/>
      <c r="X390" s="277"/>
      <c r="Y390" s="277"/>
      <c r="Z390" s="277"/>
      <c r="AA390" s="281">
        <f t="shared" si="663"/>
        <v>0</v>
      </c>
      <c r="AB390" s="403">
        <f t="shared" si="655"/>
        <v>20854350.050000001</v>
      </c>
      <c r="AC390" s="326">
        <f t="shared" si="673"/>
        <v>1</v>
      </c>
    </row>
    <row r="391" spans="2:29" ht="25.5" x14ac:dyDescent="0.2">
      <c r="B391" s="323" t="s">
        <v>1282</v>
      </c>
      <c r="C391" s="206" t="s">
        <v>1283</v>
      </c>
      <c r="D391" s="277"/>
      <c r="E391" s="325">
        <f>SUM('ADICIONES  2021'!C391:N391)</f>
        <v>312401632.33999997</v>
      </c>
      <c r="F391" s="277"/>
      <c r="G391" s="277"/>
      <c r="H391" s="277"/>
      <c r="I391" s="277"/>
      <c r="J391" s="277"/>
      <c r="K391" s="281">
        <f t="shared" si="650"/>
        <v>312401632.33999997</v>
      </c>
      <c r="L391" s="277"/>
      <c r="M391" s="277"/>
      <c r="N391" s="277"/>
      <c r="O391" s="277"/>
      <c r="P391" s="277">
        <v>312401632.33999997</v>
      </c>
      <c r="Q391" s="277"/>
      <c r="R391" s="281">
        <f t="shared" si="653"/>
        <v>312401632.33999997</v>
      </c>
      <c r="S391" s="277"/>
      <c r="T391" s="277"/>
      <c r="U391" s="277"/>
      <c r="V391" s="277"/>
      <c r="W391" s="277"/>
      <c r="X391" s="277"/>
      <c r="Y391" s="277"/>
      <c r="Z391" s="277"/>
      <c r="AA391" s="281">
        <f t="shared" si="663"/>
        <v>0</v>
      </c>
      <c r="AB391" s="403">
        <f t="shared" si="655"/>
        <v>312401632.33999997</v>
      </c>
      <c r="AC391" s="326">
        <f t="shared" si="673"/>
        <v>1</v>
      </c>
    </row>
    <row r="392" spans="2:29" ht="14.25" x14ac:dyDescent="0.2">
      <c r="B392" s="323" t="s">
        <v>1284</v>
      </c>
      <c r="C392" s="206" t="s">
        <v>1285</v>
      </c>
      <c r="D392" s="277"/>
      <c r="E392" s="325">
        <f>SUM('ADICIONES  2021'!C392:N392)</f>
        <v>415035594.76999998</v>
      </c>
      <c r="F392" s="277"/>
      <c r="G392" s="277"/>
      <c r="H392" s="277"/>
      <c r="I392" s="277"/>
      <c r="J392" s="277"/>
      <c r="K392" s="281">
        <f t="shared" si="650"/>
        <v>415035594.76999998</v>
      </c>
      <c r="L392" s="277"/>
      <c r="M392" s="277"/>
      <c r="N392" s="277"/>
      <c r="O392" s="277"/>
      <c r="P392" s="277">
        <v>415035594.76999998</v>
      </c>
      <c r="Q392" s="277"/>
      <c r="R392" s="281">
        <f t="shared" si="653"/>
        <v>415035594.76999998</v>
      </c>
      <c r="S392" s="277"/>
      <c r="T392" s="277"/>
      <c r="U392" s="277"/>
      <c r="V392" s="277"/>
      <c r="W392" s="277"/>
      <c r="X392" s="277"/>
      <c r="Y392" s="277"/>
      <c r="Z392" s="277"/>
      <c r="AA392" s="281">
        <f t="shared" si="663"/>
        <v>0</v>
      </c>
      <c r="AB392" s="403">
        <f t="shared" si="655"/>
        <v>415035594.76999998</v>
      </c>
      <c r="AC392" s="326">
        <f t="shared" si="673"/>
        <v>1</v>
      </c>
    </row>
    <row r="393" spans="2:29" ht="25.5" x14ac:dyDescent="0.2">
      <c r="B393" s="323" t="s">
        <v>1286</v>
      </c>
      <c r="C393" s="206" t="s">
        <v>1287</v>
      </c>
      <c r="D393" s="277"/>
      <c r="E393" s="325">
        <f>SUM('ADICIONES  2021'!C393:N393)</f>
        <v>12023107.65</v>
      </c>
      <c r="F393" s="277"/>
      <c r="G393" s="277"/>
      <c r="H393" s="277"/>
      <c r="I393" s="277"/>
      <c r="J393" s="277"/>
      <c r="K393" s="281">
        <f t="shared" si="650"/>
        <v>12023107.65</v>
      </c>
      <c r="L393" s="277"/>
      <c r="M393" s="277"/>
      <c r="N393" s="277"/>
      <c r="O393" s="277"/>
      <c r="P393" s="277">
        <v>12023107.65</v>
      </c>
      <c r="Q393" s="277"/>
      <c r="R393" s="281">
        <f t="shared" si="653"/>
        <v>12023107.65</v>
      </c>
      <c r="S393" s="277"/>
      <c r="T393" s="277"/>
      <c r="U393" s="277"/>
      <c r="V393" s="277"/>
      <c r="W393" s="277"/>
      <c r="X393" s="277"/>
      <c r="Y393" s="277"/>
      <c r="Z393" s="277"/>
      <c r="AA393" s="281">
        <f t="shared" si="663"/>
        <v>0</v>
      </c>
      <c r="AB393" s="403">
        <f t="shared" si="655"/>
        <v>12023107.65</v>
      </c>
      <c r="AC393" s="326">
        <f t="shared" si="673"/>
        <v>1</v>
      </c>
    </row>
    <row r="394" spans="2:29" ht="14.25" x14ac:dyDescent="0.2">
      <c r="B394" s="323" t="s">
        <v>1288</v>
      </c>
      <c r="C394" s="206" t="s">
        <v>1289</v>
      </c>
      <c r="D394" s="277"/>
      <c r="E394" s="325">
        <f>SUM('ADICIONES  2021'!C394:N394)</f>
        <v>72840664.370000005</v>
      </c>
      <c r="F394" s="277"/>
      <c r="G394" s="277"/>
      <c r="H394" s="277"/>
      <c r="I394" s="277"/>
      <c r="J394" s="277"/>
      <c r="K394" s="281">
        <f t="shared" si="650"/>
        <v>72840664.370000005</v>
      </c>
      <c r="L394" s="277"/>
      <c r="M394" s="277"/>
      <c r="N394" s="277"/>
      <c r="O394" s="277"/>
      <c r="P394" s="277">
        <v>72840664.370000005</v>
      </c>
      <c r="Q394" s="277"/>
      <c r="R394" s="281">
        <f t="shared" si="653"/>
        <v>72840664.370000005</v>
      </c>
      <c r="S394" s="277"/>
      <c r="T394" s="277"/>
      <c r="U394" s="277"/>
      <c r="V394" s="277"/>
      <c r="W394" s="277"/>
      <c r="X394" s="277"/>
      <c r="Y394" s="277"/>
      <c r="Z394" s="277"/>
      <c r="AA394" s="281">
        <f t="shared" si="663"/>
        <v>0</v>
      </c>
      <c r="AB394" s="403">
        <f t="shared" si="655"/>
        <v>72840664.370000005</v>
      </c>
      <c r="AC394" s="326">
        <f t="shared" si="673"/>
        <v>1</v>
      </c>
    </row>
    <row r="395" spans="2:29" ht="25.5" x14ac:dyDescent="0.2">
      <c r="B395" s="323" t="s">
        <v>1290</v>
      </c>
      <c r="C395" s="206" t="s">
        <v>1291</v>
      </c>
      <c r="D395" s="277"/>
      <c r="E395" s="325">
        <f>SUM('ADICIONES  2021'!C395:N395)</f>
        <v>173605723</v>
      </c>
      <c r="F395" s="277"/>
      <c r="G395" s="277"/>
      <c r="H395" s="277"/>
      <c r="I395" s="277"/>
      <c r="J395" s="277"/>
      <c r="K395" s="281">
        <f t="shared" si="650"/>
        <v>173605723</v>
      </c>
      <c r="L395" s="277"/>
      <c r="M395" s="277"/>
      <c r="N395" s="277"/>
      <c r="O395" s="277"/>
      <c r="P395" s="277">
        <v>173605723</v>
      </c>
      <c r="Q395" s="277"/>
      <c r="R395" s="281">
        <f t="shared" si="653"/>
        <v>173605723</v>
      </c>
      <c r="S395" s="277"/>
      <c r="T395" s="277"/>
      <c r="U395" s="277"/>
      <c r="V395" s="277"/>
      <c r="W395" s="277"/>
      <c r="X395" s="277"/>
      <c r="Y395" s="277"/>
      <c r="Z395" s="277"/>
      <c r="AA395" s="281">
        <f t="shared" si="663"/>
        <v>0</v>
      </c>
      <c r="AB395" s="403">
        <f t="shared" si="655"/>
        <v>173605723</v>
      </c>
      <c r="AC395" s="326">
        <f t="shared" si="673"/>
        <v>1</v>
      </c>
    </row>
    <row r="396" spans="2:29" ht="25.5" x14ac:dyDescent="0.2">
      <c r="B396" s="323" t="s">
        <v>1292</v>
      </c>
      <c r="C396" s="206" t="s">
        <v>1293</v>
      </c>
      <c r="D396" s="277"/>
      <c r="E396" s="325">
        <f>SUM('ADICIONES  2021'!C396:N396)</f>
        <v>462785030.63</v>
      </c>
      <c r="F396" s="277"/>
      <c r="G396" s="277"/>
      <c r="H396" s="277"/>
      <c r="I396" s="277"/>
      <c r="J396" s="277"/>
      <c r="K396" s="281">
        <f t="shared" si="650"/>
        <v>462785030.63</v>
      </c>
      <c r="L396" s="277"/>
      <c r="M396" s="277"/>
      <c r="N396" s="277"/>
      <c r="O396" s="277"/>
      <c r="P396" s="277">
        <v>462785030.63</v>
      </c>
      <c r="Q396" s="277"/>
      <c r="R396" s="281">
        <f t="shared" si="653"/>
        <v>462785030.63</v>
      </c>
      <c r="S396" s="277"/>
      <c r="T396" s="277"/>
      <c r="U396" s="277"/>
      <c r="V396" s="277"/>
      <c r="W396" s="277"/>
      <c r="X396" s="277"/>
      <c r="Y396" s="277"/>
      <c r="Z396" s="277"/>
      <c r="AA396" s="281">
        <f t="shared" si="663"/>
        <v>0</v>
      </c>
      <c r="AB396" s="403">
        <f t="shared" si="655"/>
        <v>462785030.63</v>
      </c>
      <c r="AC396" s="326">
        <f t="shared" si="673"/>
        <v>1</v>
      </c>
    </row>
    <row r="397" spans="2:29" ht="14.25" x14ac:dyDescent="0.2">
      <c r="B397" s="323" t="s">
        <v>1294</v>
      </c>
      <c r="C397" s="206" t="s">
        <v>1295</v>
      </c>
      <c r="D397" s="277"/>
      <c r="E397" s="325">
        <f>SUM('ADICIONES  2021'!C397:N397)</f>
        <v>47055319</v>
      </c>
      <c r="F397" s="277"/>
      <c r="G397" s="277"/>
      <c r="H397" s="277"/>
      <c r="I397" s="277"/>
      <c r="J397" s="277"/>
      <c r="K397" s="281">
        <f t="shared" si="650"/>
        <v>47055319</v>
      </c>
      <c r="L397" s="277"/>
      <c r="M397" s="277"/>
      <c r="N397" s="277"/>
      <c r="O397" s="277"/>
      <c r="P397" s="277">
        <v>47055319</v>
      </c>
      <c r="Q397" s="277"/>
      <c r="R397" s="281">
        <f t="shared" si="653"/>
        <v>47055319</v>
      </c>
      <c r="S397" s="277"/>
      <c r="T397" s="277"/>
      <c r="U397" s="277"/>
      <c r="V397" s="277"/>
      <c r="W397" s="277"/>
      <c r="X397" s="277"/>
      <c r="Y397" s="277"/>
      <c r="Z397" s="277"/>
      <c r="AA397" s="281">
        <f t="shared" si="663"/>
        <v>0</v>
      </c>
      <c r="AB397" s="403">
        <f t="shared" si="655"/>
        <v>47055319</v>
      </c>
      <c r="AC397" s="326">
        <f t="shared" si="673"/>
        <v>1</v>
      </c>
    </row>
    <row r="398" spans="2:29" ht="14.25" x14ac:dyDescent="0.2">
      <c r="B398" s="323" t="s">
        <v>1296</v>
      </c>
      <c r="C398" s="206" t="s">
        <v>1297</v>
      </c>
      <c r="D398" s="277"/>
      <c r="E398" s="325">
        <f>SUM('ADICIONES  2021'!C398:N398)</f>
        <v>130075777</v>
      </c>
      <c r="F398" s="277"/>
      <c r="G398" s="277"/>
      <c r="H398" s="277"/>
      <c r="I398" s="277"/>
      <c r="J398" s="277"/>
      <c r="K398" s="281">
        <f t="shared" si="650"/>
        <v>130075777</v>
      </c>
      <c r="L398" s="277"/>
      <c r="M398" s="277"/>
      <c r="N398" s="277"/>
      <c r="O398" s="277"/>
      <c r="P398" s="277">
        <v>130075777</v>
      </c>
      <c r="Q398" s="277"/>
      <c r="R398" s="281">
        <f t="shared" si="653"/>
        <v>130075777</v>
      </c>
      <c r="S398" s="277"/>
      <c r="T398" s="277"/>
      <c r="U398" s="277"/>
      <c r="V398" s="277"/>
      <c r="W398" s="277"/>
      <c r="X398" s="277"/>
      <c r="Y398" s="277"/>
      <c r="Z398" s="277"/>
      <c r="AA398" s="281">
        <f t="shared" si="663"/>
        <v>0</v>
      </c>
      <c r="AB398" s="403">
        <f t="shared" si="655"/>
        <v>130075777</v>
      </c>
      <c r="AC398" s="326">
        <f t="shared" si="673"/>
        <v>1</v>
      </c>
    </row>
    <row r="399" spans="2:29" ht="14.25" x14ac:dyDescent="0.2">
      <c r="B399" s="323" t="s">
        <v>1298</v>
      </c>
      <c r="C399" s="206" t="s">
        <v>1299</v>
      </c>
      <c r="D399" s="277"/>
      <c r="E399" s="325">
        <f>SUM('ADICIONES  2021'!C399:N399)</f>
        <v>268763643.69999999</v>
      </c>
      <c r="F399" s="277"/>
      <c r="G399" s="277"/>
      <c r="H399" s="277"/>
      <c r="I399" s="277"/>
      <c r="J399" s="277"/>
      <c r="K399" s="281">
        <f t="shared" si="650"/>
        <v>268763643.69999999</v>
      </c>
      <c r="L399" s="277"/>
      <c r="M399" s="277"/>
      <c r="N399" s="277"/>
      <c r="O399" s="277"/>
      <c r="P399" s="277">
        <v>268763643.69999999</v>
      </c>
      <c r="Q399" s="277"/>
      <c r="R399" s="281">
        <f t="shared" si="653"/>
        <v>268763643.69999999</v>
      </c>
      <c r="S399" s="277"/>
      <c r="T399" s="277"/>
      <c r="U399" s="277"/>
      <c r="V399" s="277"/>
      <c r="W399" s="277"/>
      <c r="X399" s="277"/>
      <c r="Y399" s="277"/>
      <c r="Z399" s="277"/>
      <c r="AA399" s="281">
        <f t="shared" si="663"/>
        <v>0</v>
      </c>
      <c r="AB399" s="403">
        <f t="shared" si="655"/>
        <v>268763643.69999999</v>
      </c>
      <c r="AC399" s="326">
        <f t="shared" si="673"/>
        <v>1</v>
      </c>
    </row>
    <row r="400" spans="2:29" ht="25.5" x14ac:dyDescent="0.2">
      <c r="B400" s="323" t="s">
        <v>1300</v>
      </c>
      <c r="C400" s="206" t="s">
        <v>1301</v>
      </c>
      <c r="D400" s="277"/>
      <c r="E400" s="325">
        <f>SUM('ADICIONES  2021'!C400:N400)</f>
        <v>40305269</v>
      </c>
      <c r="F400" s="277"/>
      <c r="G400" s="277"/>
      <c r="H400" s="277"/>
      <c r="I400" s="277"/>
      <c r="J400" s="277"/>
      <c r="K400" s="281">
        <f t="shared" si="650"/>
        <v>40305269</v>
      </c>
      <c r="L400" s="277"/>
      <c r="M400" s="277"/>
      <c r="N400" s="277"/>
      <c r="O400" s="277"/>
      <c r="P400" s="277">
        <v>40305269</v>
      </c>
      <c r="Q400" s="277"/>
      <c r="R400" s="281">
        <f t="shared" si="653"/>
        <v>40305269</v>
      </c>
      <c r="S400" s="277"/>
      <c r="T400" s="277"/>
      <c r="U400" s="277"/>
      <c r="V400" s="277"/>
      <c r="W400" s="277"/>
      <c r="X400" s="277"/>
      <c r="Y400" s="277"/>
      <c r="Z400" s="277"/>
      <c r="AA400" s="281">
        <f t="shared" si="663"/>
        <v>0</v>
      </c>
      <c r="AB400" s="403">
        <f t="shared" si="655"/>
        <v>40305269</v>
      </c>
      <c r="AC400" s="326">
        <f t="shared" si="673"/>
        <v>1</v>
      </c>
    </row>
    <row r="401" spans="2:29" ht="25.5" x14ac:dyDescent="0.2">
      <c r="B401" s="323" t="s">
        <v>1302</v>
      </c>
      <c r="C401" s="206" t="s">
        <v>1303</v>
      </c>
      <c r="D401" s="277"/>
      <c r="E401" s="325">
        <f>SUM('ADICIONES  2021'!C401:N401)</f>
        <v>58229838</v>
      </c>
      <c r="F401" s="277"/>
      <c r="G401" s="277"/>
      <c r="H401" s="277"/>
      <c r="I401" s="277"/>
      <c r="J401" s="277"/>
      <c r="K401" s="281">
        <f t="shared" si="650"/>
        <v>58229838</v>
      </c>
      <c r="L401" s="277"/>
      <c r="M401" s="277"/>
      <c r="N401" s="277"/>
      <c r="O401" s="277"/>
      <c r="P401" s="277">
        <v>58229838</v>
      </c>
      <c r="Q401" s="277"/>
      <c r="R401" s="281">
        <f t="shared" si="653"/>
        <v>58229838</v>
      </c>
      <c r="S401" s="277"/>
      <c r="T401" s="277"/>
      <c r="U401" s="277"/>
      <c r="V401" s="277"/>
      <c r="W401" s="277"/>
      <c r="X401" s="277"/>
      <c r="Y401" s="277"/>
      <c r="Z401" s="277"/>
      <c r="AA401" s="281">
        <f t="shared" si="663"/>
        <v>0</v>
      </c>
      <c r="AB401" s="403">
        <f t="shared" si="655"/>
        <v>58229838</v>
      </c>
      <c r="AC401" s="326">
        <f t="shared" si="673"/>
        <v>1</v>
      </c>
    </row>
    <row r="402" spans="2:29" ht="25.5" x14ac:dyDescent="0.2">
      <c r="B402" s="323" t="s">
        <v>1304</v>
      </c>
      <c r="C402" s="206" t="s">
        <v>1305</v>
      </c>
      <c r="D402" s="277"/>
      <c r="E402" s="325">
        <f>SUM('ADICIONES  2021'!C402:N402)</f>
        <v>444246350.97000003</v>
      </c>
      <c r="F402" s="277"/>
      <c r="G402" s="277"/>
      <c r="H402" s="277"/>
      <c r="I402" s="277"/>
      <c r="J402" s="277"/>
      <c r="K402" s="281">
        <f t="shared" si="650"/>
        <v>444246350.97000003</v>
      </c>
      <c r="L402" s="277"/>
      <c r="M402" s="277"/>
      <c r="N402" s="277"/>
      <c r="O402" s="277"/>
      <c r="P402" s="277">
        <v>444246350.97000003</v>
      </c>
      <c r="Q402" s="277"/>
      <c r="R402" s="281">
        <f t="shared" si="653"/>
        <v>444246350.97000003</v>
      </c>
      <c r="S402" s="277"/>
      <c r="T402" s="277"/>
      <c r="U402" s="277"/>
      <c r="V402" s="277"/>
      <c r="W402" s="277"/>
      <c r="X402" s="277"/>
      <c r="Y402" s="277"/>
      <c r="Z402" s="277"/>
      <c r="AA402" s="281">
        <f t="shared" si="663"/>
        <v>0</v>
      </c>
      <c r="AB402" s="403">
        <f t="shared" si="655"/>
        <v>444246350.97000003</v>
      </c>
      <c r="AC402" s="326">
        <f t="shared" si="673"/>
        <v>1</v>
      </c>
    </row>
    <row r="403" spans="2:29" ht="14.25" x14ac:dyDescent="0.2">
      <c r="B403" s="323" t="s">
        <v>1306</v>
      </c>
      <c r="C403" s="206" t="s">
        <v>1307</v>
      </c>
      <c r="D403" s="277"/>
      <c r="E403" s="325">
        <f>SUM('ADICIONES  2021'!C403:N403)</f>
        <v>32415997.789999999</v>
      </c>
      <c r="F403" s="277"/>
      <c r="G403" s="277"/>
      <c r="H403" s="277"/>
      <c r="I403" s="277"/>
      <c r="J403" s="277"/>
      <c r="K403" s="281">
        <f t="shared" si="650"/>
        <v>32415997.789999999</v>
      </c>
      <c r="L403" s="277"/>
      <c r="M403" s="277"/>
      <c r="N403" s="277"/>
      <c r="O403" s="277"/>
      <c r="P403" s="277">
        <v>32415997.789999999</v>
      </c>
      <c r="Q403" s="277"/>
      <c r="R403" s="281">
        <f t="shared" si="653"/>
        <v>32415997.789999999</v>
      </c>
      <c r="S403" s="277"/>
      <c r="T403" s="277"/>
      <c r="U403" s="277"/>
      <c r="V403" s="277"/>
      <c r="W403" s="277"/>
      <c r="X403" s="277"/>
      <c r="Y403" s="277"/>
      <c r="Z403" s="277"/>
      <c r="AA403" s="281">
        <f t="shared" si="663"/>
        <v>0</v>
      </c>
      <c r="AB403" s="403">
        <f t="shared" si="655"/>
        <v>32415997.789999999</v>
      </c>
      <c r="AC403" s="326">
        <f t="shared" si="673"/>
        <v>1</v>
      </c>
    </row>
    <row r="404" spans="2:29" ht="14.25" x14ac:dyDescent="0.2">
      <c r="B404" s="323" t="s">
        <v>1308</v>
      </c>
      <c r="C404" s="206" t="s">
        <v>1309</v>
      </c>
      <c r="D404" s="277"/>
      <c r="E404" s="325">
        <f>SUM('ADICIONES  2021'!C404:N404)</f>
        <v>44617201.549999997</v>
      </c>
      <c r="F404" s="277"/>
      <c r="G404" s="277"/>
      <c r="H404" s="277"/>
      <c r="I404" s="277"/>
      <c r="J404" s="277"/>
      <c r="K404" s="281">
        <f t="shared" si="650"/>
        <v>44617201.549999997</v>
      </c>
      <c r="L404" s="277"/>
      <c r="M404" s="277"/>
      <c r="N404" s="277"/>
      <c r="O404" s="277"/>
      <c r="P404" s="277">
        <v>44617201.549999997</v>
      </c>
      <c r="Q404" s="277"/>
      <c r="R404" s="281">
        <f t="shared" si="653"/>
        <v>44617201.549999997</v>
      </c>
      <c r="S404" s="277"/>
      <c r="T404" s="277"/>
      <c r="U404" s="277"/>
      <c r="V404" s="277"/>
      <c r="W404" s="277"/>
      <c r="X404" s="277"/>
      <c r="Y404" s="277"/>
      <c r="Z404" s="277"/>
      <c r="AA404" s="281">
        <f t="shared" si="663"/>
        <v>0</v>
      </c>
      <c r="AB404" s="403">
        <f t="shared" si="655"/>
        <v>44617201.549999997</v>
      </c>
      <c r="AC404" s="326">
        <f t="shared" si="673"/>
        <v>1</v>
      </c>
    </row>
    <row r="405" spans="2:29" ht="25.5" x14ac:dyDescent="0.2">
      <c r="B405" s="323" t="s">
        <v>1310</v>
      </c>
      <c r="C405" s="206" t="s">
        <v>1311</v>
      </c>
      <c r="D405" s="277"/>
      <c r="E405" s="325">
        <f>SUM('ADICIONES  2021'!C405:N405)</f>
        <v>36269653.659999996</v>
      </c>
      <c r="F405" s="277"/>
      <c r="G405" s="277"/>
      <c r="H405" s="277"/>
      <c r="I405" s="277"/>
      <c r="J405" s="277"/>
      <c r="K405" s="281">
        <f t="shared" si="650"/>
        <v>36269653.659999996</v>
      </c>
      <c r="L405" s="277"/>
      <c r="M405" s="277"/>
      <c r="N405" s="277"/>
      <c r="O405" s="277"/>
      <c r="P405" s="277">
        <v>36269653.659999996</v>
      </c>
      <c r="Q405" s="277"/>
      <c r="R405" s="281">
        <f t="shared" si="653"/>
        <v>36269653.659999996</v>
      </c>
      <c r="S405" s="277"/>
      <c r="T405" s="277"/>
      <c r="U405" s="277"/>
      <c r="V405" s="277"/>
      <c r="W405" s="277"/>
      <c r="X405" s="277"/>
      <c r="Y405" s="277"/>
      <c r="Z405" s="277"/>
      <c r="AA405" s="281">
        <f t="shared" si="663"/>
        <v>0</v>
      </c>
      <c r="AB405" s="403">
        <f t="shared" si="655"/>
        <v>36269653.659999996</v>
      </c>
      <c r="AC405" s="326">
        <f t="shared" si="673"/>
        <v>1</v>
      </c>
    </row>
    <row r="406" spans="2:29" ht="25.5" x14ac:dyDescent="0.2">
      <c r="B406" s="323" t="s">
        <v>1312</v>
      </c>
      <c r="C406" s="206" t="s">
        <v>1313</v>
      </c>
      <c r="D406" s="277"/>
      <c r="E406" s="325">
        <f>SUM('ADICIONES  2021'!C406:N406)</f>
        <v>14895643.09</v>
      </c>
      <c r="F406" s="277"/>
      <c r="G406" s="277"/>
      <c r="H406" s="277"/>
      <c r="I406" s="277"/>
      <c r="J406" s="277"/>
      <c r="K406" s="281">
        <f t="shared" si="650"/>
        <v>14895643.09</v>
      </c>
      <c r="L406" s="277"/>
      <c r="M406" s="277"/>
      <c r="N406" s="277"/>
      <c r="O406" s="277"/>
      <c r="P406" s="277">
        <v>14895643.09</v>
      </c>
      <c r="Q406" s="277"/>
      <c r="R406" s="281">
        <f t="shared" si="653"/>
        <v>14895643.09</v>
      </c>
      <c r="S406" s="277"/>
      <c r="T406" s="277"/>
      <c r="U406" s="277"/>
      <c r="V406" s="277"/>
      <c r="W406" s="277"/>
      <c r="X406" s="277"/>
      <c r="Y406" s="277"/>
      <c r="Z406" s="277"/>
      <c r="AA406" s="281">
        <f t="shared" si="663"/>
        <v>0</v>
      </c>
      <c r="AB406" s="403">
        <f t="shared" si="655"/>
        <v>14895643.09</v>
      </c>
      <c r="AC406" s="326">
        <f t="shared" si="673"/>
        <v>1</v>
      </c>
    </row>
    <row r="407" spans="2:29" ht="25.5" x14ac:dyDescent="0.2">
      <c r="B407" s="323" t="s">
        <v>1312</v>
      </c>
      <c r="C407" s="206" t="s">
        <v>1313</v>
      </c>
      <c r="D407" s="277"/>
      <c r="E407" s="325">
        <f>SUM('ADICIONES  2021'!C407:N407)</f>
        <v>3105.03</v>
      </c>
      <c r="F407" s="277"/>
      <c r="G407" s="277"/>
      <c r="H407" s="277"/>
      <c r="I407" s="277"/>
      <c r="J407" s="277"/>
      <c r="K407" s="281">
        <f t="shared" si="650"/>
        <v>3105.03</v>
      </c>
      <c r="L407" s="277"/>
      <c r="M407" s="277"/>
      <c r="N407" s="277"/>
      <c r="O407" s="277"/>
      <c r="P407" s="277"/>
      <c r="Q407" s="277"/>
      <c r="R407" s="281">
        <f t="shared" ref="R407:R410" si="676">SUM(L407:Q407)</f>
        <v>0</v>
      </c>
      <c r="S407" s="277"/>
      <c r="T407" s="277"/>
      <c r="U407" s="277"/>
      <c r="V407" s="277"/>
      <c r="W407" s="277">
        <v>3105.03</v>
      </c>
      <c r="X407" s="277"/>
      <c r="Y407" s="277"/>
      <c r="Z407" s="277"/>
      <c r="AA407" s="281">
        <f t="shared" si="663"/>
        <v>3105.03</v>
      </c>
      <c r="AB407" s="403">
        <f t="shared" si="655"/>
        <v>3105.03</v>
      </c>
      <c r="AC407" s="326">
        <f t="shared" si="673"/>
        <v>1</v>
      </c>
    </row>
    <row r="408" spans="2:29" ht="25.5" x14ac:dyDescent="0.2">
      <c r="B408" s="323" t="s">
        <v>1314</v>
      </c>
      <c r="C408" s="206" t="s">
        <v>1315</v>
      </c>
      <c r="D408" s="277"/>
      <c r="E408" s="325">
        <f>SUM('ADICIONES  2021'!C408:N408)</f>
        <v>25901939.120000001</v>
      </c>
      <c r="F408" s="277"/>
      <c r="G408" s="277"/>
      <c r="H408" s="277"/>
      <c r="I408" s="277"/>
      <c r="J408" s="277"/>
      <c r="K408" s="281">
        <f t="shared" si="650"/>
        <v>25901939.120000001</v>
      </c>
      <c r="L408" s="277"/>
      <c r="M408" s="277"/>
      <c r="N408" s="277"/>
      <c r="O408" s="277"/>
      <c r="P408" s="277">
        <v>25901939.120000001</v>
      </c>
      <c r="Q408" s="277"/>
      <c r="R408" s="281">
        <f t="shared" si="676"/>
        <v>25901939.120000001</v>
      </c>
      <c r="S408" s="277"/>
      <c r="T408" s="277"/>
      <c r="U408" s="277">
        <v>60752</v>
      </c>
      <c r="V408" s="277"/>
      <c r="W408" s="277"/>
      <c r="X408" s="277">
        <v>-60752</v>
      </c>
      <c r="Y408" s="277"/>
      <c r="Z408" s="277"/>
      <c r="AA408" s="281">
        <f t="shared" si="663"/>
        <v>0</v>
      </c>
      <c r="AB408" s="403">
        <f t="shared" si="655"/>
        <v>25901939.120000001</v>
      </c>
      <c r="AC408" s="326">
        <f t="shared" si="673"/>
        <v>1</v>
      </c>
    </row>
    <row r="409" spans="2:29" ht="25.5" x14ac:dyDescent="0.2">
      <c r="B409" s="323" t="s">
        <v>1314</v>
      </c>
      <c r="C409" s="206" t="s">
        <v>1315</v>
      </c>
      <c r="D409" s="277"/>
      <c r="E409" s="325">
        <f>SUM('ADICIONES  2021'!C409:N409)</f>
        <v>1253.08</v>
      </c>
      <c r="F409" s="277"/>
      <c r="G409" s="277"/>
      <c r="H409" s="277"/>
      <c r="I409" s="277"/>
      <c r="J409" s="277"/>
      <c r="K409" s="281">
        <f t="shared" si="650"/>
        <v>1253.08</v>
      </c>
      <c r="L409" s="277"/>
      <c r="M409" s="277"/>
      <c r="N409" s="277"/>
      <c r="O409" s="277"/>
      <c r="P409" s="277"/>
      <c r="Q409" s="277"/>
      <c r="R409" s="281">
        <f t="shared" si="676"/>
        <v>0</v>
      </c>
      <c r="S409" s="277"/>
      <c r="T409" s="277"/>
      <c r="U409" s="277"/>
      <c r="V409" s="277"/>
      <c r="W409" s="277">
        <v>1253.08</v>
      </c>
      <c r="X409" s="277"/>
      <c r="Y409" s="277"/>
      <c r="Z409" s="277"/>
      <c r="AA409" s="281">
        <f t="shared" si="663"/>
        <v>1253.08</v>
      </c>
      <c r="AB409" s="403">
        <f t="shared" si="655"/>
        <v>1253.08</v>
      </c>
      <c r="AC409" s="326">
        <f t="shared" si="673"/>
        <v>1</v>
      </c>
    </row>
    <row r="410" spans="2:29" ht="25.5" x14ac:dyDescent="0.2">
      <c r="B410" s="323" t="s">
        <v>1316</v>
      </c>
      <c r="C410" s="206" t="s">
        <v>1317</v>
      </c>
      <c r="D410" s="277"/>
      <c r="E410" s="325">
        <f>SUM('ADICIONES  2021'!C410:N410)</f>
        <v>18769435.469999999</v>
      </c>
      <c r="F410" s="277"/>
      <c r="G410" s="277"/>
      <c r="H410" s="277"/>
      <c r="I410" s="277"/>
      <c r="J410" s="277"/>
      <c r="K410" s="281">
        <f t="shared" si="650"/>
        <v>18769435.469999999</v>
      </c>
      <c r="L410" s="277"/>
      <c r="M410" s="277"/>
      <c r="N410" s="277"/>
      <c r="O410" s="277"/>
      <c r="P410" s="277">
        <v>18769435.469999999</v>
      </c>
      <c r="Q410" s="277"/>
      <c r="R410" s="281">
        <f t="shared" si="676"/>
        <v>18769435.469999999</v>
      </c>
      <c r="S410" s="277"/>
      <c r="T410" s="277"/>
      <c r="U410" s="277"/>
      <c r="V410" s="277"/>
      <c r="W410" s="277"/>
      <c r="X410" s="277"/>
      <c r="Y410" s="277"/>
      <c r="Z410" s="277"/>
      <c r="AA410" s="281">
        <f t="shared" si="663"/>
        <v>0</v>
      </c>
      <c r="AB410" s="403">
        <f t="shared" si="655"/>
        <v>18769435.469999999</v>
      </c>
      <c r="AC410" s="326">
        <f t="shared" si="673"/>
        <v>1</v>
      </c>
    </row>
    <row r="411" spans="2:29" ht="25.5" x14ac:dyDescent="0.2">
      <c r="B411" s="323" t="s">
        <v>1852</v>
      </c>
      <c r="C411" s="206" t="s">
        <v>1853</v>
      </c>
      <c r="D411" s="277"/>
      <c r="E411" s="325">
        <f>SUM('ADICIONES  2021'!C411:N411)</f>
        <v>86303116</v>
      </c>
      <c r="F411" s="277"/>
      <c r="G411" s="277"/>
      <c r="H411" s="277"/>
      <c r="I411" s="277"/>
      <c r="J411" s="277"/>
      <c r="K411" s="281">
        <f t="shared" si="650"/>
        <v>86303116</v>
      </c>
      <c r="L411" s="277"/>
      <c r="M411" s="277"/>
      <c r="N411" s="277"/>
      <c r="O411" s="277"/>
      <c r="P411" s="277"/>
      <c r="Q411" s="277"/>
      <c r="R411" s="281">
        <f t="shared" si="653"/>
        <v>0</v>
      </c>
      <c r="S411" s="277"/>
      <c r="T411" s="277">
        <v>86303116</v>
      </c>
      <c r="U411" s="277"/>
      <c r="V411" s="277"/>
      <c r="W411" s="277"/>
      <c r="X411" s="277"/>
      <c r="Y411" s="277"/>
      <c r="Z411" s="277"/>
      <c r="AA411" s="281">
        <f t="shared" si="663"/>
        <v>86303116</v>
      </c>
      <c r="AB411" s="403">
        <f t="shared" si="655"/>
        <v>86303116</v>
      </c>
      <c r="AC411" s="326">
        <f t="shared" si="673"/>
        <v>1</v>
      </c>
    </row>
    <row r="412" spans="2:29" ht="25.5" x14ac:dyDescent="0.2">
      <c r="B412" s="323" t="s">
        <v>1854</v>
      </c>
      <c r="C412" s="206" t="s">
        <v>1855</v>
      </c>
      <c r="D412" s="277"/>
      <c r="E412" s="325">
        <f>SUM('ADICIONES  2021'!C412:N412)</f>
        <v>7562</v>
      </c>
      <c r="F412" s="277"/>
      <c r="G412" s="277"/>
      <c r="H412" s="277"/>
      <c r="I412" s="277"/>
      <c r="J412" s="277"/>
      <c r="K412" s="281">
        <f t="shared" si="650"/>
        <v>7562</v>
      </c>
      <c r="L412" s="277"/>
      <c r="M412" s="277"/>
      <c r="N412" s="277"/>
      <c r="O412" s="277"/>
      <c r="P412" s="277"/>
      <c r="Q412" s="277"/>
      <c r="R412" s="281">
        <f t="shared" si="653"/>
        <v>0</v>
      </c>
      <c r="S412" s="277"/>
      <c r="T412" s="277"/>
      <c r="U412" s="277"/>
      <c r="V412" s="277"/>
      <c r="W412" s="277">
        <v>7562</v>
      </c>
      <c r="X412" s="277"/>
      <c r="Y412" s="277"/>
      <c r="Z412" s="277"/>
      <c r="AA412" s="281">
        <f t="shared" ref="AA412:AA414" si="677">SUM(S412:Z412)</f>
        <v>7562</v>
      </c>
      <c r="AB412" s="403">
        <f t="shared" si="655"/>
        <v>7562</v>
      </c>
      <c r="AC412" s="326">
        <f t="shared" si="673"/>
        <v>1</v>
      </c>
    </row>
    <row r="413" spans="2:29" ht="25.5" x14ac:dyDescent="0.2">
      <c r="B413" s="323" t="s">
        <v>1856</v>
      </c>
      <c r="C413" s="206" t="s">
        <v>1857</v>
      </c>
      <c r="D413" s="277"/>
      <c r="E413" s="325">
        <f>SUM('ADICIONES  2021'!C413:N413)</f>
        <v>70534.259999999995</v>
      </c>
      <c r="F413" s="277"/>
      <c r="G413" s="277"/>
      <c r="H413" s="277"/>
      <c r="I413" s="277"/>
      <c r="J413" s="277"/>
      <c r="K413" s="281">
        <f t="shared" si="650"/>
        <v>70534.259999999995</v>
      </c>
      <c r="L413" s="277"/>
      <c r="M413" s="277"/>
      <c r="N413" s="277"/>
      <c r="O413" s="277"/>
      <c r="P413" s="277"/>
      <c r="Q413" s="277"/>
      <c r="R413" s="281">
        <f t="shared" si="653"/>
        <v>0</v>
      </c>
      <c r="S413" s="277"/>
      <c r="T413" s="277"/>
      <c r="U413" s="277"/>
      <c r="V413" s="277"/>
      <c r="W413" s="277">
        <v>70534.259999999995</v>
      </c>
      <c r="X413" s="277"/>
      <c r="Y413" s="277"/>
      <c r="Z413" s="277"/>
      <c r="AA413" s="281">
        <f t="shared" si="677"/>
        <v>70534.259999999995</v>
      </c>
      <c r="AB413" s="403">
        <f t="shared" si="655"/>
        <v>70534.259999999995</v>
      </c>
      <c r="AC413" s="326">
        <f t="shared" si="673"/>
        <v>1</v>
      </c>
    </row>
    <row r="414" spans="2:29" ht="25.5" hidden="1" x14ac:dyDescent="0.2">
      <c r="B414" s="323" t="s">
        <v>1856</v>
      </c>
      <c r="C414" s="206" t="s">
        <v>1857</v>
      </c>
      <c r="D414" s="277"/>
      <c r="E414" s="325">
        <f>SUM('ADICIONES  2021'!C414:N414)</f>
        <v>0</v>
      </c>
      <c r="F414" s="277"/>
      <c r="G414" s="277"/>
      <c r="H414" s="277"/>
      <c r="I414" s="277"/>
      <c r="J414" s="277"/>
      <c r="K414" s="281">
        <f t="shared" si="650"/>
        <v>0</v>
      </c>
      <c r="L414" s="277"/>
      <c r="M414" s="277"/>
      <c r="N414" s="277"/>
      <c r="O414" s="277"/>
      <c r="P414" s="277"/>
      <c r="Q414" s="277"/>
      <c r="R414" s="281">
        <f t="shared" si="653"/>
        <v>0</v>
      </c>
      <c r="S414" s="277"/>
      <c r="T414" s="277"/>
      <c r="U414" s="277"/>
      <c r="V414" s="277"/>
      <c r="W414" s="277"/>
      <c r="X414" s="277"/>
      <c r="Y414" s="277"/>
      <c r="Z414" s="277"/>
      <c r="AA414" s="281">
        <f t="shared" si="677"/>
        <v>0</v>
      </c>
      <c r="AB414" s="403">
        <f t="shared" si="655"/>
        <v>0</v>
      </c>
      <c r="AC414" s="326" t="e">
        <f t="shared" si="673"/>
        <v>#DIV/0!</v>
      </c>
    </row>
    <row r="415" spans="2:29" ht="14.25" x14ac:dyDescent="0.2">
      <c r="B415" s="318" t="s">
        <v>1178</v>
      </c>
      <c r="C415" s="319" t="s">
        <v>1179</v>
      </c>
      <c r="D415" s="276">
        <f>SUM(D416:D418)</f>
        <v>0</v>
      </c>
      <c r="E415" s="322">
        <f>SUM('ADICIONES  2021'!C415:N415)</f>
        <v>43768114096.309998</v>
      </c>
      <c r="F415" s="276">
        <f t="shared" ref="F415:J415" si="678">SUM(F416:F418)</f>
        <v>0</v>
      </c>
      <c r="G415" s="276">
        <f t="shared" si="678"/>
        <v>0</v>
      </c>
      <c r="H415" s="276">
        <f t="shared" si="678"/>
        <v>3129206267</v>
      </c>
      <c r="I415" s="276">
        <f t="shared" si="678"/>
        <v>0</v>
      </c>
      <c r="J415" s="276">
        <f t="shared" si="678"/>
        <v>0</v>
      </c>
      <c r="K415" s="276">
        <f t="shared" si="650"/>
        <v>40638907829.309998</v>
      </c>
      <c r="L415" s="276">
        <f t="shared" ref="L415:Q415" si="679">SUM(L416:L418)</f>
        <v>0</v>
      </c>
      <c r="M415" s="276">
        <f t="shared" si="679"/>
        <v>0</v>
      </c>
      <c r="N415" s="276">
        <f t="shared" si="679"/>
        <v>0</v>
      </c>
      <c r="O415" s="276">
        <f t="shared" si="679"/>
        <v>0</v>
      </c>
      <c r="P415" s="276">
        <f t="shared" si="679"/>
        <v>41585805014.779999</v>
      </c>
      <c r="Q415" s="276">
        <f t="shared" si="679"/>
        <v>0</v>
      </c>
      <c r="R415" s="276">
        <f t="shared" si="653"/>
        <v>41585805014.779999</v>
      </c>
      <c r="S415" s="276">
        <f t="shared" ref="S415:Y415" si="680">SUM(S416:S418)</f>
        <v>0</v>
      </c>
      <c r="T415" s="276">
        <f t="shared" si="680"/>
        <v>1101210837</v>
      </c>
      <c r="U415" s="276">
        <f t="shared" si="680"/>
        <v>0</v>
      </c>
      <c r="V415" s="276">
        <f t="shared" si="680"/>
        <v>0</v>
      </c>
      <c r="W415" s="276">
        <f t="shared" si="680"/>
        <v>-2048108022.47</v>
      </c>
      <c r="X415" s="276">
        <f t="shared" si="680"/>
        <v>0</v>
      </c>
      <c r="Y415" s="276">
        <f t="shared" si="680"/>
        <v>0</v>
      </c>
      <c r="Z415" s="276">
        <f>SUM(Z416:Z418)</f>
        <v>0</v>
      </c>
      <c r="AA415" s="276">
        <f t="shared" si="663"/>
        <v>-946897185.47000003</v>
      </c>
      <c r="AB415" s="402">
        <f t="shared" si="655"/>
        <v>40638907829.309998</v>
      </c>
      <c r="AC415" s="321">
        <f t="shared" si="673"/>
        <v>1</v>
      </c>
    </row>
    <row r="416" spans="2:29" ht="14.25" x14ac:dyDescent="0.2">
      <c r="B416" s="323" t="s">
        <v>1180</v>
      </c>
      <c r="C416" s="206" t="s">
        <v>1179</v>
      </c>
      <c r="D416" s="276"/>
      <c r="E416" s="325">
        <f>SUM('ADICIONES  2021'!C416:N416)</f>
        <v>41585805014.779999</v>
      </c>
      <c r="F416" s="276"/>
      <c r="G416" s="276"/>
      <c r="H416" s="281">
        <f>2742000000+58000000</f>
        <v>2800000000</v>
      </c>
      <c r="I416" s="276"/>
      <c r="J416" s="276"/>
      <c r="K416" s="281">
        <f t="shared" si="650"/>
        <v>38785805014.779999</v>
      </c>
      <c r="L416" s="276"/>
      <c r="M416" s="276"/>
      <c r="N416" s="276"/>
      <c r="O416" s="276"/>
      <c r="P416" s="281">
        <v>41585805014.779999</v>
      </c>
      <c r="Q416" s="276"/>
      <c r="R416" s="281">
        <f t="shared" si="653"/>
        <v>41585805014.779999</v>
      </c>
      <c r="S416" s="276"/>
      <c r="T416" s="276">
        <v>0</v>
      </c>
      <c r="U416" s="276"/>
      <c r="V416" s="276"/>
      <c r="W416" s="403">
        <v>-2800000000</v>
      </c>
      <c r="X416" s="276"/>
      <c r="Y416" s="276"/>
      <c r="Z416" s="276"/>
      <c r="AA416" s="281">
        <f t="shared" ref="AA416" si="681">SUM(S416:Z416)</f>
        <v>-2800000000</v>
      </c>
      <c r="AB416" s="403">
        <f t="shared" si="655"/>
        <v>38785805014.779999</v>
      </c>
      <c r="AC416" s="326">
        <f t="shared" si="673"/>
        <v>1</v>
      </c>
    </row>
    <row r="417" spans="2:29" ht="14.25" x14ac:dyDescent="0.2">
      <c r="B417" s="323" t="s">
        <v>1180</v>
      </c>
      <c r="C417" s="206" t="s">
        <v>1179</v>
      </c>
      <c r="D417" s="277"/>
      <c r="E417" s="325">
        <f>SUM('ADICIONES  2021'!C417:N417)</f>
        <v>1101210837</v>
      </c>
      <c r="F417" s="277"/>
      <c r="G417" s="277"/>
      <c r="H417" s="277">
        <v>329206267</v>
      </c>
      <c r="I417" s="277"/>
      <c r="J417" s="277"/>
      <c r="K417" s="281">
        <f t="shared" si="650"/>
        <v>772004570</v>
      </c>
      <c r="L417" s="277"/>
      <c r="M417" s="277"/>
      <c r="N417" s="277"/>
      <c r="O417" s="277"/>
      <c r="P417" s="277">
        <v>0</v>
      </c>
      <c r="Q417" s="277"/>
      <c r="R417" s="281">
        <f t="shared" si="653"/>
        <v>0</v>
      </c>
      <c r="S417" s="277"/>
      <c r="T417" s="277">
        <v>1101210837</v>
      </c>
      <c r="U417" s="277"/>
      <c r="V417" s="277"/>
      <c r="W417" s="403">
        <v>-329206267</v>
      </c>
      <c r="X417" s="277"/>
      <c r="Y417" s="277"/>
      <c r="Z417" s="277"/>
      <c r="AA417" s="281">
        <f t="shared" si="663"/>
        <v>772004570</v>
      </c>
      <c r="AB417" s="403">
        <f t="shared" si="655"/>
        <v>772004570</v>
      </c>
      <c r="AC417" s="326">
        <f t="shared" si="673"/>
        <v>1</v>
      </c>
    </row>
    <row r="418" spans="2:29" ht="14.25" x14ac:dyDescent="0.2">
      <c r="B418" s="323" t="s">
        <v>1180</v>
      </c>
      <c r="C418" s="206" t="s">
        <v>1179</v>
      </c>
      <c r="D418" s="277"/>
      <c r="E418" s="325">
        <f>SUM('ADICIONES  2021'!C418:N418)</f>
        <v>1081098244.53</v>
      </c>
      <c r="F418" s="277"/>
      <c r="G418" s="277"/>
      <c r="H418" s="277"/>
      <c r="I418" s="277"/>
      <c r="J418" s="277"/>
      <c r="K418" s="281">
        <f t="shared" si="650"/>
        <v>1081098244.53</v>
      </c>
      <c r="L418" s="277"/>
      <c r="M418" s="277"/>
      <c r="N418" s="277"/>
      <c r="O418" s="277"/>
      <c r="P418" s="277"/>
      <c r="Q418" s="277"/>
      <c r="R418" s="281">
        <f t="shared" ref="R418" si="682">SUM(L418:Q418)</f>
        <v>0</v>
      </c>
      <c r="S418" s="277"/>
      <c r="T418" s="277"/>
      <c r="U418" s="277"/>
      <c r="V418" s="277"/>
      <c r="W418" s="277">
        <v>1081098244.53</v>
      </c>
      <c r="X418" s="277"/>
      <c r="Y418" s="277"/>
      <c r="Z418" s="277"/>
      <c r="AA418" s="281">
        <f t="shared" si="663"/>
        <v>1081098244.53</v>
      </c>
      <c r="AB418" s="403">
        <f t="shared" si="655"/>
        <v>1081098244.53</v>
      </c>
      <c r="AC418" s="326">
        <f t="shared" si="673"/>
        <v>1</v>
      </c>
    </row>
    <row r="419" spans="2:29" ht="14.25" x14ac:dyDescent="0.2">
      <c r="B419" s="318" t="s">
        <v>1181</v>
      </c>
      <c r="C419" s="319" t="s">
        <v>1182</v>
      </c>
      <c r="D419" s="276">
        <f>SUM(D420:D422)</f>
        <v>0</v>
      </c>
      <c r="E419" s="322">
        <f>SUM('ADICIONES  2021'!C419:N419)</f>
        <v>2882880852.6799998</v>
      </c>
      <c r="F419" s="276">
        <f t="shared" ref="F419:J419" si="683">SUM(F420:F422)</f>
        <v>0</v>
      </c>
      <c r="G419" s="276">
        <f t="shared" si="683"/>
        <v>0</v>
      </c>
      <c r="H419" s="276">
        <f t="shared" si="683"/>
        <v>0</v>
      </c>
      <c r="I419" s="276">
        <f t="shared" si="683"/>
        <v>0</v>
      </c>
      <c r="J419" s="276">
        <f t="shared" si="683"/>
        <v>0</v>
      </c>
      <c r="K419" s="276">
        <f t="shared" si="650"/>
        <v>2882880852.6799998</v>
      </c>
      <c r="L419" s="276">
        <f t="shared" ref="L419:Q419" si="684">SUM(L420:L422)</f>
        <v>0</v>
      </c>
      <c r="M419" s="276">
        <f t="shared" si="684"/>
        <v>0</v>
      </c>
      <c r="N419" s="276">
        <f t="shared" si="684"/>
        <v>0</v>
      </c>
      <c r="O419" s="276">
        <f t="shared" si="684"/>
        <v>0</v>
      </c>
      <c r="P419" s="276">
        <f t="shared" si="684"/>
        <v>997499585.67999995</v>
      </c>
      <c r="Q419" s="276">
        <f t="shared" si="684"/>
        <v>0</v>
      </c>
      <c r="R419" s="276">
        <f t="shared" si="653"/>
        <v>997499585.67999995</v>
      </c>
      <c r="S419" s="276">
        <f t="shared" ref="S419:Z419" si="685">SUM(S420:S422)</f>
        <v>0</v>
      </c>
      <c r="T419" s="276">
        <f t="shared" si="685"/>
        <v>1716442500</v>
      </c>
      <c r="U419" s="276">
        <f t="shared" si="685"/>
        <v>0</v>
      </c>
      <c r="V419" s="276">
        <f t="shared" si="685"/>
        <v>0</v>
      </c>
      <c r="W419" s="276">
        <f t="shared" si="685"/>
        <v>168938767</v>
      </c>
      <c r="X419" s="276">
        <f t="shared" si="685"/>
        <v>0</v>
      </c>
      <c r="Y419" s="276">
        <f t="shared" si="685"/>
        <v>0</v>
      </c>
      <c r="Z419" s="276">
        <f t="shared" si="685"/>
        <v>0</v>
      </c>
      <c r="AA419" s="276">
        <f t="shared" si="663"/>
        <v>1885381267</v>
      </c>
      <c r="AB419" s="402">
        <f t="shared" si="655"/>
        <v>2882880852.6799998</v>
      </c>
      <c r="AC419" s="321">
        <f t="shared" si="673"/>
        <v>1</v>
      </c>
    </row>
    <row r="420" spans="2:29" ht="14.25" x14ac:dyDescent="0.2">
      <c r="B420" s="323" t="s">
        <v>1183</v>
      </c>
      <c r="C420" s="206" t="s">
        <v>1182</v>
      </c>
      <c r="D420" s="281"/>
      <c r="E420" s="325">
        <f>SUM('ADICIONES  2021'!C420:N420)</f>
        <v>997499585.67999995</v>
      </c>
      <c r="F420" s="281"/>
      <c r="G420" s="281"/>
      <c r="H420" s="281"/>
      <c r="I420" s="281"/>
      <c r="J420" s="281"/>
      <c r="K420" s="281">
        <f t="shared" si="650"/>
        <v>997499585.67999995</v>
      </c>
      <c r="L420" s="281"/>
      <c r="M420" s="281"/>
      <c r="N420" s="281"/>
      <c r="O420" s="281"/>
      <c r="P420" s="281">
        <v>997499585.67999995</v>
      </c>
      <c r="Q420" s="281"/>
      <c r="R420" s="281">
        <f t="shared" si="653"/>
        <v>997499585.67999995</v>
      </c>
      <c r="S420" s="281"/>
      <c r="T420" s="281">
        <v>0</v>
      </c>
      <c r="U420" s="281"/>
      <c r="V420" s="281"/>
      <c r="W420" s="281">
        <v>0</v>
      </c>
      <c r="X420" s="281"/>
      <c r="Y420" s="281"/>
      <c r="Z420" s="281"/>
      <c r="AA420" s="281">
        <f t="shared" ref="AA420" si="686">SUM(S420:Z420)</f>
        <v>0</v>
      </c>
      <c r="AB420" s="403">
        <f t="shared" si="655"/>
        <v>997499585.67999995</v>
      </c>
      <c r="AC420" s="326">
        <f t="shared" si="673"/>
        <v>1</v>
      </c>
    </row>
    <row r="421" spans="2:29" ht="14.25" x14ac:dyDescent="0.2">
      <c r="B421" s="323" t="s">
        <v>1183</v>
      </c>
      <c r="C421" s="206" t="s">
        <v>1182</v>
      </c>
      <c r="D421" s="277"/>
      <c r="E421" s="325">
        <f>SUM('ADICIONES  2021'!C421:N421)</f>
        <v>1716442500</v>
      </c>
      <c r="F421" s="277"/>
      <c r="G421" s="277"/>
      <c r="H421" s="277"/>
      <c r="I421" s="277"/>
      <c r="J421" s="277"/>
      <c r="K421" s="281">
        <f t="shared" si="650"/>
        <v>1716442500</v>
      </c>
      <c r="L421" s="277"/>
      <c r="M421" s="277"/>
      <c r="N421" s="277"/>
      <c r="O421" s="277"/>
      <c r="P421" s="277">
        <v>0</v>
      </c>
      <c r="Q421" s="277"/>
      <c r="R421" s="281">
        <f t="shared" si="653"/>
        <v>0</v>
      </c>
      <c r="S421" s="277"/>
      <c r="T421" s="277">
        <v>1716442500</v>
      </c>
      <c r="U421" s="277"/>
      <c r="V421" s="277"/>
      <c r="W421" s="277">
        <v>0</v>
      </c>
      <c r="X421" s="277"/>
      <c r="Y421" s="277"/>
      <c r="Z421" s="277"/>
      <c r="AA421" s="281">
        <f t="shared" si="663"/>
        <v>1716442500</v>
      </c>
      <c r="AB421" s="403">
        <f t="shared" si="655"/>
        <v>1716442500</v>
      </c>
      <c r="AC421" s="326">
        <f t="shared" si="673"/>
        <v>1</v>
      </c>
    </row>
    <row r="422" spans="2:29" ht="14.25" x14ac:dyDescent="0.2">
      <c r="B422" s="323" t="s">
        <v>1183</v>
      </c>
      <c r="C422" s="206" t="s">
        <v>1182</v>
      </c>
      <c r="D422" s="277"/>
      <c r="E422" s="325">
        <f>SUM('ADICIONES  2021'!C422:N422)</f>
        <v>168938767</v>
      </c>
      <c r="F422" s="277"/>
      <c r="G422" s="277"/>
      <c r="H422" s="277"/>
      <c r="I422" s="277"/>
      <c r="J422" s="277"/>
      <c r="K422" s="281">
        <f t="shared" si="650"/>
        <v>168938767</v>
      </c>
      <c r="L422" s="277"/>
      <c r="M422" s="277"/>
      <c r="N422" s="277"/>
      <c r="O422" s="277"/>
      <c r="P422" s="277"/>
      <c r="Q422" s="277"/>
      <c r="R422" s="281">
        <f t="shared" ref="R422" si="687">SUM(L422:Q422)</f>
        <v>0</v>
      </c>
      <c r="S422" s="277"/>
      <c r="T422" s="277"/>
      <c r="U422" s="277"/>
      <c r="V422" s="277"/>
      <c r="W422" s="277">
        <v>168938767</v>
      </c>
      <c r="X422" s="277"/>
      <c r="Y422" s="277"/>
      <c r="Z422" s="277"/>
      <c r="AA422" s="281">
        <f t="shared" si="663"/>
        <v>168938767</v>
      </c>
      <c r="AB422" s="403">
        <f t="shared" si="655"/>
        <v>168938767</v>
      </c>
      <c r="AC422" s="326">
        <f t="shared" si="673"/>
        <v>1</v>
      </c>
    </row>
    <row r="423" spans="2:29" ht="25.5" x14ac:dyDescent="0.2">
      <c r="B423" s="318" t="s">
        <v>1184</v>
      </c>
      <c r="C423" s="319" t="s">
        <v>1185</v>
      </c>
      <c r="D423" s="285">
        <f>SUM(D424:D431)</f>
        <v>0</v>
      </c>
      <c r="E423" s="322">
        <f>SUM('ADICIONES  2021'!C423:N423)</f>
        <v>10008858404.349998</v>
      </c>
      <c r="F423" s="285">
        <f t="shared" ref="F423:J423" si="688">SUM(F424:F431)</f>
        <v>0</v>
      </c>
      <c r="G423" s="285">
        <f t="shared" si="688"/>
        <v>0</v>
      </c>
      <c r="H423" s="285">
        <f t="shared" si="688"/>
        <v>0</v>
      </c>
      <c r="I423" s="285">
        <f t="shared" si="688"/>
        <v>0</v>
      </c>
      <c r="J423" s="285">
        <f t="shared" si="688"/>
        <v>0</v>
      </c>
      <c r="K423" s="276">
        <f t="shared" si="650"/>
        <v>10008858404.349998</v>
      </c>
      <c r="L423" s="285">
        <f t="shared" ref="L423:Q423" si="689">SUM(L424:L431)</f>
        <v>0</v>
      </c>
      <c r="M423" s="285">
        <f t="shared" si="689"/>
        <v>0</v>
      </c>
      <c r="N423" s="285">
        <f t="shared" si="689"/>
        <v>0</v>
      </c>
      <c r="O423" s="285">
        <f t="shared" si="689"/>
        <v>0</v>
      </c>
      <c r="P423" s="285">
        <f t="shared" si="689"/>
        <v>7293701458.1300001</v>
      </c>
      <c r="Q423" s="285">
        <f t="shared" si="689"/>
        <v>0</v>
      </c>
      <c r="R423" s="276">
        <f t="shared" si="653"/>
        <v>7293701458.1300001</v>
      </c>
      <c r="S423" s="285">
        <f>SUM(S424:S431)</f>
        <v>0</v>
      </c>
      <c r="T423" s="285">
        <f>SUM(T424:T431)</f>
        <v>2715154060.6700001</v>
      </c>
      <c r="U423" s="285">
        <f t="shared" ref="U423:Z423" si="690">SUM(U424:U431)</f>
        <v>0</v>
      </c>
      <c r="V423" s="285">
        <f t="shared" si="690"/>
        <v>0</v>
      </c>
      <c r="W423" s="285">
        <f t="shared" si="690"/>
        <v>2885.55</v>
      </c>
      <c r="X423" s="285">
        <f t="shared" si="690"/>
        <v>0</v>
      </c>
      <c r="Y423" s="285">
        <f t="shared" si="690"/>
        <v>0</v>
      </c>
      <c r="Z423" s="285">
        <f t="shared" si="690"/>
        <v>0</v>
      </c>
      <c r="AA423" s="276">
        <f t="shared" si="663"/>
        <v>2715156946.2200003</v>
      </c>
      <c r="AB423" s="402">
        <f t="shared" si="655"/>
        <v>10008858404.35</v>
      </c>
      <c r="AC423" s="321">
        <f t="shared" si="673"/>
        <v>1.0000000000000002</v>
      </c>
    </row>
    <row r="424" spans="2:29" ht="25.5" x14ac:dyDescent="0.2">
      <c r="B424" s="323" t="s">
        <v>1186</v>
      </c>
      <c r="C424" s="206" t="s">
        <v>1187</v>
      </c>
      <c r="D424" s="277"/>
      <c r="E424" s="325">
        <f>SUM('ADICIONES  2021'!C424:N424)</f>
        <v>627750443.66999996</v>
      </c>
      <c r="F424" s="277"/>
      <c r="G424" s="277"/>
      <c r="H424" s="277"/>
      <c r="I424" s="277"/>
      <c r="J424" s="277"/>
      <c r="K424" s="281">
        <f t="shared" si="650"/>
        <v>627750443.66999996</v>
      </c>
      <c r="L424" s="277"/>
      <c r="M424" s="277"/>
      <c r="N424" s="277"/>
      <c r="O424" s="277"/>
      <c r="P424" s="277">
        <v>0</v>
      </c>
      <c r="Q424" s="277"/>
      <c r="R424" s="281">
        <f t="shared" si="653"/>
        <v>0</v>
      </c>
      <c r="S424" s="277"/>
      <c r="T424" s="277">
        <v>627750443.66999996</v>
      </c>
      <c r="U424" s="277"/>
      <c r="V424" s="277"/>
      <c r="W424" s="277"/>
      <c r="X424" s="277"/>
      <c r="Y424" s="277"/>
      <c r="Z424" s="277"/>
      <c r="AA424" s="281">
        <f t="shared" si="663"/>
        <v>627750443.66999996</v>
      </c>
      <c r="AB424" s="403">
        <f t="shared" si="655"/>
        <v>627750443.66999996</v>
      </c>
      <c r="AC424" s="326">
        <f t="shared" si="673"/>
        <v>1</v>
      </c>
    </row>
    <row r="425" spans="2:29" ht="25.5" x14ac:dyDescent="0.2">
      <c r="B425" s="323" t="s">
        <v>1188</v>
      </c>
      <c r="C425" s="206" t="s">
        <v>1189</v>
      </c>
      <c r="D425" s="277"/>
      <c r="E425" s="325">
        <f>SUM('ADICIONES  2021'!C425:N425)</f>
        <v>373443000</v>
      </c>
      <c r="F425" s="277"/>
      <c r="G425" s="277"/>
      <c r="H425" s="277"/>
      <c r="I425" s="277"/>
      <c r="J425" s="277"/>
      <c r="K425" s="281">
        <f t="shared" si="650"/>
        <v>373443000</v>
      </c>
      <c r="L425" s="277"/>
      <c r="M425" s="277"/>
      <c r="N425" s="277"/>
      <c r="O425" s="277"/>
      <c r="P425" s="277">
        <v>0</v>
      </c>
      <c r="Q425" s="277"/>
      <c r="R425" s="281">
        <f t="shared" si="653"/>
        <v>0</v>
      </c>
      <c r="S425" s="277"/>
      <c r="T425" s="277">
        <v>373443000</v>
      </c>
      <c r="U425" s="277"/>
      <c r="V425" s="277"/>
      <c r="W425" s="277"/>
      <c r="X425" s="277"/>
      <c r="Y425" s="277"/>
      <c r="Z425" s="277"/>
      <c r="AA425" s="281">
        <f t="shared" si="663"/>
        <v>373443000</v>
      </c>
      <c r="AB425" s="403">
        <f t="shared" si="655"/>
        <v>373443000</v>
      </c>
      <c r="AC425" s="326">
        <f t="shared" si="673"/>
        <v>1</v>
      </c>
    </row>
    <row r="426" spans="2:29" ht="25.5" x14ac:dyDescent="0.2">
      <c r="B426" s="323" t="s">
        <v>1188</v>
      </c>
      <c r="C426" s="206" t="s">
        <v>1189</v>
      </c>
      <c r="D426" s="277"/>
      <c r="E426" s="325">
        <f>SUM('ADICIONES  2021'!C426:N426)</f>
        <v>2885.55</v>
      </c>
      <c r="F426" s="277"/>
      <c r="G426" s="277"/>
      <c r="H426" s="277"/>
      <c r="I426" s="277"/>
      <c r="J426" s="277"/>
      <c r="K426" s="281">
        <f t="shared" si="650"/>
        <v>2885.55</v>
      </c>
      <c r="L426" s="277"/>
      <c r="M426" s="277"/>
      <c r="N426" s="277"/>
      <c r="O426" s="277"/>
      <c r="P426" s="277"/>
      <c r="Q426" s="277"/>
      <c r="R426" s="281">
        <f t="shared" si="653"/>
        <v>0</v>
      </c>
      <c r="S426" s="277"/>
      <c r="T426" s="277"/>
      <c r="U426" s="277"/>
      <c r="V426" s="277"/>
      <c r="W426" s="277">
        <v>2885.55</v>
      </c>
      <c r="X426" s="277"/>
      <c r="Y426" s="277"/>
      <c r="Z426" s="277"/>
      <c r="AA426" s="281">
        <f t="shared" ref="AA426" si="691">SUM(S426:Z426)</f>
        <v>2885.55</v>
      </c>
      <c r="AB426" s="403">
        <f t="shared" si="655"/>
        <v>2885.55</v>
      </c>
      <c r="AC426" s="326">
        <f t="shared" si="673"/>
        <v>1</v>
      </c>
    </row>
    <row r="427" spans="2:29" ht="25.5" x14ac:dyDescent="0.2">
      <c r="B427" s="323" t="s">
        <v>1190</v>
      </c>
      <c r="C427" s="206" t="s">
        <v>1191</v>
      </c>
      <c r="D427" s="277"/>
      <c r="E427" s="325">
        <f>SUM('ADICIONES  2021'!C427:N427)</f>
        <v>626557000</v>
      </c>
      <c r="F427" s="277"/>
      <c r="G427" s="277"/>
      <c r="H427" s="277"/>
      <c r="I427" s="277"/>
      <c r="J427" s="277"/>
      <c r="K427" s="281">
        <f t="shared" si="650"/>
        <v>626557000</v>
      </c>
      <c r="L427" s="277"/>
      <c r="M427" s="277"/>
      <c r="N427" s="277"/>
      <c r="O427" s="277"/>
      <c r="P427" s="277">
        <v>0</v>
      </c>
      <c r="Q427" s="277"/>
      <c r="R427" s="281">
        <f t="shared" si="653"/>
        <v>0</v>
      </c>
      <c r="S427" s="277"/>
      <c r="T427" s="277">
        <v>626557000</v>
      </c>
      <c r="U427" s="277"/>
      <c r="V427" s="277"/>
      <c r="W427" s="277"/>
      <c r="X427" s="277"/>
      <c r="Y427" s="277"/>
      <c r="Z427" s="277"/>
      <c r="AA427" s="281">
        <f t="shared" si="663"/>
        <v>626557000</v>
      </c>
      <c r="AB427" s="403">
        <f t="shared" si="655"/>
        <v>626557000</v>
      </c>
      <c r="AC427" s="326">
        <f t="shared" si="673"/>
        <v>1</v>
      </c>
    </row>
    <row r="428" spans="2:29" ht="25.5" x14ac:dyDescent="0.2">
      <c r="B428" s="323" t="s">
        <v>1192</v>
      </c>
      <c r="C428" s="206" t="s">
        <v>1193</v>
      </c>
      <c r="D428" s="277"/>
      <c r="E428" s="325">
        <f>SUM('ADICIONES  2021'!C428:N428)</f>
        <v>322809000</v>
      </c>
      <c r="F428" s="277"/>
      <c r="G428" s="277"/>
      <c r="H428" s="277"/>
      <c r="I428" s="277"/>
      <c r="J428" s="277"/>
      <c r="K428" s="281">
        <f t="shared" si="650"/>
        <v>322809000</v>
      </c>
      <c r="L428" s="277"/>
      <c r="M428" s="277"/>
      <c r="N428" s="277"/>
      <c r="O428" s="277"/>
      <c r="P428" s="277">
        <v>0</v>
      </c>
      <c r="Q428" s="277"/>
      <c r="R428" s="281">
        <f t="shared" si="653"/>
        <v>0</v>
      </c>
      <c r="S428" s="277"/>
      <c r="T428" s="277">
        <v>322809000</v>
      </c>
      <c r="U428" s="277"/>
      <c r="V428" s="277"/>
      <c r="W428" s="277"/>
      <c r="X428" s="277"/>
      <c r="Y428" s="277"/>
      <c r="Z428" s="277"/>
      <c r="AA428" s="281">
        <f t="shared" si="663"/>
        <v>322809000</v>
      </c>
      <c r="AB428" s="403">
        <f t="shared" si="655"/>
        <v>322809000</v>
      </c>
      <c r="AC428" s="326">
        <f t="shared" si="673"/>
        <v>1</v>
      </c>
    </row>
    <row r="429" spans="2:29" ht="25.5" x14ac:dyDescent="0.2">
      <c r="B429" s="323" t="s">
        <v>1194</v>
      </c>
      <c r="C429" s="206" t="s">
        <v>1195</v>
      </c>
      <c r="D429" s="277"/>
      <c r="E429" s="325">
        <f>SUM('ADICIONES  2021'!C429:N429)</f>
        <v>270394617</v>
      </c>
      <c r="F429" s="277"/>
      <c r="G429" s="277"/>
      <c r="H429" s="277"/>
      <c r="I429" s="277"/>
      <c r="J429" s="277"/>
      <c r="K429" s="281">
        <f t="shared" si="650"/>
        <v>270394617</v>
      </c>
      <c r="L429" s="277"/>
      <c r="M429" s="277"/>
      <c r="N429" s="277"/>
      <c r="O429" s="277"/>
      <c r="P429" s="277">
        <v>0</v>
      </c>
      <c r="Q429" s="277"/>
      <c r="R429" s="281">
        <f t="shared" si="653"/>
        <v>0</v>
      </c>
      <c r="S429" s="277"/>
      <c r="T429" s="277">
        <v>270394617</v>
      </c>
      <c r="U429" s="277"/>
      <c r="V429" s="277"/>
      <c r="W429" s="277"/>
      <c r="X429" s="277"/>
      <c r="Y429" s="277"/>
      <c r="Z429" s="277"/>
      <c r="AA429" s="281">
        <f t="shared" si="663"/>
        <v>270394617</v>
      </c>
      <c r="AB429" s="403">
        <f t="shared" si="655"/>
        <v>270394617</v>
      </c>
      <c r="AC429" s="326">
        <f t="shared" si="673"/>
        <v>1</v>
      </c>
    </row>
    <row r="430" spans="2:29" ht="25.5" x14ac:dyDescent="0.2">
      <c r="B430" s="323" t="s">
        <v>1196</v>
      </c>
      <c r="C430" s="206" t="s">
        <v>1197</v>
      </c>
      <c r="D430" s="277"/>
      <c r="E430" s="325">
        <f>SUM('ADICIONES  2021'!C430:N430)</f>
        <v>494200000</v>
      </c>
      <c r="F430" s="277"/>
      <c r="G430" s="277"/>
      <c r="H430" s="277"/>
      <c r="I430" s="277"/>
      <c r="J430" s="277"/>
      <c r="K430" s="281">
        <f t="shared" si="650"/>
        <v>494200000</v>
      </c>
      <c r="L430" s="277"/>
      <c r="M430" s="277"/>
      <c r="N430" s="277"/>
      <c r="O430" s="277"/>
      <c r="P430" s="277">
        <v>0</v>
      </c>
      <c r="Q430" s="277"/>
      <c r="R430" s="281">
        <f t="shared" si="653"/>
        <v>0</v>
      </c>
      <c r="S430" s="277"/>
      <c r="T430" s="277">
        <v>494200000</v>
      </c>
      <c r="U430" s="277"/>
      <c r="V430" s="277"/>
      <c r="W430" s="277"/>
      <c r="X430" s="277"/>
      <c r="Y430" s="277"/>
      <c r="Z430" s="277"/>
      <c r="AA430" s="281">
        <f t="shared" si="663"/>
        <v>494200000</v>
      </c>
      <c r="AB430" s="403">
        <f t="shared" si="655"/>
        <v>494200000</v>
      </c>
      <c r="AC430" s="326">
        <f t="shared" si="673"/>
        <v>1</v>
      </c>
    </row>
    <row r="431" spans="2:29" ht="14.25" x14ac:dyDescent="0.2">
      <c r="B431" s="323" t="s">
        <v>1318</v>
      </c>
      <c r="C431" s="206" t="s">
        <v>1319</v>
      </c>
      <c r="D431" s="277"/>
      <c r="E431" s="325">
        <f>SUM('ADICIONES  2021'!C431:N431)</f>
        <v>7293701458.1300001</v>
      </c>
      <c r="F431" s="277"/>
      <c r="G431" s="277"/>
      <c r="H431" s="277"/>
      <c r="I431" s="277"/>
      <c r="J431" s="277"/>
      <c r="K431" s="281">
        <f t="shared" si="650"/>
        <v>7293701458.1300001</v>
      </c>
      <c r="L431" s="277"/>
      <c r="M431" s="277"/>
      <c r="N431" s="277"/>
      <c r="O431" s="277"/>
      <c r="P431" s="277">
        <v>7293701458.1300001</v>
      </c>
      <c r="Q431" s="277"/>
      <c r="R431" s="281">
        <f t="shared" si="653"/>
        <v>7293701458.1300001</v>
      </c>
      <c r="S431" s="277"/>
      <c r="T431" s="277">
        <v>0</v>
      </c>
      <c r="U431" s="277"/>
      <c r="V431" s="277"/>
      <c r="W431" s="277"/>
      <c r="X431" s="277"/>
      <c r="Y431" s="277"/>
      <c r="Z431" s="277"/>
      <c r="AA431" s="281">
        <f t="shared" ref="AA431" si="692">SUM(S431:Z431)</f>
        <v>0</v>
      </c>
      <c r="AB431" s="403">
        <f t="shared" si="655"/>
        <v>7293701458.1300001</v>
      </c>
      <c r="AC431" s="326">
        <f t="shared" si="673"/>
        <v>1</v>
      </c>
    </row>
    <row r="432" spans="2:29" x14ac:dyDescent="0.2">
      <c r="B432" s="318" t="s">
        <v>1198</v>
      </c>
      <c r="C432" s="319" t="s">
        <v>1199</v>
      </c>
      <c r="D432" s="285">
        <f>SUM(D433:D472)</f>
        <v>0</v>
      </c>
      <c r="E432" s="322">
        <f>SUM('ADICIONES  2021'!C432:N432)</f>
        <v>16378541905.35</v>
      </c>
      <c r="F432" s="285">
        <f>SUM(F433:F472)</f>
        <v>0</v>
      </c>
      <c r="G432" s="285">
        <f>SUM(G433:G472)</f>
        <v>0</v>
      </c>
      <c r="H432" s="285">
        <f>SUM(H433:H472)</f>
        <v>0</v>
      </c>
      <c r="I432" s="285">
        <f>SUM(I433:I472)</f>
        <v>0</v>
      </c>
      <c r="J432" s="285">
        <f>SUM(J433:J472)</f>
        <v>0</v>
      </c>
      <c r="K432" s="276">
        <f t="shared" si="650"/>
        <v>16378541905.35</v>
      </c>
      <c r="L432" s="285">
        <f t="shared" ref="L432:Q432" si="693">SUM(L433:L472)</f>
        <v>0</v>
      </c>
      <c r="M432" s="285">
        <f t="shared" si="693"/>
        <v>0</v>
      </c>
      <c r="N432" s="285">
        <f t="shared" si="693"/>
        <v>0</v>
      </c>
      <c r="O432" s="285">
        <f t="shared" si="693"/>
        <v>0</v>
      </c>
      <c r="P432" s="285">
        <f t="shared" si="693"/>
        <v>3212038162.3699999</v>
      </c>
      <c r="Q432" s="285">
        <f t="shared" si="693"/>
        <v>0.01</v>
      </c>
      <c r="R432" s="276">
        <f t="shared" si="653"/>
        <v>3212038162.3800001</v>
      </c>
      <c r="S432" s="285">
        <f t="shared" ref="S432:Z432" si="694">SUM(S433:S472)</f>
        <v>0</v>
      </c>
      <c r="T432" s="285">
        <f t="shared" si="694"/>
        <v>0</v>
      </c>
      <c r="U432" s="285">
        <f t="shared" si="694"/>
        <v>0</v>
      </c>
      <c r="V432" s="285">
        <f t="shared" si="694"/>
        <v>0</v>
      </c>
      <c r="W432" s="285">
        <f t="shared" si="694"/>
        <v>0</v>
      </c>
      <c r="X432" s="285">
        <f t="shared" si="694"/>
        <v>-476599217.54999995</v>
      </c>
      <c r="Y432" s="285">
        <f t="shared" si="694"/>
        <v>0</v>
      </c>
      <c r="Z432" s="285">
        <f t="shared" si="694"/>
        <v>0</v>
      </c>
      <c r="AA432" s="276">
        <f t="shared" si="663"/>
        <v>-476599217.54999995</v>
      </c>
      <c r="AB432" s="402">
        <f t="shared" si="655"/>
        <v>2735438944.8299999</v>
      </c>
      <c r="AC432" s="321">
        <f t="shared" si="673"/>
        <v>0.16701358158973095</v>
      </c>
    </row>
    <row r="433" spans="2:29" ht="25.5" x14ac:dyDescent="0.2">
      <c r="B433" s="323" t="s">
        <v>1200</v>
      </c>
      <c r="C433" s="206" t="s">
        <v>1201</v>
      </c>
      <c r="D433" s="277"/>
      <c r="E433" s="325">
        <f>SUM('ADICIONES  2021'!C433:N433)</f>
        <v>13381639410.690001</v>
      </c>
      <c r="F433" s="277"/>
      <c r="G433" s="277"/>
      <c r="H433" s="277"/>
      <c r="I433" s="277"/>
      <c r="J433" s="277"/>
      <c r="K433" s="281">
        <f t="shared" si="650"/>
        <v>13381639410.690001</v>
      </c>
      <c r="L433" s="277"/>
      <c r="M433" s="277"/>
      <c r="N433" s="277"/>
      <c r="O433" s="277"/>
      <c r="P433" s="277">
        <v>0</v>
      </c>
      <c r="Q433" s="277"/>
      <c r="R433" s="281">
        <f t="shared" si="653"/>
        <v>0</v>
      </c>
      <c r="S433" s="277"/>
      <c r="T433" s="277"/>
      <c r="U433" s="277"/>
      <c r="V433" s="277"/>
      <c r="W433" s="277"/>
      <c r="X433" s="277"/>
      <c r="Y433" s="277"/>
      <c r="Z433" s="277"/>
      <c r="AA433" s="281">
        <f t="shared" si="663"/>
        <v>0</v>
      </c>
      <c r="AB433" s="403">
        <f t="shared" si="655"/>
        <v>0</v>
      </c>
      <c r="AC433" s="326">
        <f t="shared" si="673"/>
        <v>0</v>
      </c>
    </row>
    <row r="434" spans="2:29" ht="51" x14ac:dyDescent="0.2">
      <c r="B434" s="323" t="s">
        <v>1320</v>
      </c>
      <c r="C434" s="206" t="s">
        <v>1321</v>
      </c>
      <c r="D434" s="277"/>
      <c r="E434" s="325">
        <f>SUM('ADICIONES  2021'!C434:N434)</f>
        <v>33000646.48</v>
      </c>
      <c r="F434" s="277"/>
      <c r="G434" s="277"/>
      <c r="H434" s="277"/>
      <c r="I434" s="277"/>
      <c r="J434" s="277"/>
      <c r="K434" s="281">
        <f t="shared" si="650"/>
        <v>33000646.48</v>
      </c>
      <c r="L434" s="277"/>
      <c r="M434" s="277"/>
      <c r="N434" s="277"/>
      <c r="O434" s="277"/>
      <c r="P434" s="277">
        <v>0</v>
      </c>
      <c r="Q434" s="277"/>
      <c r="R434" s="281">
        <f t="shared" si="653"/>
        <v>0</v>
      </c>
      <c r="S434" s="277"/>
      <c r="T434" s="277"/>
      <c r="U434" s="277"/>
      <c r="V434" s="277"/>
      <c r="W434" s="277"/>
      <c r="X434" s="277"/>
      <c r="Y434" s="277"/>
      <c r="Z434" s="277"/>
      <c r="AA434" s="281">
        <f t="shared" ref="AA434:AA498" si="695">SUM(S434:Z434)</f>
        <v>0</v>
      </c>
      <c r="AB434" s="403">
        <f t="shared" si="655"/>
        <v>0</v>
      </c>
      <c r="AC434" s="326">
        <f t="shared" si="673"/>
        <v>0</v>
      </c>
    </row>
    <row r="435" spans="2:29" ht="25.5" x14ac:dyDescent="0.2">
      <c r="B435" s="323" t="s">
        <v>1322</v>
      </c>
      <c r="C435" s="206" t="s">
        <v>1323</v>
      </c>
      <c r="D435" s="277"/>
      <c r="E435" s="325">
        <f>SUM('ADICIONES  2021'!C435:N435)</f>
        <v>58614890.990000002</v>
      </c>
      <c r="F435" s="277"/>
      <c r="G435" s="277"/>
      <c r="H435" s="277"/>
      <c r="I435" s="277"/>
      <c r="J435" s="277"/>
      <c r="K435" s="281">
        <f t="shared" si="650"/>
        <v>58614890.990000002</v>
      </c>
      <c r="L435" s="277"/>
      <c r="M435" s="277"/>
      <c r="N435" s="277"/>
      <c r="O435" s="277"/>
      <c r="P435" s="277">
        <v>641385109</v>
      </c>
      <c r="Q435" s="277">
        <v>0.01</v>
      </c>
      <c r="R435" s="281">
        <f t="shared" si="653"/>
        <v>641385109.00999999</v>
      </c>
      <c r="S435" s="277"/>
      <c r="T435" s="277"/>
      <c r="U435" s="277"/>
      <c r="V435" s="277"/>
      <c r="W435" s="277"/>
      <c r="X435" s="277">
        <v>-582770218.01999998</v>
      </c>
      <c r="Y435" s="277"/>
      <c r="Z435" s="277"/>
      <c r="AA435" s="281">
        <f t="shared" si="695"/>
        <v>-582770218.01999998</v>
      </c>
      <c r="AB435" s="403">
        <f t="shared" si="655"/>
        <v>58614890.99000001</v>
      </c>
      <c r="AC435" s="326">
        <f t="shared" si="673"/>
        <v>1.0000000000000002</v>
      </c>
    </row>
    <row r="436" spans="2:29" ht="25.5" x14ac:dyDescent="0.2">
      <c r="B436" s="323" t="s">
        <v>1324</v>
      </c>
      <c r="C436" s="206" t="s">
        <v>1325</v>
      </c>
      <c r="D436" s="277"/>
      <c r="E436" s="325">
        <f>SUM('ADICIONES  2021'!C436:N436)</f>
        <v>904400</v>
      </c>
      <c r="F436" s="277"/>
      <c r="G436" s="277"/>
      <c r="H436" s="277"/>
      <c r="I436" s="277"/>
      <c r="J436" s="277"/>
      <c r="K436" s="281">
        <f t="shared" si="650"/>
        <v>904400</v>
      </c>
      <c r="L436" s="277"/>
      <c r="M436" s="277"/>
      <c r="N436" s="277"/>
      <c r="O436" s="277"/>
      <c r="P436" s="277">
        <v>904400</v>
      </c>
      <c r="Q436" s="277"/>
      <c r="R436" s="281">
        <f t="shared" si="653"/>
        <v>904400</v>
      </c>
      <c r="S436" s="277"/>
      <c r="T436" s="277"/>
      <c r="U436" s="277"/>
      <c r="V436" s="277"/>
      <c r="W436" s="277"/>
      <c r="X436" s="277"/>
      <c r="Y436" s="277"/>
      <c r="Z436" s="277"/>
      <c r="AA436" s="281">
        <f t="shared" si="695"/>
        <v>0</v>
      </c>
      <c r="AB436" s="403">
        <f t="shared" si="655"/>
        <v>904400</v>
      </c>
      <c r="AC436" s="326">
        <f t="shared" si="673"/>
        <v>1</v>
      </c>
    </row>
    <row r="437" spans="2:29" ht="51" x14ac:dyDescent="0.2">
      <c r="B437" s="323" t="s">
        <v>1326</v>
      </c>
      <c r="C437" s="206" t="s">
        <v>1327</v>
      </c>
      <c r="D437" s="277"/>
      <c r="E437" s="325">
        <f>SUM('ADICIONES  2021'!C437:N437)</f>
        <v>61823651.520000003</v>
      </c>
      <c r="F437" s="277"/>
      <c r="G437" s="277"/>
      <c r="H437" s="277"/>
      <c r="I437" s="277"/>
      <c r="J437" s="277"/>
      <c r="K437" s="281">
        <f t="shared" si="650"/>
        <v>61823651.520000003</v>
      </c>
      <c r="L437" s="277"/>
      <c r="M437" s="277"/>
      <c r="N437" s="277"/>
      <c r="O437" s="277"/>
      <c r="P437" s="277">
        <v>61823651.520000003</v>
      </c>
      <c r="Q437" s="277"/>
      <c r="R437" s="281">
        <f t="shared" si="653"/>
        <v>61823651.520000003</v>
      </c>
      <c r="S437" s="277"/>
      <c r="T437" s="277"/>
      <c r="U437" s="277"/>
      <c r="V437" s="277"/>
      <c r="W437" s="277"/>
      <c r="X437" s="277"/>
      <c r="Y437" s="277"/>
      <c r="Z437" s="277"/>
      <c r="AA437" s="281">
        <f t="shared" si="695"/>
        <v>0</v>
      </c>
      <c r="AB437" s="403">
        <f t="shared" si="655"/>
        <v>61823651.520000003</v>
      </c>
      <c r="AC437" s="326">
        <f t="shared" si="673"/>
        <v>1</v>
      </c>
    </row>
    <row r="438" spans="2:29" ht="51" x14ac:dyDescent="0.2">
      <c r="B438" s="323" t="s">
        <v>1328</v>
      </c>
      <c r="C438" s="206" t="s">
        <v>1329</v>
      </c>
      <c r="D438" s="277"/>
      <c r="E438" s="325">
        <f>SUM('ADICIONES  2021'!C438:N438)</f>
        <v>30584154.91</v>
      </c>
      <c r="F438" s="277"/>
      <c r="G438" s="277"/>
      <c r="H438" s="277"/>
      <c r="I438" s="277"/>
      <c r="J438" s="277"/>
      <c r="K438" s="281">
        <f t="shared" si="650"/>
        <v>30584154.91</v>
      </c>
      <c r="L438" s="277"/>
      <c r="M438" s="277"/>
      <c r="N438" s="277"/>
      <c r="O438" s="277"/>
      <c r="P438" s="277">
        <v>30584154.91</v>
      </c>
      <c r="Q438" s="277"/>
      <c r="R438" s="281">
        <f t="shared" si="653"/>
        <v>30584154.91</v>
      </c>
      <c r="S438" s="277"/>
      <c r="T438" s="277"/>
      <c r="U438" s="277"/>
      <c r="V438" s="277"/>
      <c r="W438" s="277"/>
      <c r="X438" s="277"/>
      <c r="Y438" s="277"/>
      <c r="Z438" s="277"/>
      <c r="AA438" s="281">
        <f t="shared" si="695"/>
        <v>0</v>
      </c>
      <c r="AB438" s="403">
        <f t="shared" si="655"/>
        <v>30584154.91</v>
      </c>
      <c r="AC438" s="326">
        <f t="shared" si="673"/>
        <v>1</v>
      </c>
    </row>
    <row r="439" spans="2:29" ht="51" x14ac:dyDescent="0.2">
      <c r="B439" s="323" t="s">
        <v>1330</v>
      </c>
      <c r="C439" s="206" t="s">
        <v>1331</v>
      </c>
      <c r="D439" s="277"/>
      <c r="E439" s="325">
        <f>SUM('ADICIONES  2021'!C439:N439)</f>
        <v>33558609</v>
      </c>
      <c r="F439" s="277"/>
      <c r="G439" s="277"/>
      <c r="H439" s="277"/>
      <c r="I439" s="277"/>
      <c r="J439" s="277"/>
      <c r="K439" s="281">
        <f t="shared" si="650"/>
        <v>33558609</v>
      </c>
      <c r="L439" s="277"/>
      <c r="M439" s="277"/>
      <c r="N439" s="277"/>
      <c r="O439" s="277"/>
      <c r="P439" s="277">
        <v>33558609</v>
      </c>
      <c r="Q439" s="277"/>
      <c r="R439" s="281">
        <f t="shared" si="653"/>
        <v>33558609</v>
      </c>
      <c r="S439" s="277"/>
      <c r="T439" s="277"/>
      <c r="U439" s="277"/>
      <c r="V439" s="277"/>
      <c r="W439" s="277"/>
      <c r="X439" s="277"/>
      <c r="Y439" s="277"/>
      <c r="Z439" s="277"/>
      <c r="AA439" s="281">
        <f t="shared" si="695"/>
        <v>0</v>
      </c>
      <c r="AB439" s="403">
        <f t="shared" si="655"/>
        <v>33558609</v>
      </c>
      <c r="AC439" s="326">
        <f t="shared" si="673"/>
        <v>1</v>
      </c>
    </row>
    <row r="440" spans="2:29" ht="51" x14ac:dyDescent="0.2">
      <c r="B440" s="323" t="s">
        <v>1332</v>
      </c>
      <c r="C440" s="206" t="s">
        <v>1333</v>
      </c>
      <c r="D440" s="277"/>
      <c r="E440" s="325">
        <f>SUM('ADICIONES  2021'!C440:N440)</f>
        <v>22027527.539999999</v>
      </c>
      <c r="F440" s="277"/>
      <c r="G440" s="277"/>
      <c r="H440" s="277"/>
      <c r="I440" s="277"/>
      <c r="J440" s="277"/>
      <c r="K440" s="281">
        <f t="shared" si="650"/>
        <v>22027527.539999999</v>
      </c>
      <c r="L440" s="277"/>
      <c r="M440" s="277"/>
      <c r="N440" s="277"/>
      <c r="O440" s="277"/>
      <c r="P440" s="277">
        <v>22027527.539999999</v>
      </c>
      <c r="Q440" s="277"/>
      <c r="R440" s="281">
        <f t="shared" si="653"/>
        <v>22027527.539999999</v>
      </c>
      <c r="S440" s="277"/>
      <c r="T440" s="277"/>
      <c r="U440" s="277"/>
      <c r="V440" s="277"/>
      <c r="W440" s="277"/>
      <c r="X440" s="277"/>
      <c r="Y440" s="277"/>
      <c r="Z440" s="277"/>
      <c r="AA440" s="281">
        <f t="shared" si="695"/>
        <v>0</v>
      </c>
      <c r="AB440" s="403">
        <f t="shared" si="655"/>
        <v>22027527.539999999</v>
      </c>
      <c r="AC440" s="326">
        <f t="shared" si="673"/>
        <v>1</v>
      </c>
    </row>
    <row r="441" spans="2:29" ht="38.25" x14ac:dyDescent="0.2">
      <c r="B441" s="323" t="s">
        <v>1334</v>
      </c>
      <c r="C441" s="206" t="s">
        <v>1335</v>
      </c>
      <c r="D441" s="277"/>
      <c r="E441" s="325">
        <f>SUM('ADICIONES  2021'!C441:N441)</f>
        <v>1000000</v>
      </c>
      <c r="F441" s="277"/>
      <c r="G441" s="277"/>
      <c r="H441" s="277"/>
      <c r="I441" s="277"/>
      <c r="J441" s="277"/>
      <c r="K441" s="281">
        <f t="shared" si="650"/>
        <v>1000000</v>
      </c>
      <c r="L441" s="277"/>
      <c r="M441" s="277"/>
      <c r="N441" s="277"/>
      <c r="O441" s="277"/>
      <c r="P441" s="277">
        <v>0</v>
      </c>
      <c r="Q441" s="277"/>
      <c r="R441" s="281">
        <f t="shared" si="653"/>
        <v>0</v>
      </c>
      <c r="S441" s="277"/>
      <c r="T441" s="277"/>
      <c r="U441" s="277"/>
      <c r="V441" s="277"/>
      <c r="W441" s="277"/>
      <c r="X441" s="277"/>
      <c r="Y441" s="277"/>
      <c r="Z441" s="277"/>
      <c r="AA441" s="281">
        <f t="shared" si="695"/>
        <v>0</v>
      </c>
      <c r="AB441" s="403">
        <f t="shared" si="655"/>
        <v>0</v>
      </c>
      <c r="AC441" s="326">
        <f t="shared" si="673"/>
        <v>0</v>
      </c>
    </row>
    <row r="442" spans="2:29" ht="25.5" x14ac:dyDescent="0.2">
      <c r="B442" s="323" t="s">
        <v>1336</v>
      </c>
      <c r="C442" s="206" t="s">
        <v>1337</v>
      </c>
      <c r="D442" s="277"/>
      <c r="E442" s="325">
        <f>SUM('ADICIONES  2021'!C442:N442)</f>
        <v>39345</v>
      </c>
      <c r="F442" s="277"/>
      <c r="G442" s="277"/>
      <c r="H442" s="277"/>
      <c r="I442" s="277"/>
      <c r="J442" s="277"/>
      <c r="K442" s="281">
        <f t="shared" si="650"/>
        <v>39345</v>
      </c>
      <c r="L442" s="277"/>
      <c r="M442" s="277"/>
      <c r="N442" s="277"/>
      <c r="O442" s="277"/>
      <c r="P442" s="277">
        <v>0</v>
      </c>
      <c r="Q442" s="277"/>
      <c r="R442" s="281">
        <f t="shared" si="653"/>
        <v>0</v>
      </c>
      <c r="S442" s="277"/>
      <c r="T442" s="277"/>
      <c r="U442" s="277"/>
      <c r="V442" s="277"/>
      <c r="W442" s="277"/>
      <c r="X442" s="277"/>
      <c r="Y442" s="277"/>
      <c r="Z442" s="277"/>
      <c r="AA442" s="281">
        <f t="shared" si="695"/>
        <v>0</v>
      </c>
      <c r="AB442" s="403">
        <f t="shared" si="655"/>
        <v>0</v>
      </c>
      <c r="AC442" s="326">
        <f t="shared" si="673"/>
        <v>0</v>
      </c>
    </row>
    <row r="443" spans="2:29" ht="38.25" x14ac:dyDescent="0.2">
      <c r="B443" s="323" t="s">
        <v>1338</v>
      </c>
      <c r="C443" s="206" t="s">
        <v>1339</v>
      </c>
      <c r="D443" s="277"/>
      <c r="E443" s="325">
        <f>SUM('ADICIONES  2021'!C443:N443)</f>
        <v>5000000</v>
      </c>
      <c r="F443" s="277"/>
      <c r="G443" s="277"/>
      <c r="H443" s="277"/>
      <c r="I443" s="277"/>
      <c r="J443" s="277"/>
      <c r="K443" s="281">
        <f t="shared" si="650"/>
        <v>5000000</v>
      </c>
      <c r="L443" s="277"/>
      <c r="M443" s="277"/>
      <c r="N443" s="277"/>
      <c r="O443" s="277"/>
      <c r="P443" s="277">
        <v>0</v>
      </c>
      <c r="Q443" s="277"/>
      <c r="R443" s="281">
        <f t="shared" si="653"/>
        <v>0</v>
      </c>
      <c r="S443" s="277"/>
      <c r="T443" s="277"/>
      <c r="U443" s="277"/>
      <c r="V443" s="277"/>
      <c r="W443" s="277"/>
      <c r="X443" s="277"/>
      <c r="Y443" s="277"/>
      <c r="Z443" s="277"/>
      <c r="AA443" s="281">
        <f t="shared" si="695"/>
        <v>0</v>
      </c>
      <c r="AB443" s="403">
        <f t="shared" si="655"/>
        <v>0</v>
      </c>
      <c r="AC443" s="326">
        <f t="shared" si="673"/>
        <v>0</v>
      </c>
    </row>
    <row r="444" spans="2:29" ht="38.25" x14ac:dyDescent="0.2">
      <c r="B444" s="323" t="s">
        <v>1340</v>
      </c>
      <c r="C444" s="206" t="s">
        <v>1341</v>
      </c>
      <c r="D444" s="277"/>
      <c r="E444" s="325">
        <f>SUM('ADICIONES  2021'!C444:N444)</f>
        <v>73806183.269999996</v>
      </c>
      <c r="F444" s="277"/>
      <c r="G444" s="277"/>
      <c r="H444" s="277"/>
      <c r="I444" s="277"/>
      <c r="J444" s="277"/>
      <c r="K444" s="281">
        <f t="shared" si="650"/>
        <v>73806183.269999996</v>
      </c>
      <c r="L444" s="277"/>
      <c r="M444" s="277"/>
      <c r="N444" s="277"/>
      <c r="O444" s="277"/>
      <c r="P444" s="277">
        <v>73806183.269999996</v>
      </c>
      <c r="Q444" s="277"/>
      <c r="R444" s="281">
        <f t="shared" si="653"/>
        <v>73806183.269999996</v>
      </c>
      <c r="S444" s="277"/>
      <c r="T444" s="277"/>
      <c r="U444" s="277"/>
      <c r="V444" s="277"/>
      <c r="W444" s="277"/>
      <c r="X444" s="277"/>
      <c r="Y444" s="277"/>
      <c r="Z444" s="277"/>
      <c r="AA444" s="281">
        <f t="shared" si="695"/>
        <v>0</v>
      </c>
      <c r="AB444" s="403">
        <f t="shared" si="655"/>
        <v>73806183.269999996</v>
      </c>
      <c r="AC444" s="326">
        <f t="shared" si="673"/>
        <v>1</v>
      </c>
    </row>
    <row r="445" spans="2:29" ht="38.25" x14ac:dyDescent="0.2">
      <c r="B445" s="323" t="s">
        <v>1342</v>
      </c>
      <c r="C445" s="206" t="s">
        <v>1343</v>
      </c>
      <c r="D445" s="277"/>
      <c r="E445" s="325">
        <f>SUM('ADICIONES  2021'!C445:N445)</f>
        <v>71598144.590000004</v>
      </c>
      <c r="F445" s="277"/>
      <c r="G445" s="277"/>
      <c r="H445" s="277"/>
      <c r="I445" s="277"/>
      <c r="J445" s="277"/>
      <c r="K445" s="281">
        <f t="shared" si="650"/>
        <v>71598144.590000004</v>
      </c>
      <c r="L445" s="277"/>
      <c r="M445" s="277"/>
      <c r="N445" s="277"/>
      <c r="O445" s="277"/>
      <c r="P445" s="277">
        <v>71598144.590000004</v>
      </c>
      <c r="Q445" s="277"/>
      <c r="R445" s="281">
        <f t="shared" si="653"/>
        <v>71598144.590000004</v>
      </c>
      <c r="S445" s="277"/>
      <c r="T445" s="277"/>
      <c r="U445" s="277"/>
      <c r="V445" s="277"/>
      <c r="W445" s="277"/>
      <c r="X445" s="277"/>
      <c r="Y445" s="277"/>
      <c r="Z445" s="277"/>
      <c r="AA445" s="281">
        <f t="shared" si="695"/>
        <v>0</v>
      </c>
      <c r="AB445" s="403">
        <f t="shared" si="655"/>
        <v>71598144.590000004</v>
      </c>
      <c r="AC445" s="326">
        <f t="shared" si="673"/>
        <v>1</v>
      </c>
    </row>
    <row r="446" spans="2:29" ht="38.25" x14ac:dyDescent="0.2">
      <c r="B446" s="323" t="s">
        <v>1344</v>
      </c>
      <c r="C446" s="206" t="s">
        <v>1345</v>
      </c>
      <c r="D446" s="277"/>
      <c r="E446" s="325">
        <f>SUM('ADICIONES  2021'!C446:N446)</f>
        <v>189005952.12</v>
      </c>
      <c r="F446" s="277"/>
      <c r="G446" s="277"/>
      <c r="H446" s="277"/>
      <c r="I446" s="277"/>
      <c r="J446" s="277"/>
      <c r="K446" s="281">
        <f t="shared" si="650"/>
        <v>189005952.12</v>
      </c>
      <c r="L446" s="277"/>
      <c r="M446" s="277"/>
      <c r="N446" s="277"/>
      <c r="O446" s="277"/>
      <c r="P446" s="277">
        <v>189005952.12</v>
      </c>
      <c r="Q446" s="277"/>
      <c r="R446" s="281">
        <f t="shared" si="653"/>
        <v>189005952.12</v>
      </c>
      <c r="S446" s="277"/>
      <c r="T446" s="277"/>
      <c r="U446" s="277"/>
      <c r="V446" s="277"/>
      <c r="W446" s="277"/>
      <c r="X446" s="277"/>
      <c r="Y446" s="277"/>
      <c r="Z446" s="277"/>
      <c r="AA446" s="281">
        <f t="shared" si="695"/>
        <v>0</v>
      </c>
      <c r="AB446" s="403">
        <f t="shared" si="655"/>
        <v>189005952.12</v>
      </c>
      <c r="AC446" s="326">
        <f t="shared" si="673"/>
        <v>1</v>
      </c>
    </row>
    <row r="447" spans="2:29" ht="38.25" x14ac:dyDescent="0.2">
      <c r="B447" s="323" t="s">
        <v>1346</v>
      </c>
      <c r="C447" s="206" t="s">
        <v>1347</v>
      </c>
      <c r="D447" s="277"/>
      <c r="E447" s="325">
        <f>SUM('ADICIONES  2021'!C447:N447)</f>
        <v>34422031.479999997</v>
      </c>
      <c r="F447" s="277"/>
      <c r="G447" s="277"/>
      <c r="H447" s="277"/>
      <c r="I447" s="277"/>
      <c r="J447" s="277"/>
      <c r="K447" s="281">
        <f t="shared" si="650"/>
        <v>34422031.479999997</v>
      </c>
      <c r="L447" s="277"/>
      <c r="M447" s="277"/>
      <c r="N447" s="277"/>
      <c r="O447" s="277"/>
      <c r="P447" s="277">
        <v>34422031.479999997</v>
      </c>
      <c r="Q447" s="277"/>
      <c r="R447" s="281">
        <f t="shared" si="653"/>
        <v>34422031.479999997</v>
      </c>
      <c r="S447" s="277"/>
      <c r="T447" s="277"/>
      <c r="U447" s="277"/>
      <c r="V447" s="277"/>
      <c r="W447" s="277"/>
      <c r="X447" s="277"/>
      <c r="Y447" s="277"/>
      <c r="Z447" s="277"/>
      <c r="AA447" s="281">
        <f t="shared" si="695"/>
        <v>0</v>
      </c>
      <c r="AB447" s="403">
        <f t="shared" si="655"/>
        <v>34422031.479999997</v>
      </c>
      <c r="AC447" s="326">
        <f t="shared" si="673"/>
        <v>1</v>
      </c>
    </row>
    <row r="448" spans="2:29" ht="38.25" x14ac:dyDescent="0.2">
      <c r="B448" s="323" t="s">
        <v>1348</v>
      </c>
      <c r="C448" s="206" t="s">
        <v>1349</v>
      </c>
      <c r="D448" s="277"/>
      <c r="E448" s="325">
        <f>SUM('ADICIONES  2021'!C448:N448)</f>
        <v>72427111</v>
      </c>
      <c r="F448" s="277"/>
      <c r="G448" s="277"/>
      <c r="H448" s="277"/>
      <c r="I448" s="277"/>
      <c r="J448" s="277"/>
      <c r="K448" s="281">
        <f t="shared" si="650"/>
        <v>72427111</v>
      </c>
      <c r="L448" s="277"/>
      <c r="M448" s="277"/>
      <c r="N448" s="277"/>
      <c r="O448" s="277"/>
      <c r="P448" s="277">
        <v>72427111</v>
      </c>
      <c r="Q448" s="277"/>
      <c r="R448" s="281">
        <f t="shared" si="653"/>
        <v>72427111</v>
      </c>
      <c r="S448" s="277"/>
      <c r="T448" s="277"/>
      <c r="U448" s="277"/>
      <c r="V448" s="277"/>
      <c r="W448" s="277"/>
      <c r="X448" s="277"/>
      <c r="Y448" s="277"/>
      <c r="Z448" s="277"/>
      <c r="AA448" s="281">
        <f t="shared" si="695"/>
        <v>0</v>
      </c>
      <c r="AB448" s="403">
        <f t="shared" si="655"/>
        <v>72427111</v>
      </c>
      <c r="AC448" s="326">
        <f t="shared" si="673"/>
        <v>1</v>
      </c>
    </row>
    <row r="449" spans="2:29" ht="38.25" x14ac:dyDescent="0.2">
      <c r="B449" s="323" t="s">
        <v>1350</v>
      </c>
      <c r="C449" s="206" t="s">
        <v>1351</v>
      </c>
      <c r="D449" s="277"/>
      <c r="E449" s="325">
        <f>SUM('ADICIONES  2021'!C449:N449)</f>
        <v>32342202.43</v>
      </c>
      <c r="F449" s="277"/>
      <c r="G449" s="277"/>
      <c r="H449" s="277"/>
      <c r="I449" s="277"/>
      <c r="J449" s="277"/>
      <c r="K449" s="281">
        <f t="shared" si="650"/>
        <v>32342202.43</v>
      </c>
      <c r="L449" s="277"/>
      <c r="M449" s="277"/>
      <c r="N449" s="277"/>
      <c r="O449" s="277"/>
      <c r="P449" s="277">
        <v>32342202.43</v>
      </c>
      <c r="Q449" s="277"/>
      <c r="R449" s="281">
        <f t="shared" si="653"/>
        <v>32342202.43</v>
      </c>
      <c r="S449" s="277"/>
      <c r="T449" s="277"/>
      <c r="U449" s="277"/>
      <c r="V449" s="277"/>
      <c r="W449" s="277"/>
      <c r="X449" s="277"/>
      <c r="Y449" s="277"/>
      <c r="Z449" s="277"/>
      <c r="AA449" s="281">
        <f t="shared" si="695"/>
        <v>0</v>
      </c>
      <c r="AB449" s="403">
        <f t="shared" si="655"/>
        <v>32342202.43</v>
      </c>
      <c r="AC449" s="326">
        <f t="shared" si="673"/>
        <v>1</v>
      </c>
    </row>
    <row r="450" spans="2:29" ht="38.25" x14ac:dyDescent="0.2">
      <c r="B450" s="323" t="s">
        <v>1352</v>
      </c>
      <c r="C450" s="206" t="s">
        <v>1353</v>
      </c>
      <c r="D450" s="277"/>
      <c r="E450" s="325">
        <f>SUM('ADICIONES  2021'!C450:N450)</f>
        <v>33527630.84</v>
      </c>
      <c r="F450" s="277"/>
      <c r="G450" s="277"/>
      <c r="H450" s="277"/>
      <c r="I450" s="277"/>
      <c r="J450" s="277"/>
      <c r="K450" s="281">
        <f t="shared" si="650"/>
        <v>33527630.84</v>
      </c>
      <c r="L450" s="277"/>
      <c r="M450" s="277"/>
      <c r="N450" s="277"/>
      <c r="O450" s="277"/>
      <c r="P450" s="277">
        <v>33527630.84</v>
      </c>
      <c r="Q450" s="277"/>
      <c r="R450" s="281">
        <f t="shared" si="653"/>
        <v>33527630.84</v>
      </c>
      <c r="S450" s="277"/>
      <c r="T450" s="277"/>
      <c r="U450" s="277"/>
      <c r="V450" s="277"/>
      <c r="W450" s="277"/>
      <c r="X450" s="277"/>
      <c r="Y450" s="277"/>
      <c r="Z450" s="277"/>
      <c r="AA450" s="281">
        <f t="shared" si="695"/>
        <v>0</v>
      </c>
      <c r="AB450" s="403">
        <f t="shared" si="655"/>
        <v>33527630.84</v>
      </c>
      <c r="AC450" s="326">
        <f t="shared" si="673"/>
        <v>1</v>
      </c>
    </row>
    <row r="451" spans="2:29" ht="38.25" x14ac:dyDescent="0.2">
      <c r="B451" s="323" t="s">
        <v>1354</v>
      </c>
      <c r="C451" s="206" t="s">
        <v>1355</v>
      </c>
      <c r="D451" s="277"/>
      <c r="E451" s="325">
        <f>SUM('ADICIONES  2021'!C451:N451)</f>
        <v>17525824</v>
      </c>
      <c r="F451" s="277"/>
      <c r="G451" s="277"/>
      <c r="H451" s="277"/>
      <c r="I451" s="277"/>
      <c r="J451" s="277"/>
      <c r="K451" s="281">
        <f t="shared" si="650"/>
        <v>17525824</v>
      </c>
      <c r="L451" s="277"/>
      <c r="M451" s="277"/>
      <c r="N451" s="277"/>
      <c r="O451" s="277"/>
      <c r="P451" s="277">
        <v>17525824</v>
      </c>
      <c r="Q451" s="277"/>
      <c r="R451" s="281">
        <f t="shared" si="653"/>
        <v>17525824</v>
      </c>
      <c r="S451" s="277"/>
      <c r="T451" s="277"/>
      <c r="U451" s="277"/>
      <c r="V451" s="277"/>
      <c r="W451" s="277"/>
      <c r="X451" s="277"/>
      <c r="Y451" s="277"/>
      <c r="Z451" s="277"/>
      <c r="AA451" s="281">
        <f t="shared" si="695"/>
        <v>0</v>
      </c>
      <c r="AB451" s="403">
        <f t="shared" si="655"/>
        <v>17525824</v>
      </c>
      <c r="AC451" s="326">
        <f t="shared" si="673"/>
        <v>1</v>
      </c>
    </row>
    <row r="452" spans="2:29" ht="38.25" x14ac:dyDescent="0.2">
      <c r="B452" s="323" t="s">
        <v>1356</v>
      </c>
      <c r="C452" s="206" t="s">
        <v>1357</v>
      </c>
      <c r="D452" s="277"/>
      <c r="E452" s="325">
        <f>SUM('ADICIONES  2021'!C452:N452)</f>
        <v>85052927</v>
      </c>
      <c r="F452" s="277"/>
      <c r="G452" s="277"/>
      <c r="H452" s="277"/>
      <c r="I452" s="277"/>
      <c r="J452" s="277"/>
      <c r="K452" s="281">
        <f t="shared" si="650"/>
        <v>85052927</v>
      </c>
      <c r="L452" s="277"/>
      <c r="M452" s="277"/>
      <c r="N452" s="277"/>
      <c r="O452" s="277"/>
      <c r="P452" s="277">
        <v>85052927</v>
      </c>
      <c r="Q452" s="277"/>
      <c r="R452" s="281">
        <f t="shared" si="653"/>
        <v>85052927</v>
      </c>
      <c r="S452" s="277"/>
      <c r="T452" s="277"/>
      <c r="U452" s="277"/>
      <c r="V452" s="277"/>
      <c r="W452" s="277"/>
      <c r="X452" s="277"/>
      <c r="Y452" s="277"/>
      <c r="Z452" s="277"/>
      <c r="AA452" s="281">
        <f t="shared" si="695"/>
        <v>0</v>
      </c>
      <c r="AB452" s="403">
        <f t="shared" si="655"/>
        <v>85052927</v>
      </c>
      <c r="AC452" s="326">
        <f t="shared" si="673"/>
        <v>1</v>
      </c>
    </row>
    <row r="453" spans="2:29" ht="38.25" x14ac:dyDescent="0.2">
      <c r="B453" s="323" t="s">
        <v>1358</v>
      </c>
      <c r="C453" s="206" t="s">
        <v>1359</v>
      </c>
      <c r="D453" s="277"/>
      <c r="E453" s="325">
        <f>SUM('ADICIONES  2021'!C453:N453)</f>
        <v>94636419.859999999</v>
      </c>
      <c r="F453" s="277"/>
      <c r="G453" s="277"/>
      <c r="H453" s="277"/>
      <c r="I453" s="277"/>
      <c r="J453" s="277"/>
      <c r="K453" s="281">
        <f t="shared" si="650"/>
        <v>94636419.859999999</v>
      </c>
      <c r="L453" s="277"/>
      <c r="M453" s="277"/>
      <c r="N453" s="277"/>
      <c r="O453" s="277"/>
      <c r="P453" s="277">
        <v>94636419.859999999</v>
      </c>
      <c r="Q453" s="277"/>
      <c r="R453" s="281">
        <f t="shared" si="653"/>
        <v>94636419.859999999</v>
      </c>
      <c r="S453" s="277"/>
      <c r="T453" s="277"/>
      <c r="U453" s="277"/>
      <c r="V453" s="277"/>
      <c r="W453" s="277"/>
      <c r="X453" s="277"/>
      <c r="Y453" s="277"/>
      <c r="Z453" s="277"/>
      <c r="AA453" s="281">
        <f t="shared" si="695"/>
        <v>0</v>
      </c>
      <c r="AB453" s="403">
        <f t="shared" si="655"/>
        <v>94636419.859999999</v>
      </c>
      <c r="AC453" s="326">
        <f t="shared" si="673"/>
        <v>1</v>
      </c>
    </row>
    <row r="454" spans="2:29" ht="38.25" x14ac:dyDescent="0.2">
      <c r="B454" s="323" t="s">
        <v>1360</v>
      </c>
      <c r="C454" s="206" t="s">
        <v>1361</v>
      </c>
      <c r="D454" s="277"/>
      <c r="E454" s="325">
        <f>SUM('ADICIONES  2021'!C454:N454)</f>
        <v>25528495</v>
      </c>
      <c r="F454" s="277"/>
      <c r="G454" s="277"/>
      <c r="H454" s="277"/>
      <c r="I454" s="277"/>
      <c r="J454" s="277"/>
      <c r="K454" s="281">
        <f t="shared" si="650"/>
        <v>25528495</v>
      </c>
      <c r="L454" s="277"/>
      <c r="M454" s="277"/>
      <c r="N454" s="277"/>
      <c r="O454" s="277"/>
      <c r="P454" s="277">
        <v>25528495</v>
      </c>
      <c r="Q454" s="277"/>
      <c r="R454" s="281">
        <f t="shared" si="653"/>
        <v>25528495</v>
      </c>
      <c r="S454" s="277"/>
      <c r="T454" s="277"/>
      <c r="U454" s="277"/>
      <c r="V454" s="277"/>
      <c r="W454" s="277"/>
      <c r="X454" s="277"/>
      <c r="Y454" s="277"/>
      <c r="Z454" s="277"/>
      <c r="AA454" s="281">
        <f t="shared" si="695"/>
        <v>0</v>
      </c>
      <c r="AB454" s="403">
        <f t="shared" si="655"/>
        <v>25528495</v>
      </c>
      <c r="AC454" s="326">
        <f t="shared" si="673"/>
        <v>1</v>
      </c>
    </row>
    <row r="455" spans="2:29" ht="38.25" x14ac:dyDescent="0.2">
      <c r="B455" s="323" t="s">
        <v>1362</v>
      </c>
      <c r="C455" s="206" t="s">
        <v>1363</v>
      </c>
      <c r="D455" s="277"/>
      <c r="E455" s="325">
        <f>SUM('ADICIONES  2021'!C455:N455)</f>
        <v>41780393.460000001</v>
      </c>
      <c r="F455" s="277"/>
      <c r="G455" s="277"/>
      <c r="H455" s="277"/>
      <c r="I455" s="277"/>
      <c r="J455" s="277"/>
      <c r="K455" s="281">
        <f t="shared" si="650"/>
        <v>41780393.460000001</v>
      </c>
      <c r="L455" s="277"/>
      <c r="M455" s="277"/>
      <c r="N455" s="277"/>
      <c r="O455" s="277"/>
      <c r="P455" s="277">
        <v>41780393.460000001</v>
      </c>
      <c r="Q455" s="277"/>
      <c r="R455" s="281">
        <f t="shared" si="653"/>
        <v>41780393.460000001</v>
      </c>
      <c r="S455" s="277"/>
      <c r="T455" s="277"/>
      <c r="U455" s="277"/>
      <c r="V455" s="277"/>
      <c r="W455" s="277"/>
      <c r="X455" s="277"/>
      <c r="Y455" s="277"/>
      <c r="Z455" s="277"/>
      <c r="AA455" s="281">
        <f t="shared" si="695"/>
        <v>0</v>
      </c>
      <c r="AB455" s="403">
        <f t="shared" si="655"/>
        <v>41780393.460000001</v>
      </c>
      <c r="AC455" s="326">
        <f t="shared" si="673"/>
        <v>1</v>
      </c>
    </row>
    <row r="456" spans="2:29" ht="38.25" x14ac:dyDescent="0.2">
      <c r="B456" s="323" t="s">
        <v>1364</v>
      </c>
      <c r="C456" s="206" t="s">
        <v>1365</v>
      </c>
      <c r="D456" s="277"/>
      <c r="E456" s="325">
        <f>SUM('ADICIONES  2021'!C456:N456)</f>
        <v>85319865.069999993</v>
      </c>
      <c r="F456" s="277"/>
      <c r="G456" s="277"/>
      <c r="H456" s="277"/>
      <c r="I456" s="277"/>
      <c r="J456" s="277"/>
      <c r="K456" s="281">
        <f t="shared" si="650"/>
        <v>85319865.069999993</v>
      </c>
      <c r="L456" s="277"/>
      <c r="M456" s="277"/>
      <c r="N456" s="277"/>
      <c r="O456" s="277"/>
      <c r="P456" s="277">
        <v>85319865.069999993</v>
      </c>
      <c r="Q456" s="277"/>
      <c r="R456" s="281">
        <f t="shared" si="653"/>
        <v>85319865.069999993</v>
      </c>
      <c r="S456" s="277"/>
      <c r="T456" s="277"/>
      <c r="U456" s="277"/>
      <c r="V456" s="277"/>
      <c r="W456" s="277"/>
      <c r="X456" s="277"/>
      <c r="Y456" s="277"/>
      <c r="Z456" s="277"/>
      <c r="AA456" s="281">
        <f t="shared" si="695"/>
        <v>0</v>
      </c>
      <c r="AB456" s="403">
        <f t="shared" si="655"/>
        <v>85319865.069999993</v>
      </c>
      <c r="AC456" s="326">
        <f t="shared" si="673"/>
        <v>1</v>
      </c>
    </row>
    <row r="457" spans="2:29" ht="38.25" x14ac:dyDescent="0.2">
      <c r="B457" s="323" t="s">
        <v>1366</v>
      </c>
      <c r="C457" s="206" t="s">
        <v>1367</v>
      </c>
      <c r="D457" s="277"/>
      <c r="E457" s="325">
        <f>SUM('ADICIONES  2021'!C457:N457)</f>
        <v>60300003.909999996</v>
      </c>
      <c r="F457" s="277"/>
      <c r="G457" s="277"/>
      <c r="H457" s="277"/>
      <c r="I457" s="277"/>
      <c r="J457" s="277"/>
      <c r="K457" s="281">
        <f t="shared" si="650"/>
        <v>60300003.909999996</v>
      </c>
      <c r="L457" s="277"/>
      <c r="M457" s="277"/>
      <c r="N457" s="277"/>
      <c r="O457" s="277"/>
      <c r="P457" s="277">
        <v>60300003.909999996</v>
      </c>
      <c r="Q457" s="277"/>
      <c r="R457" s="281">
        <f t="shared" si="653"/>
        <v>60300003.909999996</v>
      </c>
      <c r="S457" s="277"/>
      <c r="T457" s="277"/>
      <c r="U457" s="277"/>
      <c r="V457" s="277"/>
      <c r="W457" s="277"/>
      <c r="X457" s="277"/>
      <c r="Y457" s="277"/>
      <c r="Z457" s="277"/>
      <c r="AA457" s="281">
        <f t="shared" si="695"/>
        <v>0</v>
      </c>
      <c r="AB457" s="403">
        <f t="shared" si="655"/>
        <v>60300003.909999996</v>
      </c>
      <c r="AC457" s="326">
        <f t="shared" si="673"/>
        <v>1</v>
      </c>
    </row>
    <row r="458" spans="2:29" ht="38.25" x14ac:dyDescent="0.2">
      <c r="B458" s="323" t="s">
        <v>1368</v>
      </c>
      <c r="C458" s="206" t="s">
        <v>1369</v>
      </c>
      <c r="D458" s="277"/>
      <c r="E458" s="325">
        <f>SUM('ADICIONES  2021'!C458:N458)</f>
        <v>301199556.44</v>
      </c>
      <c r="F458" s="277"/>
      <c r="G458" s="277"/>
      <c r="H458" s="277"/>
      <c r="I458" s="277"/>
      <c r="J458" s="277"/>
      <c r="K458" s="281">
        <f t="shared" si="650"/>
        <v>301199556.44</v>
      </c>
      <c r="L458" s="277"/>
      <c r="M458" s="277"/>
      <c r="N458" s="277"/>
      <c r="O458" s="277"/>
      <c r="P458" s="277">
        <v>241932662.97</v>
      </c>
      <c r="Q458" s="277"/>
      <c r="R458" s="281">
        <f t="shared" si="653"/>
        <v>241932662.97</v>
      </c>
      <c r="S458" s="277"/>
      <c r="T458" s="277"/>
      <c r="U458" s="277"/>
      <c r="V458" s="277"/>
      <c r="W458" s="277"/>
      <c r="X458" s="277">
        <v>59266893.469999999</v>
      </c>
      <c r="Y458" s="277"/>
      <c r="Z458" s="277"/>
      <c r="AA458" s="281">
        <f t="shared" si="695"/>
        <v>59266893.469999999</v>
      </c>
      <c r="AB458" s="403">
        <f t="shared" si="655"/>
        <v>301199556.44</v>
      </c>
      <c r="AC458" s="326">
        <f t="shared" si="673"/>
        <v>1</v>
      </c>
    </row>
    <row r="459" spans="2:29" ht="25.5" x14ac:dyDescent="0.2">
      <c r="B459" s="323" t="s">
        <v>1370</v>
      </c>
      <c r="C459" s="206" t="s">
        <v>1371</v>
      </c>
      <c r="D459" s="277"/>
      <c r="E459" s="325">
        <f>SUM('ADICIONES  2021'!C459:N459)</f>
        <v>3657.3</v>
      </c>
      <c r="F459" s="277"/>
      <c r="G459" s="277"/>
      <c r="H459" s="277"/>
      <c r="I459" s="277"/>
      <c r="J459" s="277"/>
      <c r="K459" s="281">
        <f t="shared" si="650"/>
        <v>3657.3</v>
      </c>
      <c r="L459" s="277"/>
      <c r="M459" s="277"/>
      <c r="N459" s="277"/>
      <c r="O459" s="277"/>
      <c r="P459" s="277">
        <v>3657.3</v>
      </c>
      <c r="Q459" s="277"/>
      <c r="R459" s="281">
        <f t="shared" si="653"/>
        <v>3657.3</v>
      </c>
      <c r="S459" s="277"/>
      <c r="T459" s="277"/>
      <c r="U459" s="277"/>
      <c r="V459" s="277"/>
      <c r="W459" s="277"/>
      <c r="X459" s="277"/>
      <c r="Y459" s="277"/>
      <c r="Z459" s="277"/>
      <c r="AA459" s="281">
        <f t="shared" si="695"/>
        <v>0</v>
      </c>
      <c r="AB459" s="403">
        <f t="shared" si="655"/>
        <v>3657.3</v>
      </c>
      <c r="AC459" s="326">
        <f t="shared" si="673"/>
        <v>1</v>
      </c>
    </row>
    <row r="460" spans="2:29" ht="25.5" x14ac:dyDescent="0.2">
      <c r="B460" s="323" t="s">
        <v>1372</v>
      </c>
      <c r="C460" s="206" t="s">
        <v>1373</v>
      </c>
      <c r="D460" s="277"/>
      <c r="E460" s="325">
        <f>SUM('ADICIONES  2021'!C460:N460)</f>
        <v>12903.3</v>
      </c>
      <c r="F460" s="277"/>
      <c r="G460" s="277"/>
      <c r="H460" s="277"/>
      <c r="I460" s="277"/>
      <c r="J460" s="277"/>
      <c r="K460" s="281">
        <f t="shared" si="650"/>
        <v>12903.3</v>
      </c>
      <c r="L460" s="277"/>
      <c r="M460" s="277"/>
      <c r="N460" s="277"/>
      <c r="O460" s="277"/>
      <c r="P460" s="277">
        <v>12903.3</v>
      </c>
      <c r="Q460" s="277"/>
      <c r="R460" s="281">
        <f t="shared" si="653"/>
        <v>12903.3</v>
      </c>
      <c r="S460" s="277"/>
      <c r="T460" s="277"/>
      <c r="U460" s="277"/>
      <c r="V460" s="277"/>
      <c r="W460" s="277"/>
      <c r="X460" s="277"/>
      <c r="Y460" s="277"/>
      <c r="Z460" s="277"/>
      <c r="AA460" s="281">
        <f t="shared" si="695"/>
        <v>0</v>
      </c>
      <c r="AB460" s="403">
        <f t="shared" si="655"/>
        <v>12903.3</v>
      </c>
      <c r="AC460" s="326">
        <f t="shared" si="673"/>
        <v>1</v>
      </c>
    </row>
    <row r="461" spans="2:29" ht="38.25" x14ac:dyDescent="0.2">
      <c r="B461" s="323" t="s">
        <v>1374</v>
      </c>
      <c r="C461" s="206" t="s">
        <v>1375</v>
      </c>
      <c r="D461" s="277"/>
      <c r="E461" s="325">
        <f>SUM('ADICIONES  2021'!C461:N461)</f>
        <v>22717903.440000001</v>
      </c>
      <c r="F461" s="277"/>
      <c r="G461" s="277"/>
      <c r="H461" s="277"/>
      <c r="I461" s="277"/>
      <c r="J461" s="277"/>
      <c r="K461" s="281">
        <f t="shared" si="650"/>
        <v>22717903.440000001</v>
      </c>
      <c r="L461" s="277"/>
      <c r="M461" s="277"/>
      <c r="N461" s="277"/>
      <c r="O461" s="277"/>
      <c r="P461" s="277">
        <v>22717903.440000001</v>
      </c>
      <c r="Q461" s="277"/>
      <c r="R461" s="281">
        <f t="shared" si="653"/>
        <v>22717903.440000001</v>
      </c>
      <c r="S461" s="277"/>
      <c r="T461" s="277"/>
      <c r="U461" s="277"/>
      <c r="V461" s="277"/>
      <c r="W461" s="277"/>
      <c r="X461" s="277"/>
      <c r="Y461" s="277"/>
      <c r="Z461" s="277"/>
      <c r="AA461" s="281">
        <f t="shared" si="695"/>
        <v>0</v>
      </c>
      <c r="AB461" s="403">
        <f t="shared" si="655"/>
        <v>22717903.440000001</v>
      </c>
      <c r="AC461" s="326">
        <f t="shared" si="673"/>
        <v>1</v>
      </c>
    </row>
    <row r="462" spans="2:29" ht="25.5" x14ac:dyDescent="0.2">
      <c r="B462" s="323" t="s">
        <v>1376</v>
      </c>
      <c r="C462" s="206" t="s">
        <v>1377</v>
      </c>
      <c r="D462" s="277"/>
      <c r="E462" s="325">
        <f>SUM('ADICIONES  2021'!C462:N462)</f>
        <v>16455472</v>
      </c>
      <c r="F462" s="277"/>
      <c r="G462" s="277"/>
      <c r="H462" s="277"/>
      <c r="I462" s="277"/>
      <c r="J462" s="277"/>
      <c r="K462" s="281">
        <f t="shared" si="650"/>
        <v>16455472</v>
      </c>
      <c r="L462" s="277"/>
      <c r="M462" s="277"/>
      <c r="N462" s="277"/>
      <c r="O462" s="277"/>
      <c r="P462" s="277">
        <v>0</v>
      </c>
      <c r="Q462" s="277"/>
      <c r="R462" s="281">
        <f t="shared" si="653"/>
        <v>0</v>
      </c>
      <c r="S462" s="277"/>
      <c r="T462" s="277"/>
      <c r="U462" s="277"/>
      <c r="V462" s="277"/>
      <c r="W462" s="277"/>
      <c r="X462" s="277">
        <v>16455472</v>
      </c>
      <c r="Y462" s="277"/>
      <c r="Z462" s="277"/>
      <c r="AA462" s="281">
        <f t="shared" si="695"/>
        <v>16455472</v>
      </c>
      <c r="AB462" s="403">
        <f t="shared" si="655"/>
        <v>16455472</v>
      </c>
      <c r="AC462" s="326">
        <f t="shared" si="673"/>
        <v>1</v>
      </c>
    </row>
    <row r="463" spans="2:29" ht="25.5" x14ac:dyDescent="0.2">
      <c r="B463" s="323" t="s">
        <v>1378</v>
      </c>
      <c r="C463" s="206" t="s">
        <v>1379</v>
      </c>
      <c r="D463" s="277"/>
      <c r="E463" s="325">
        <f>SUM('ADICIONES  2021'!C463:N463)</f>
        <v>47459103.359999999</v>
      </c>
      <c r="F463" s="277"/>
      <c r="G463" s="277"/>
      <c r="H463" s="277"/>
      <c r="I463" s="277"/>
      <c r="J463" s="277"/>
      <c r="K463" s="281">
        <f t="shared" si="650"/>
        <v>47459103.359999999</v>
      </c>
      <c r="L463" s="277"/>
      <c r="M463" s="277"/>
      <c r="N463" s="277"/>
      <c r="O463" s="277"/>
      <c r="P463" s="277">
        <v>47459103.359999999</v>
      </c>
      <c r="Q463" s="277"/>
      <c r="R463" s="281">
        <f t="shared" si="653"/>
        <v>47459103.359999999</v>
      </c>
      <c r="S463" s="277"/>
      <c r="T463" s="277"/>
      <c r="U463" s="277"/>
      <c r="V463" s="277"/>
      <c r="W463" s="277"/>
      <c r="X463" s="277"/>
      <c r="Y463" s="277"/>
      <c r="Z463" s="277"/>
      <c r="AA463" s="281">
        <f t="shared" si="695"/>
        <v>0</v>
      </c>
      <c r="AB463" s="403">
        <f t="shared" si="655"/>
        <v>47459103.359999999</v>
      </c>
      <c r="AC463" s="326">
        <f t="shared" si="673"/>
        <v>1</v>
      </c>
    </row>
    <row r="464" spans="2:29" ht="14.25" x14ac:dyDescent="0.2">
      <c r="B464" s="323" t="s">
        <v>1380</v>
      </c>
      <c r="C464" s="206" t="s">
        <v>1381</v>
      </c>
      <c r="D464" s="277"/>
      <c r="E464" s="325">
        <f>SUM('ADICIONES  2021'!C464:N464)</f>
        <v>6022349.8899999997</v>
      </c>
      <c r="F464" s="277"/>
      <c r="G464" s="277"/>
      <c r="H464" s="277"/>
      <c r="I464" s="277"/>
      <c r="J464" s="277"/>
      <c r="K464" s="281">
        <f t="shared" si="650"/>
        <v>6022349.8899999997</v>
      </c>
      <c r="L464" s="277"/>
      <c r="M464" s="277"/>
      <c r="N464" s="277"/>
      <c r="O464" s="277"/>
      <c r="P464" s="277">
        <v>6022349.8899999997</v>
      </c>
      <c r="Q464" s="277"/>
      <c r="R464" s="281">
        <f t="shared" si="653"/>
        <v>6022349.8899999997</v>
      </c>
      <c r="S464" s="277"/>
      <c r="T464" s="277"/>
      <c r="U464" s="277"/>
      <c r="V464" s="277"/>
      <c r="W464" s="277"/>
      <c r="X464" s="277"/>
      <c r="Y464" s="277"/>
      <c r="Z464" s="277"/>
      <c r="AA464" s="281">
        <f t="shared" si="695"/>
        <v>0</v>
      </c>
      <c r="AB464" s="403">
        <f t="shared" si="655"/>
        <v>6022349.8899999997</v>
      </c>
      <c r="AC464" s="326">
        <f t="shared" si="673"/>
        <v>1</v>
      </c>
    </row>
    <row r="465" spans="1:29" ht="25.5" x14ac:dyDescent="0.2">
      <c r="B465" s="323" t="s">
        <v>1382</v>
      </c>
      <c r="C465" s="206" t="s">
        <v>1383</v>
      </c>
      <c r="D465" s="277"/>
      <c r="E465" s="325">
        <f>SUM('ADICIONES  2021'!C465:N465)</f>
        <v>57681818</v>
      </c>
      <c r="F465" s="277"/>
      <c r="G465" s="277"/>
      <c r="H465" s="277"/>
      <c r="I465" s="277"/>
      <c r="J465" s="277"/>
      <c r="K465" s="281">
        <f t="shared" si="650"/>
        <v>57681818</v>
      </c>
      <c r="L465" s="277"/>
      <c r="M465" s="277"/>
      <c r="N465" s="277"/>
      <c r="O465" s="277"/>
      <c r="P465" s="277">
        <v>57681818</v>
      </c>
      <c r="Q465" s="277"/>
      <c r="R465" s="281">
        <f t="shared" si="653"/>
        <v>57681818</v>
      </c>
      <c r="S465" s="277"/>
      <c r="T465" s="277"/>
      <c r="U465" s="277"/>
      <c r="V465" s="277"/>
      <c r="W465" s="277"/>
      <c r="X465" s="277"/>
      <c r="Y465" s="277"/>
      <c r="Z465" s="277"/>
      <c r="AA465" s="281">
        <f t="shared" si="695"/>
        <v>0</v>
      </c>
      <c r="AB465" s="403">
        <f t="shared" si="655"/>
        <v>57681818</v>
      </c>
      <c r="AC465" s="326">
        <f t="shared" si="673"/>
        <v>1</v>
      </c>
    </row>
    <row r="466" spans="1:29" ht="25.5" x14ac:dyDescent="0.2">
      <c r="B466" s="323" t="s">
        <v>1384</v>
      </c>
      <c r="C466" s="206" t="s">
        <v>1385</v>
      </c>
      <c r="D466" s="277"/>
      <c r="E466" s="325">
        <f>SUM('ADICIONES  2021'!C466:N466)</f>
        <v>30448635</v>
      </c>
      <c r="F466" s="277"/>
      <c r="G466" s="277"/>
      <c r="H466" s="277"/>
      <c r="I466" s="277"/>
      <c r="J466" s="277"/>
      <c r="K466" s="281">
        <f t="shared" si="650"/>
        <v>30448635</v>
      </c>
      <c r="L466" s="277"/>
      <c r="M466" s="277"/>
      <c r="N466" s="277"/>
      <c r="O466" s="277"/>
      <c r="P466" s="277">
        <v>0</v>
      </c>
      <c r="Q466" s="277"/>
      <c r="R466" s="281">
        <f t="shared" si="653"/>
        <v>0</v>
      </c>
      <c r="S466" s="277"/>
      <c r="T466" s="277"/>
      <c r="U466" s="277"/>
      <c r="V466" s="277"/>
      <c r="W466" s="277"/>
      <c r="X466" s="277">
        <v>30448635</v>
      </c>
      <c r="Y466" s="277"/>
      <c r="Z466" s="277"/>
      <c r="AA466" s="281">
        <f t="shared" si="695"/>
        <v>30448635</v>
      </c>
      <c r="AB466" s="403">
        <f t="shared" si="655"/>
        <v>30448635</v>
      </c>
      <c r="AC466" s="326">
        <f t="shared" si="673"/>
        <v>1</v>
      </c>
    </row>
    <row r="467" spans="1:29" ht="38.25" x14ac:dyDescent="0.2">
      <c r="B467" s="323" t="s">
        <v>1386</v>
      </c>
      <c r="C467" s="206" t="s">
        <v>1387</v>
      </c>
      <c r="D467" s="277"/>
      <c r="E467" s="325">
        <f>SUM('ADICIONES  2021'!C467:N467)</f>
        <v>222423558.34999999</v>
      </c>
      <c r="F467" s="277"/>
      <c r="G467" s="277"/>
      <c r="H467" s="277"/>
      <c r="I467" s="277"/>
      <c r="J467" s="277"/>
      <c r="K467" s="281">
        <f t="shared" si="650"/>
        <v>222423558.34999999</v>
      </c>
      <c r="L467" s="277"/>
      <c r="M467" s="277"/>
      <c r="N467" s="277"/>
      <c r="O467" s="277"/>
      <c r="P467" s="277">
        <v>0</v>
      </c>
      <c r="Q467" s="277"/>
      <c r="R467" s="281">
        <f t="shared" si="653"/>
        <v>0</v>
      </c>
      <c r="S467" s="277"/>
      <c r="T467" s="277"/>
      <c r="U467" s="277"/>
      <c r="V467" s="277"/>
      <c r="W467" s="277"/>
      <c r="X467" s="277"/>
      <c r="Y467" s="277"/>
      <c r="Z467" s="277"/>
      <c r="AA467" s="281">
        <f t="shared" si="695"/>
        <v>0</v>
      </c>
      <c r="AB467" s="403">
        <f t="shared" si="655"/>
        <v>0</v>
      </c>
      <c r="AC467" s="326">
        <f t="shared" si="673"/>
        <v>0</v>
      </c>
    </row>
    <row r="468" spans="1:29" ht="51" x14ac:dyDescent="0.2">
      <c r="B468" s="323" t="s">
        <v>1388</v>
      </c>
      <c r="C468" s="206" t="s">
        <v>1389</v>
      </c>
      <c r="D468" s="277"/>
      <c r="E468" s="325">
        <f>SUM('ADICIONES  2021'!C468:N468)</f>
        <v>12286772.68</v>
      </c>
      <c r="F468" s="277"/>
      <c r="G468" s="277"/>
      <c r="H468" s="277"/>
      <c r="I468" s="277"/>
      <c r="J468" s="277"/>
      <c r="K468" s="281">
        <f t="shared" si="650"/>
        <v>12286772.68</v>
      </c>
      <c r="L468" s="277"/>
      <c r="M468" s="277"/>
      <c r="N468" s="277"/>
      <c r="O468" s="277"/>
      <c r="P468" s="277">
        <v>12286772.68</v>
      </c>
      <c r="Q468" s="277"/>
      <c r="R468" s="281">
        <f t="shared" si="653"/>
        <v>12286772.68</v>
      </c>
      <c r="S468" s="277"/>
      <c r="T468" s="277"/>
      <c r="U468" s="277"/>
      <c r="V468" s="277"/>
      <c r="W468" s="277"/>
      <c r="X468" s="277"/>
      <c r="Y468" s="277"/>
      <c r="Z468" s="277"/>
      <c r="AA468" s="281">
        <f t="shared" si="695"/>
        <v>0</v>
      </c>
      <c r="AB468" s="403">
        <f t="shared" si="655"/>
        <v>12286772.68</v>
      </c>
      <c r="AC468" s="326">
        <f t="shared" si="673"/>
        <v>1</v>
      </c>
    </row>
    <row r="469" spans="1:29" ht="25.5" x14ac:dyDescent="0.2">
      <c r="B469" s="323" t="s">
        <v>1390</v>
      </c>
      <c r="C469" s="206" t="s">
        <v>1391</v>
      </c>
      <c r="D469" s="277"/>
      <c r="E469" s="325">
        <f>SUM('ADICIONES  2021'!C469:N469)</f>
        <v>37760753.93</v>
      </c>
      <c r="F469" s="277"/>
      <c r="G469" s="277"/>
      <c r="H469" s="277"/>
      <c r="I469" s="277"/>
      <c r="J469" s="277"/>
      <c r="K469" s="281">
        <f t="shared" si="650"/>
        <v>37760753.93</v>
      </c>
      <c r="L469" s="277"/>
      <c r="M469" s="277"/>
      <c r="N469" s="277"/>
      <c r="O469" s="277"/>
      <c r="P469" s="277">
        <v>37760753.93</v>
      </c>
      <c r="Q469" s="277"/>
      <c r="R469" s="281">
        <f t="shared" si="653"/>
        <v>37760753.93</v>
      </c>
      <c r="S469" s="277"/>
      <c r="T469" s="277"/>
      <c r="U469" s="277"/>
      <c r="V469" s="277"/>
      <c r="W469" s="277"/>
      <c r="X469" s="277"/>
      <c r="Y469" s="277"/>
      <c r="Z469" s="277"/>
      <c r="AA469" s="281">
        <f t="shared" si="695"/>
        <v>0</v>
      </c>
      <c r="AB469" s="403">
        <f t="shared" si="655"/>
        <v>37760753.93</v>
      </c>
      <c r="AC469" s="326">
        <f t="shared" si="673"/>
        <v>1</v>
      </c>
    </row>
    <row r="470" spans="1:29" ht="25.5" x14ac:dyDescent="0.2">
      <c r="B470" s="323" t="s">
        <v>1392</v>
      </c>
      <c r="C470" s="206" t="s">
        <v>1393</v>
      </c>
      <c r="D470" s="277"/>
      <c r="E470" s="325">
        <f>SUM('ADICIONES  2021'!C470:N470)</f>
        <v>352624209.5</v>
      </c>
      <c r="F470" s="277"/>
      <c r="G470" s="277"/>
      <c r="H470" s="277"/>
      <c r="I470" s="277"/>
      <c r="J470" s="277"/>
      <c r="K470" s="281">
        <f t="shared" si="650"/>
        <v>352624209.5</v>
      </c>
      <c r="L470" s="277"/>
      <c r="M470" s="277"/>
      <c r="N470" s="277"/>
      <c r="O470" s="277"/>
      <c r="P470" s="277">
        <v>352624209.5</v>
      </c>
      <c r="Q470" s="277"/>
      <c r="R470" s="281">
        <f t="shared" si="653"/>
        <v>352624209.5</v>
      </c>
      <c r="S470" s="277"/>
      <c r="T470" s="277"/>
      <c r="U470" s="277"/>
      <c r="V470" s="277"/>
      <c r="W470" s="277"/>
      <c r="X470" s="277"/>
      <c r="Y470" s="277"/>
      <c r="Z470" s="277"/>
      <c r="AA470" s="281">
        <f t="shared" si="695"/>
        <v>0</v>
      </c>
      <c r="AB470" s="403">
        <f t="shared" si="655"/>
        <v>352624209.5</v>
      </c>
      <c r="AC470" s="326">
        <f t="shared" si="673"/>
        <v>1</v>
      </c>
    </row>
    <row r="471" spans="1:29" ht="25.5" x14ac:dyDescent="0.2">
      <c r="B471" s="323" t="s">
        <v>1394</v>
      </c>
      <c r="C471" s="206" t="s">
        <v>1395</v>
      </c>
      <c r="D471" s="277"/>
      <c r="E471" s="325">
        <f>SUM('ADICIONES  2021'!C471:N471)</f>
        <v>698000000</v>
      </c>
      <c r="F471" s="277"/>
      <c r="G471" s="277"/>
      <c r="H471" s="277"/>
      <c r="I471" s="277"/>
      <c r="J471" s="277"/>
      <c r="K471" s="281">
        <f t="shared" si="650"/>
        <v>698000000</v>
      </c>
      <c r="L471" s="277"/>
      <c r="M471" s="277"/>
      <c r="N471" s="277"/>
      <c r="O471" s="277"/>
      <c r="P471" s="277">
        <v>698000000</v>
      </c>
      <c r="Q471" s="277"/>
      <c r="R471" s="281">
        <f t="shared" si="653"/>
        <v>698000000</v>
      </c>
      <c r="S471" s="277"/>
      <c r="T471" s="277"/>
      <c r="U471" s="277"/>
      <c r="V471" s="277"/>
      <c r="W471" s="277"/>
      <c r="X471" s="277"/>
      <c r="Y471" s="277"/>
      <c r="Z471" s="277"/>
      <c r="AA471" s="281">
        <f t="shared" si="695"/>
        <v>0</v>
      </c>
      <c r="AB471" s="403">
        <f t="shared" si="655"/>
        <v>698000000</v>
      </c>
      <c r="AC471" s="326">
        <f t="shared" si="673"/>
        <v>1</v>
      </c>
    </row>
    <row r="472" spans="1:29" ht="25.5" x14ac:dyDescent="0.2">
      <c r="B472" s="323" t="s">
        <v>1396</v>
      </c>
      <c r="C472" s="206" t="s">
        <v>1397</v>
      </c>
      <c r="D472" s="277"/>
      <c r="E472" s="325">
        <f>SUM('ADICIONES  2021'!C472:N472)</f>
        <v>27979392</v>
      </c>
      <c r="F472" s="277"/>
      <c r="G472" s="277"/>
      <c r="H472" s="277"/>
      <c r="I472" s="277"/>
      <c r="J472" s="277"/>
      <c r="K472" s="281">
        <f t="shared" si="650"/>
        <v>27979392</v>
      </c>
      <c r="L472" s="277"/>
      <c r="M472" s="277"/>
      <c r="N472" s="277"/>
      <c r="O472" s="277"/>
      <c r="P472" s="277">
        <v>27979392</v>
      </c>
      <c r="Q472" s="277"/>
      <c r="R472" s="281">
        <f t="shared" si="653"/>
        <v>27979392</v>
      </c>
      <c r="S472" s="277"/>
      <c r="T472" s="277"/>
      <c r="U472" s="277"/>
      <c r="V472" s="277"/>
      <c r="W472" s="277"/>
      <c r="X472" s="277"/>
      <c r="Y472" s="277"/>
      <c r="Z472" s="277"/>
      <c r="AA472" s="281">
        <f t="shared" si="695"/>
        <v>0</v>
      </c>
      <c r="AB472" s="403">
        <f t="shared" si="655"/>
        <v>27979392</v>
      </c>
      <c r="AC472" s="326">
        <f t="shared" si="673"/>
        <v>1</v>
      </c>
    </row>
    <row r="473" spans="1:29" s="5" customFormat="1" x14ac:dyDescent="0.2">
      <c r="A473" s="96"/>
      <c r="B473" s="318" t="s">
        <v>1398</v>
      </c>
      <c r="C473" s="319" t="s">
        <v>1399</v>
      </c>
      <c r="D473" s="279">
        <f>SUM(D474:D479)</f>
        <v>0</v>
      </c>
      <c r="E473" s="322">
        <f>SUM('ADICIONES  2021'!C473:N473)</f>
        <v>6445106.1399999997</v>
      </c>
      <c r="F473" s="279">
        <f>SUM(F474:F479)</f>
        <v>0</v>
      </c>
      <c r="G473" s="279">
        <f>SUM(G474:G479)</f>
        <v>0</v>
      </c>
      <c r="H473" s="279">
        <f>SUM(H474:H479)</f>
        <v>0</v>
      </c>
      <c r="I473" s="279">
        <f>SUM(I474:I479)</f>
        <v>0</v>
      </c>
      <c r="J473" s="279">
        <f>SUM(J474:J479)</f>
        <v>0</v>
      </c>
      <c r="K473" s="276">
        <f t="shared" si="650"/>
        <v>6445106.1399999997</v>
      </c>
      <c r="L473" s="279">
        <f t="shared" ref="L473:Q473" si="696">SUM(L474:L479)</f>
        <v>0</v>
      </c>
      <c r="M473" s="279">
        <f t="shared" si="696"/>
        <v>0</v>
      </c>
      <c r="N473" s="279">
        <f t="shared" si="696"/>
        <v>0</v>
      </c>
      <c r="O473" s="279">
        <f t="shared" si="696"/>
        <v>0</v>
      </c>
      <c r="P473" s="279">
        <f t="shared" si="696"/>
        <v>6442499.1399999997</v>
      </c>
      <c r="Q473" s="279">
        <f t="shared" si="696"/>
        <v>0</v>
      </c>
      <c r="R473" s="276">
        <f t="shared" si="653"/>
        <v>6442499.1399999997</v>
      </c>
      <c r="S473" s="279">
        <f t="shared" ref="S473:Z473" si="697">SUM(S474:S479)</f>
        <v>0</v>
      </c>
      <c r="T473" s="279">
        <f t="shared" si="697"/>
        <v>0</v>
      </c>
      <c r="U473" s="279">
        <f t="shared" si="697"/>
        <v>0</v>
      </c>
      <c r="V473" s="279">
        <f t="shared" si="697"/>
        <v>0</v>
      </c>
      <c r="W473" s="279">
        <f t="shared" si="697"/>
        <v>2607</v>
      </c>
      <c r="X473" s="279">
        <f t="shared" si="697"/>
        <v>0</v>
      </c>
      <c r="Y473" s="279">
        <f t="shared" si="697"/>
        <v>0</v>
      </c>
      <c r="Z473" s="279">
        <f t="shared" si="697"/>
        <v>0</v>
      </c>
      <c r="AA473" s="276">
        <f t="shared" si="695"/>
        <v>2607</v>
      </c>
      <c r="AB473" s="402">
        <f t="shared" si="655"/>
        <v>6445106.1399999997</v>
      </c>
      <c r="AC473" s="321">
        <f t="shared" si="673"/>
        <v>1</v>
      </c>
    </row>
    <row r="474" spans="1:29" ht="14.25" x14ac:dyDescent="0.2">
      <c r="B474" s="323" t="s">
        <v>1400</v>
      </c>
      <c r="C474" s="206" t="s">
        <v>1401</v>
      </c>
      <c r="D474" s="277"/>
      <c r="E474" s="325">
        <f>SUM('ADICIONES  2021'!C474:N474)</f>
        <v>5346270.54</v>
      </c>
      <c r="F474" s="277"/>
      <c r="G474" s="277"/>
      <c r="H474" s="277"/>
      <c r="I474" s="277"/>
      <c r="J474" s="277"/>
      <c r="K474" s="281">
        <f t="shared" si="650"/>
        <v>5346270.54</v>
      </c>
      <c r="L474" s="277"/>
      <c r="M474" s="277"/>
      <c r="N474" s="277"/>
      <c r="O474" s="277"/>
      <c r="P474" s="277">
        <v>5346270.54</v>
      </c>
      <c r="Q474" s="277"/>
      <c r="R474" s="281">
        <f t="shared" si="653"/>
        <v>5346270.54</v>
      </c>
      <c r="S474" s="277"/>
      <c r="T474" s="277"/>
      <c r="U474" s="277"/>
      <c r="V474" s="277"/>
      <c r="W474" s="277"/>
      <c r="X474" s="277"/>
      <c r="Y474" s="277"/>
      <c r="Z474" s="277"/>
      <c r="AA474" s="281">
        <f t="shared" si="695"/>
        <v>0</v>
      </c>
      <c r="AB474" s="403">
        <f t="shared" si="655"/>
        <v>5346270.54</v>
      </c>
      <c r="AC474" s="326">
        <f t="shared" si="673"/>
        <v>1</v>
      </c>
    </row>
    <row r="475" spans="1:29" ht="14.25" x14ac:dyDescent="0.2">
      <c r="B475" s="323" t="s">
        <v>1402</v>
      </c>
      <c r="C475" s="206" t="s">
        <v>1403</v>
      </c>
      <c r="D475" s="277"/>
      <c r="E475" s="325">
        <f>SUM('ADICIONES  2021'!C475:N475)</f>
        <v>144370.26</v>
      </c>
      <c r="F475" s="277"/>
      <c r="G475" s="277"/>
      <c r="H475" s="277"/>
      <c r="I475" s="277"/>
      <c r="J475" s="277"/>
      <c r="K475" s="281">
        <f t="shared" si="650"/>
        <v>144370.26</v>
      </c>
      <c r="L475" s="277"/>
      <c r="M475" s="277"/>
      <c r="N475" s="277"/>
      <c r="O475" s="277"/>
      <c r="P475" s="277">
        <v>144370.26</v>
      </c>
      <c r="Q475" s="277"/>
      <c r="R475" s="281">
        <f t="shared" si="653"/>
        <v>144370.26</v>
      </c>
      <c r="S475" s="277"/>
      <c r="T475" s="277"/>
      <c r="U475" s="277"/>
      <c r="V475" s="277"/>
      <c r="W475" s="277"/>
      <c r="X475" s="277"/>
      <c r="Y475" s="277"/>
      <c r="Z475" s="277"/>
      <c r="AA475" s="281">
        <f t="shared" si="695"/>
        <v>0</v>
      </c>
      <c r="AB475" s="403">
        <f t="shared" si="655"/>
        <v>144370.26</v>
      </c>
      <c r="AC475" s="326">
        <f t="shared" si="673"/>
        <v>1</v>
      </c>
    </row>
    <row r="476" spans="1:29" ht="14.25" x14ac:dyDescent="0.2">
      <c r="B476" s="323" t="s">
        <v>1404</v>
      </c>
      <c r="C476" s="206" t="s">
        <v>1405</v>
      </c>
      <c r="D476" s="277"/>
      <c r="E476" s="325">
        <f>SUM('ADICIONES  2021'!C476:N476)</f>
        <v>16785.169999999998</v>
      </c>
      <c r="F476" s="277"/>
      <c r="G476" s="277"/>
      <c r="H476" s="277"/>
      <c r="I476" s="277"/>
      <c r="J476" s="277"/>
      <c r="K476" s="281">
        <f t="shared" si="650"/>
        <v>16785.169999999998</v>
      </c>
      <c r="L476" s="277"/>
      <c r="M476" s="277"/>
      <c r="N476" s="277"/>
      <c r="O476" s="277"/>
      <c r="P476" s="277">
        <v>16785.169999999998</v>
      </c>
      <c r="Q476" s="277"/>
      <c r="R476" s="281">
        <f t="shared" si="653"/>
        <v>16785.169999999998</v>
      </c>
      <c r="S476" s="277"/>
      <c r="T476" s="277"/>
      <c r="U476" s="277"/>
      <c r="V476" s="277"/>
      <c r="W476" s="277"/>
      <c r="X476" s="277"/>
      <c r="Y476" s="277"/>
      <c r="Z476" s="277"/>
      <c r="AA476" s="281">
        <f t="shared" si="695"/>
        <v>0</v>
      </c>
      <c r="AB476" s="403">
        <f t="shared" si="655"/>
        <v>16785.169999999998</v>
      </c>
      <c r="AC476" s="326">
        <f t="shared" si="673"/>
        <v>1</v>
      </c>
    </row>
    <row r="477" spans="1:29" ht="14.25" x14ac:dyDescent="0.2">
      <c r="B477" s="323" t="s">
        <v>1406</v>
      </c>
      <c r="C477" s="206" t="s">
        <v>1407</v>
      </c>
      <c r="D477" s="277"/>
      <c r="E477" s="325">
        <f>SUM('ADICIONES  2021'!C477:N477)</f>
        <v>244473.17</v>
      </c>
      <c r="F477" s="277"/>
      <c r="G477" s="277"/>
      <c r="H477" s="277"/>
      <c r="I477" s="277"/>
      <c r="J477" s="277"/>
      <c r="K477" s="281">
        <f t="shared" si="650"/>
        <v>244473.17</v>
      </c>
      <c r="L477" s="277"/>
      <c r="M477" s="277"/>
      <c r="N477" s="277"/>
      <c r="O477" s="277"/>
      <c r="P477" s="277">
        <v>244473.17</v>
      </c>
      <c r="Q477" s="277"/>
      <c r="R477" s="281">
        <f t="shared" si="653"/>
        <v>244473.17</v>
      </c>
      <c r="S477" s="277"/>
      <c r="T477" s="277"/>
      <c r="U477" s="277"/>
      <c r="V477" s="277"/>
      <c r="W477" s="277"/>
      <c r="X477" s="277"/>
      <c r="Y477" s="277"/>
      <c r="Z477" s="277"/>
      <c r="AA477" s="281">
        <f t="shared" si="695"/>
        <v>0</v>
      </c>
      <c r="AB477" s="403">
        <f t="shared" si="655"/>
        <v>244473.17</v>
      </c>
      <c r="AC477" s="326">
        <f t="shared" si="673"/>
        <v>1</v>
      </c>
    </row>
    <row r="478" spans="1:29" ht="14.25" x14ac:dyDescent="0.2">
      <c r="B478" s="323" t="s">
        <v>1406</v>
      </c>
      <c r="C478" s="206" t="s">
        <v>1407</v>
      </c>
      <c r="D478" s="277"/>
      <c r="E478" s="325">
        <f>SUM('ADICIONES  2021'!C478:N478)</f>
        <v>2607</v>
      </c>
      <c r="F478" s="277"/>
      <c r="G478" s="277"/>
      <c r="H478" s="277"/>
      <c r="I478" s="277"/>
      <c r="J478" s="277"/>
      <c r="K478" s="281">
        <f t="shared" si="650"/>
        <v>2607</v>
      </c>
      <c r="L478" s="277"/>
      <c r="M478" s="277"/>
      <c r="N478" s="277"/>
      <c r="O478" s="277"/>
      <c r="P478" s="277"/>
      <c r="Q478" s="277"/>
      <c r="R478" s="281">
        <f t="shared" ref="R478" si="698">SUM(L478:Q478)</f>
        <v>0</v>
      </c>
      <c r="S478" s="277"/>
      <c r="T478" s="277"/>
      <c r="U478" s="277"/>
      <c r="V478" s="277"/>
      <c r="W478" s="277">
        <v>2607</v>
      </c>
      <c r="X478" s="277"/>
      <c r="Y478" s="277"/>
      <c r="Z478" s="277"/>
      <c r="AA478" s="281">
        <f t="shared" ref="AA478" si="699">SUM(S478:Z478)</f>
        <v>2607</v>
      </c>
      <c r="AB478" s="403">
        <f t="shared" si="655"/>
        <v>2607</v>
      </c>
      <c r="AC478" s="326">
        <f t="shared" si="673"/>
        <v>1</v>
      </c>
    </row>
    <row r="479" spans="1:29" ht="14.25" x14ac:dyDescent="0.2">
      <c r="B479" s="323" t="s">
        <v>1408</v>
      </c>
      <c r="C479" s="206" t="s">
        <v>1409</v>
      </c>
      <c r="D479" s="277"/>
      <c r="E479" s="325">
        <f>SUM('ADICIONES  2021'!C479:N479)</f>
        <v>690600</v>
      </c>
      <c r="F479" s="277"/>
      <c r="G479" s="277"/>
      <c r="H479" s="277"/>
      <c r="I479" s="277"/>
      <c r="J479" s="277"/>
      <c r="K479" s="281">
        <f t="shared" si="650"/>
        <v>690600</v>
      </c>
      <c r="L479" s="277"/>
      <c r="M479" s="277"/>
      <c r="N479" s="277"/>
      <c r="O479" s="277"/>
      <c r="P479" s="277">
        <v>690600</v>
      </c>
      <c r="Q479" s="277"/>
      <c r="R479" s="281">
        <f t="shared" si="653"/>
        <v>690600</v>
      </c>
      <c r="S479" s="277"/>
      <c r="T479" s="277"/>
      <c r="U479" s="277"/>
      <c r="V479" s="277"/>
      <c r="W479" s="277"/>
      <c r="X479" s="277"/>
      <c r="Y479" s="277"/>
      <c r="Z479" s="277"/>
      <c r="AA479" s="281">
        <f t="shared" si="695"/>
        <v>0</v>
      </c>
      <c r="AB479" s="403">
        <f t="shared" si="655"/>
        <v>690600</v>
      </c>
      <c r="AC479" s="326">
        <f t="shared" si="673"/>
        <v>1</v>
      </c>
    </row>
    <row r="480" spans="1:29" ht="14.25" x14ac:dyDescent="0.2">
      <c r="B480" s="318" t="s">
        <v>1410</v>
      </c>
      <c r="C480" s="319" t="s">
        <v>1411</v>
      </c>
      <c r="D480" s="279">
        <f>+D481+D483+D487+D490+D496+D501+D507+D510</f>
        <v>0</v>
      </c>
      <c r="E480" s="322">
        <f>SUM('ADICIONES  2021'!C480:N480)</f>
        <v>37929694342.109993</v>
      </c>
      <c r="F480" s="279">
        <f>+F481+F483+F487+F490+F496+F501+F507+F510</f>
        <v>0</v>
      </c>
      <c r="G480" s="279">
        <f>+G481+G483+G487+G490+G496+G501+G507+G510</f>
        <v>0</v>
      </c>
      <c r="H480" s="279">
        <f>+H481+H483+H487+H490+H496+H501+H507+H510</f>
        <v>0</v>
      </c>
      <c r="I480" s="279">
        <f>+I481+I483+I487+I490+I496+I501+I507+I510</f>
        <v>0</v>
      </c>
      <c r="J480" s="279">
        <f>+J481+J483+J487+J490+J496+J501+J507+J510</f>
        <v>0</v>
      </c>
      <c r="K480" s="281">
        <f t="shared" si="650"/>
        <v>37929694342.109993</v>
      </c>
      <c r="L480" s="279">
        <f t="shared" ref="L480:Q480" si="700">+L481+L483+L487+L490+L496+L501+L507+L510</f>
        <v>0</v>
      </c>
      <c r="M480" s="279">
        <f t="shared" si="700"/>
        <v>0</v>
      </c>
      <c r="N480" s="279">
        <f t="shared" si="700"/>
        <v>0</v>
      </c>
      <c r="O480" s="279">
        <f t="shared" si="700"/>
        <v>0</v>
      </c>
      <c r="P480" s="279">
        <f t="shared" si="700"/>
        <v>37711694342.109993</v>
      </c>
      <c r="Q480" s="279">
        <f t="shared" si="700"/>
        <v>0</v>
      </c>
      <c r="R480" s="281">
        <f t="shared" si="653"/>
        <v>37711694342.109993</v>
      </c>
      <c r="S480" s="279">
        <f t="shared" ref="S480:Z480" si="701">+S481+S483+S487+S490+S496+S501+S507+S510</f>
        <v>0</v>
      </c>
      <c r="T480" s="279">
        <f t="shared" si="701"/>
        <v>0</v>
      </c>
      <c r="U480" s="279">
        <f t="shared" si="701"/>
        <v>0</v>
      </c>
      <c r="V480" s="279">
        <f t="shared" si="701"/>
        <v>0</v>
      </c>
      <c r="W480" s="279">
        <f t="shared" si="701"/>
        <v>218000000</v>
      </c>
      <c r="X480" s="279">
        <f t="shared" si="701"/>
        <v>0</v>
      </c>
      <c r="Y480" s="279">
        <f t="shared" si="701"/>
        <v>0</v>
      </c>
      <c r="Z480" s="279">
        <f t="shared" si="701"/>
        <v>0</v>
      </c>
      <c r="AA480" s="281">
        <f t="shared" si="695"/>
        <v>218000000</v>
      </c>
      <c r="AB480" s="403">
        <f t="shared" si="655"/>
        <v>37929694342.109993</v>
      </c>
      <c r="AC480" s="326">
        <f t="shared" si="673"/>
        <v>1</v>
      </c>
    </row>
    <row r="481" spans="2:29" ht="25.5" x14ac:dyDescent="0.2">
      <c r="B481" s="318" t="s">
        <v>1412</v>
      </c>
      <c r="C481" s="319" t="s">
        <v>1413</v>
      </c>
      <c r="D481" s="279">
        <f>+D482</f>
        <v>0</v>
      </c>
      <c r="E481" s="322">
        <f>SUM('ADICIONES  2021'!C481:N481)</f>
        <v>1027049896.25</v>
      </c>
      <c r="F481" s="279">
        <f>+F482</f>
        <v>0</v>
      </c>
      <c r="G481" s="279">
        <f>+G482</f>
        <v>0</v>
      </c>
      <c r="H481" s="279">
        <f>+H482</f>
        <v>0</v>
      </c>
      <c r="I481" s="279">
        <f>+I482</f>
        <v>0</v>
      </c>
      <c r="J481" s="279">
        <f>+J482</f>
        <v>0</v>
      </c>
      <c r="K481" s="281">
        <f t="shared" si="650"/>
        <v>1027049896.25</v>
      </c>
      <c r="L481" s="279">
        <f t="shared" ref="L481:Q481" si="702">+L482</f>
        <v>0</v>
      </c>
      <c r="M481" s="279">
        <f t="shared" si="702"/>
        <v>0</v>
      </c>
      <c r="N481" s="279">
        <f t="shared" si="702"/>
        <v>0</v>
      </c>
      <c r="O481" s="279">
        <f t="shared" si="702"/>
        <v>0</v>
      </c>
      <c r="P481" s="279">
        <f t="shared" si="702"/>
        <v>1027049896.25</v>
      </c>
      <c r="Q481" s="279">
        <f t="shared" si="702"/>
        <v>0</v>
      </c>
      <c r="R481" s="281">
        <f t="shared" si="653"/>
        <v>1027049896.25</v>
      </c>
      <c r="S481" s="279">
        <f t="shared" ref="S481:Z481" si="703">+S482</f>
        <v>0</v>
      </c>
      <c r="T481" s="279">
        <f t="shared" si="703"/>
        <v>0</v>
      </c>
      <c r="U481" s="279">
        <f t="shared" si="703"/>
        <v>0</v>
      </c>
      <c r="V481" s="279">
        <f t="shared" si="703"/>
        <v>0</v>
      </c>
      <c r="W481" s="279">
        <f t="shared" si="703"/>
        <v>0</v>
      </c>
      <c r="X481" s="279">
        <f t="shared" si="703"/>
        <v>0</v>
      </c>
      <c r="Y481" s="279">
        <f t="shared" si="703"/>
        <v>0</v>
      </c>
      <c r="Z481" s="279">
        <f t="shared" si="703"/>
        <v>0</v>
      </c>
      <c r="AA481" s="281">
        <f t="shared" si="695"/>
        <v>0</v>
      </c>
      <c r="AB481" s="403">
        <f t="shared" si="655"/>
        <v>1027049896.25</v>
      </c>
      <c r="AC481" s="326">
        <f t="shared" si="673"/>
        <v>1</v>
      </c>
    </row>
    <row r="482" spans="2:29" ht="14.25" x14ac:dyDescent="0.2">
      <c r="B482" s="323" t="s">
        <v>1414</v>
      </c>
      <c r="C482" s="206" t="s">
        <v>1415</v>
      </c>
      <c r="D482" s="277"/>
      <c r="E482" s="325">
        <f>SUM('ADICIONES  2021'!C482:N482)</f>
        <v>1027049896.25</v>
      </c>
      <c r="F482" s="277"/>
      <c r="G482" s="277"/>
      <c r="H482" s="277"/>
      <c r="I482" s="277"/>
      <c r="J482" s="277"/>
      <c r="K482" s="281">
        <f t="shared" si="650"/>
        <v>1027049896.25</v>
      </c>
      <c r="L482" s="277"/>
      <c r="M482" s="277"/>
      <c r="N482" s="277"/>
      <c r="O482" s="277"/>
      <c r="P482" s="277">
        <v>1027049896.25</v>
      </c>
      <c r="Q482" s="277"/>
      <c r="R482" s="281">
        <f t="shared" si="653"/>
        <v>1027049896.25</v>
      </c>
      <c r="S482" s="277"/>
      <c r="T482" s="277"/>
      <c r="U482" s="277"/>
      <c r="V482" s="277"/>
      <c r="W482" s="277"/>
      <c r="X482" s="277"/>
      <c r="Y482" s="277"/>
      <c r="Z482" s="277"/>
      <c r="AA482" s="281">
        <f t="shared" si="695"/>
        <v>0</v>
      </c>
      <c r="AB482" s="403">
        <f t="shared" si="655"/>
        <v>1027049896.25</v>
      </c>
      <c r="AC482" s="326">
        <f t="shared" si="673"/>
        <v>1</v>
      </c>
    </row>
    <row r="483" spans="2:29" ht="14.25" x14ac:dyDescent="0.2">
      <c r="B483" s="318" t="s">
        <v>1416</v>
      </c>
      <c r="C483" s="319" t="s">
        <v>1417</v>
      </c>
      <c r="D483" s="279">
        <f>SUM(D484:D486)</f>
        <v>0</v>
      </c>
      <c r="E483" s="322">
        <f>SUM('ADICIONES  2021'!C483:N483)</f>
        <v>8110346950.25</v>
      </c>
      <c r="F483" s="279">
        <f>SUM(F484:F486)</f>
        <v>0</v>
      </c>
      <c r="G483" s="279">
        <f>SUM(G484:G486)</f>
        <v>0</v>
      </c>
      <c r="H483" s="279">
        <f>SUM(H484:H486)</f>
        <v>0</v>
      </c>
      <c r="I483" s="279">
        <f>SUM(I484:I486)</f>
        <v>0</v>
      </c>
      <c r="J483" s="279">
        <f>SUM(J484:J486)</f>
        <v>0</v>
      </c>
      <c r="K483" s="281">
        <f t="shared" si="650"/>
        <v>8110346950.25</v>
      </c>
      <c r="L483" s="279">
        <f t="shared" ref="L483:Q483" si="704">SUM(L484:L486)</f>
        <v>0</v>
      </c>
      <c r="M483" s="279">
        <f t="shared" si="704"/>
        <v>0</v>
      </c>
      <c r="N483" s="279">
        <f t="shared" si="704"/>
        <v>0</v>
      </c>
      <c r="O483" s="279">
        <f t="shared" si="704"/>
        <v>0</v>
      </c>
      <c r="P483" s="279">
        <f t="shared" si="704"/>
        <v>8110346950.25</v>
      </c>
      <c r="Q483" s="279">
        <f t="shared" si="704"/>
        <v>0</v>
      </c>
      <c r="R483" s="281">
        <f t="shared" si="653"/>
        <v>8110346950.25</v>
      </c>
      <c r="S483" s="279">
        <f t="shared" ref="S483:Z483" si="705">SUM(S484:S486)</f>
        <v>0</v>
      </c>
      <c r="T483" s="279">
        <f t="shared" si="705"/>
        <v>0</v>
      </c>
      <c r="U483" s="279">
        <f t="shared" si="705"/>
        <v>0</v>
      </c>
      <c r="V483" s="279">
        <f t="shared" si="705"/>
        <v>0</v>
      </c>
      <c r="W483" s="279">
        <f t="shared" si="705"/>
        <v>0</v>
      </c>
      <c r="X483" s="279">
        <f t="shared" si="705"/>
        <v>0</v>
      </c>
      <c r="Y483" s="279">
        <f t="shared" si="705"/>
        <v>0</v>
      </c>
      <c r="Z483" s="279">
        <f t="shared" si="705"/>
        <v>0</v>
      </c>
      <c r="AA483" s="281">
        <f t="shared" si="695"/>
        <v>0</v>
      </c>
      <c r="AB483" s="403">
        <f t="shared" si="655"/>
        <v>8110346950.25</v>
      </c>
      <c r="AC483" s="326">
        <f t="shared" si="673"/>
        <v>1</v>
      </c>
    </row>
    <row r="484" spans="2:29" ht="25.5" x14ac:dyDescent="0.2">
      <c r="B484" s="323" t="s">
        <v>1418</v>
      </c>
      <c r="C484" s="206" t="s">
        <v>1419</v>
      </c>
      <c r="D484" s="277"/>
      <c r="E484" s="325">
        <f>SUM('ADICIONES  2021'!C484:N484)</f>
        <v>1319548135.48</v>
      </c>
      <c r="F484" s="277"/>
      <c r="G484" s="277"/>
      <c r="H484" s="277"/>
      <c r="I484" s="277"/>
      <c r="J484" s="277"/>
      <c r="K484" s="281">
        <f t="shared" si="650"/>
        <v>1319548135.48</v>
      </c>
      <c r="L484" s="277"/>
      <c r="M484" s="277"/>
      <c r="N484" s="277"/>
      <c r="O484" s="277"/>
      <c r="P484" s="277">
        <v>1319548135.48</v>
      </c>
      <c r="Q484" s="277"/>
      <c r="R484" s="281">
        <f t="shared" si="653"/>
        <v>1319548135.48</v>
      </c>
      <c r="S484" s="277"/>
      <c r="T484" s="277"/>
      <c r="U484" s="277"/>
      <c r="V484" s="277"/>
      <c r="W484" s="277"/>
      <c r="X484" s="277"/>
      <c r="Y484" s="277"/>
      <c r="Z484" s="277"/>
      <c r="AA484" s="281">
        <f t="shared" si="695"/>
        <v>0</v>
      </c>
      <c r="AB484" s="403">
        <f t="shared" si="655"/>
        <v>1319548135.48</v>
      </c>
      <c r="AC484" s="326">
        <f t="shared" si="673"/>
        <v>1</v>
      </c>
    </row>
    <row r="485" spans="2:29" ht="25.5" x14ac:dyDescent="0.2">
      <c r="B485" s="323" t="s">
        <v>1420</v>
      </c>
      <c r="C485" s="206" t="s">
        <v>1421</v>
      </c>
      <c r="D485" s="277"/>
      <c r="E485" s="325">
        <f>SUM('ADICIONES  2021'!C485:N485)</f>
        <v>5006060287.7700005</v>
      </c>
      <c r="F485" s="277"/>
      <c r="G485" s="277"/>
      <c r="H485" s="277"/>
      <c r="I485" s="277"/>
      <c r="J485" s="277"/>
      <c r="K485" s="281">
        <f t="shared" si="650"/>
        <v>5006060287.7700005</v>
      </c>
      <c r="L485" s="277"/>
      <c r="M485" s="277"/>
      <c r="N485" s="277"/>
      <c r="O485" s="277"/>
      <c r="P485" s="277">
        <v>5006060287.7700005</v>
      </c>
      <c r="Q485" s="277"/>
      <c r="R485" s="281">
        <f t="shared" si="653"/>
        <v>5006060287.7700005</v>
      </c>
      <c r="S485" s="277"/>
      <c r="T485" s="277"/>
      <c r="U485" s="277"/>
      <c r="V485" s="277"/>
      <c r="W485" s="277"/>
      <c r="X485" s="277"/>
      <c r="Y485" s="277"/>
      <c r="Z485" s="277"/>
      <c r="AA485" s="281">
        <f t="shared" si="695"/>
        <v>0</v>
      </c>
      <c r="AB485" s="403">
        <f t="shared" si="655"/>
        <v>5006060287.7700005</v>
      </c>
      <c r="AC485" s="326">
        <f t="shared" si="673"/>
        <v>1</v>
      </c>
    </row>
    <row r="486" spans="2:29" ht="14.25" x14ac:dyDescent="0.2">
      <c r="B486" s="323" t="s">
        <v>1422</v>
      </c>
      <c r="C486" s="206" t="s">
        <v>1423</v>
      </c>
      <c r="D486" s="277"/>
      <c r="E486" s="325">
        <f>SUM('ADICIONES  2021'!C486:N486)</f>
        <v>1784738527</v>
      </c>
      <c r="F486" s="277"/>
      <c r="G486" s="277"/>
      <c r="H486" s="277"/>
      <c r="I486" s="277"/>
      <c r="J486" s="277"/>
      <c r="K486" s="281">
        <f t="shared" si="650"/>
        <v>1784738527</v>
      </c>
      <c r="L486" s="277"/>
      <c r="M486" s="277"/>
      <c r="N486" s="277"/>
      <c r="O486" s="277"/>
      <c r="P486" s="277">
        <v>1784738527</v>
      </c>
      <c r="Q486" s="277"/>
      <c r="R486" s="281">
        <f t="shared" si="653"/>
        <v>1784738527</v>
      </c>
      <c r="S486" s="277"/>
      <c r="T486" s="277"/>
      <c r="U486" s="277"/>
      <c r="V486" s="277"/>
      <c r="W486" s="277"/>
      <c r="X486" s="277"/>
      <c r="Y486" s="277"/>
      <c r="Z486" s="277"/>
      <c r="AA486" s="281">
        <f t="shared" si="695"/>
        <v>0</v>
      </c>
      <c r="AB486" s="403">
        <f t="shared" si="655"/>
        <v>1784738527</v>
      </c>
      <c r="AC486" s="326">
        <f t="shared" si="673"/>
        <v>1</v>
      </c>
    </row>
    <row r="487" spans="2:29" ht="14.25" x14ac:dyDescent="0.2">
      <c r="B487" s="318" t="s">
        <v>1424</v>
      </c>
      <c r="C487" s="319" t="s">
        <v>1425</v>
      </c>
      <c r="D487" s="279">
        <f>SUM(D488:D489)</f>
        <v>0</v>
      </c>
      <c r="E487" s="322">
        <f>SUM('ADICIONES  2021'!C487:N487)</f>
        <v>6021063253.3999996</v>
      </c>
      <c r="F487" s="279">
        <f>SUM(F488:F489)</f>
        <v>0</v>
      </c>
      <c r="G487" s="279">
        <f>SUM(G488:G489)</f>
        <v>0</v>
      </c>
      <c r="H487" s="279">
        <f>SUM(H488:H489)</f>
        <v>0</v>
      </c>
      <c r="I487" s="279">
        <f>SUM(I488:I489)</f>
        <v>0</v>
      </c>
      <c r="J487" s="279">
        <f>SUM(J488:J489)</f>
        <v>0</v>
      </c>
      <c r="K487" s="281">
        <f t="shared" si="650"/>
        <v>6021063253.3999996</v>
      </c>
      <c r="L487" s="279">
        <f t="shared" ref="L487:Q487" si="706">SUM(L488:L489)</f>
        <v>0</v>
      </c>
      <c r="M487" s="279">
        <f t="shared" si="706"/>
        <v>0</v>
      </c>
      <c r="N487" s="279">
        <f t="shared" si="706"/>
        <v>0</v>
      </c>
      <c r="O487" s="279">
        <f t="shared" si="706"/>
        <v>0</v>
      </c>
      <c r="P487" s="279">
        <f t="shared" si="706"/>
        <v>6021063253.3999996</v>
      </c>
      <c r="Q487" s="279">
        <f t="shared" si="706"/>
        <v>0</v>
      </c>
      <c r="R487" s="281">
        <f t="shared" si="653"/>
        <v>6021063253.3999996</v>
      </c>
      <c r="S487" s="279">
        <f t="shared" ref="S487:Z487" si="707">SUM(S488:S489)</f>
        <v>0</v>
      </c>
      <c r="T487" s="279">
        <f t="shared" si="707"/>
        <v>0</v>
      </c>
      <c r="U487" s="279">
        <f t="shared" si="707"/>
        <v>0</v>
      </c>
      <c r="V487" s="279">
        <f t="shared" si="707"/>
        <v>0</v>
      </c>
      <c r="W487" s="279">
        <f t="shared" si="707"/>
        <v>0</v>
      </c>
      <c r="X487" s="279">
        <f t="shared" si="707"/>
        <v>0</v>
      </c>
      <c r="Y487" s="279">
        <f t="shared" si="707"/>
        <v>0</v>
      </c>
      <c r="Z487" s="279">
        <f t="shared" si="707"/>
        <v>0</v>
      </c>
      <c r="AA487" s="281">
        <f t="shared" si="695"/>
        <v>0</v>
      </c>
      <c r="AB487" s="403">
        <f t="shared" si="655"/>
        <v>6021063253.3999996</v>
      </c>
      <c r="AC487" s="326">
        <f t="shared" si="673"/>
        <v>1</v>
      </c>
    </row>
    <row r="488" spans="2:29" ht="14.25" x14ac:dyDescent="0.2">
      <c r="B488" s="323" t="s">
        <v>1426</v>
      </c>
      <c r="C488" s="206" t="s">
        <v>1427</v>
      </c>
      <c r="D488" s="277"/>
      <c r="E488" s="325">
        <f>SUM('ADICIONES  2021'!C488:N488)</f>
        <v>3403959283</v>
      </c>
      <c r="F488" s="277"/>
      <c r="G488" s="277"/>
      <c r="H488" s="277"/>
      <c r="I488" s="277"/>
      <c r="J488" s="277"/>
      <c r="K488" s="281">
        <f t="shared" si="650"/>
        <v>3403959283</v>
      </c>
      <c r="L488" s="277"/>
      <c r="M488" s="277"/>
      <c r="N488" s="277"/>
      <c r="O488" s="277"/>
      <c r="P488" s="277">
        <v>3403959283</v>
      </c>
      <c r="Q488" s="277"/>
      <c r="R488" s="281">
        <f t="shared" si="653"/>
        <v>3403959283</v>
      </c>
      <c r="S488" s="277"/>
      <c r="T488" s="277"/>
      <c r="U488" s="277"/>
      <c r="V488" s="277"/>
      <c r="W488" s="277"/>
      <c r="X488" s="277"/>
      <c r="Y488" s="277"/>
      <c r="Z488" s="277"/>
      <c r="AA488" s="281">
        <f t="shared" si="695"/>
        <v>0</v>
      </c>
      <c r="AB488" s="403">
        <f t="shared" si="655"/>
        <v>3403959283</v>
      </c>
      <c r="AC488" s="326">
        <f t="shared" si="673"/>
        <v>1</v>
      </c>
    </row>
    <row r="489" spans="2:29" ht="14.25" x14ac:dyDescent="0.2">
      <c r="B489" s="323" t="s">
        <v>1428</v>
      </c>
      <c r="C489" s="206" t="s">
        <v>1429</v>
      </c>
      <c r="D489" s="277"/>
      <c r="E489" s="325">
        <f>SUM('ADICIONES  2021'!C489:N489)</f>
        <v>2617103970.4000001</v>
      </c>
      <c r="F489" s="277"/>
      <c r="G489" s="277"/>
      <c r="H489" s="277"/>
      <c r="I489" s="277"/>
      <c r="J489" s="277"/>
      <c r="K489" s="281">
        <f t="shared" si="650"/>
        <v>2617103970.4000001</v>
      </c>
      <c r="L489" s="277"/>
      <c r="M489" s="277"/>
      <c r="N489" s="277"/>
      <c r="O489" s="277"/>
      <c r="P489" s="277">
        <v>2617103970.4000001</v>
      </c>
      <c r="Q489" s="277"/>
      <c r="R489" s="281">
        <f t="shared" si="653"/>
        <v>2617103970.4000001</v>
      </c>
      <c r="S489" s="277"/>
      <c r="T489" s="277"/>
      <c r="U489" s="277"/>
      <c r="V489" s="277"/>
      <c r="W489" s="277"/>
      <c r="X489" s="277"/>
      <c r="Y489" s="277"/>
      <c r="Z489" s="277"/>
      <c r="AA489" s="281">
        <f t="shared" si="695"/>
        <v>0</v>
      </c>
      <c r="AB489" s="403">
        <f t="shared" si="655"/>
        <v>2617103970.4000001</v>
      </c>
      <c r="AC489" s="326">
        <f t="shared" si="673"/>
        <v>1</v>
      </c>
    </row>
    <row r="490" spans="2:29" ht="25.5" x14ac:dyDescent="0.2">
      <c r="B490" s="318" t="s">
        <v>1430</v>
      </c>
      <c r="C490" s="319" t="s">
        <v>1431</v>
      </c>
      <c r="D490" s="279">
        <f>SUM(D491:D495)</f>
        <v>0</v>
      </c>
      <c r="E490" s="322">
        <f>SUM('ADICIONES  2021'!C490:N490)</f>
        <v>5392091029.4700003</v>
      </c>
      <c r="F490" s="279">
        <f>SUM(F491:F495)</f>
        <v>0</v>
      </c>
      <c r="G490" s="279">
        <f>SUM(G491:G495)</f>
        <v>0</v>
      </c>
      <c r="H490" s="279">
        <f>SUM(H491:H495)</f>
        <v>0</v>
      </c>
      <c r="I490" s="279">
        <f>SUM(I491:I495)</f>
        <v>0</v>
      </c>
      <c r="J490" s="279">
        <f>SUM(J491:J495)</f>
        <v>0</v>
      </c>
      <c r="K490" s="281">
        <f t="shared" si="650"/>
        <v>5392091029.4700003</v>
      </c>
      <c r="L490" s="279">
        <f t="shared" ref="L490:Q490" si="708">SUM(L491:L495)</f>
        <v>0</v>
      </c>
      <c r="M490" s="279">
        <f t="shared" si="708"/>
        <v>0</v>
      </c>
      <c r="N490" s="279">
        <f t="shared" si="708"/>
        <v>0</v>
      </c>
      <c r="O490" s="279">
        <f t="shared" si="708"/>
        <v>0</v>
      </c>
      <c r="P490" s="279">
        <f t="shared" si="708"/>
        <v>5392091029.4700003</v>
      </c>
      <c r="Q490" s="279">
        <f t="shared" si="708"/>
        <v>0</v>
      </c>
      <c r="R490" s="281">
        <f t="shared" si="653"/>
        <v>5392091029.4700003</v>
      </c>
      <c r="S490" s="279">
        <f t="shared" ref="S490:Z490" si="709">SUM(S491:S495)</f>
        <v>0</v>
      </c>
      <c r="T490" s="279">
        <f t="shared" si="709"/>
        <v>0</v>
      </c>
      <c r="U490" s="279">
        <f t="shared" si="709"/>
        <v>0</v>
      </c>
      <c r="V490" s="279">
        <f t="shared" si="709"/>
        <v>0</v>
      </c>
      <c r="W490" s="279">
        <f t="shared" si="709"/>
        <v>0</v>
      </c>
      <c r="X490" s="279">
        <f t="shared" si="709"/>
        <v>0</v>
      </c>
      <c r="Y490" s="279">
        <f t="shared" si="709"/>
        <v>0</v>
      </c>
      <c r="Z490" s="279">
        <f t="shared" si="709"/>
        <v>0</v>
      </c>
      <c r="AA490" s="281">
        <f t="shared" si="695"/>
        <v>0</v>
      </c>
      <c r="AB490" s="403">
        <f t="shared" si="655"/>
        <v>5392091029.4700003</v>
      </c>
      <c r="AC490" s="326">
        <f t="shared" si="673"/>
        <v>1</v>
      </c>
    </row>
    <row r="491" spans="2:29" ht="14.25" x14ac:dyDescent="0.2">
      <c r="B491" s="323" t="s">
        <v>1432</v>
      </c>
      <c r="C491" s="206" t="s">
        <v>1433</v>
      </c>
      <c r="D491" s="277"/>
      <c r="E491" s="325">
        <f>SUM('ADICIONES  2021'!C491:N491)</f>
        <v>3243305814.75</v>
      </c>
      <c r="F491" s="277"/>
      <c r="G491" s="277"/>
      <c r="H491" s="277"/>
      <c r="I491" s="277"/>
      <c r="J491" s="277"/>
      <c r="K491" s="281">
        <f t="shared" si="650"/>
        <v>3243305814.75</v>
      </c>
      <c r="L491" s="277"/>
      <c r="M491" s="277"/>
      <c r="N491" s="277"/>
      <c r="O491" s="277"/>
      <c r="P491" s="277">
        <v>3243305814.75</v>
      </c>
      <c r="Q491" s="277"/>
      <c r="R491" s="281">
        <f t="shared" si="653"/>
        <v>3243305814.75</v>
      </c>
      <c r="S491" s="277"/>
      <c r="T491" s="277"/>
      <c r="U491" s="277"/>
      <c r="V491" s="277"/>
      <c r="W491" s="277"/>
      <c r="X491" s="277"/>
      <c r="Y491" s="277"/>
      <c r="Z491" s="277"/>
      <c r="AA491" s="281">
        <f t="shared" si="695"/>
        <v>0</v>
      </c>
      <c r="AB491" s="403">
        <f t="shared" si="655"/>
        <v>3243305814.75</v>
      </c>
      <c r="AC491" s="326">
        <f t="shared" si="673"/>
        <v>1</v>
      </c>
    </row>
    <row r="492" spans="2:29" ht="14.25" x14ac:dyDescent="0.2">
      <c r="B492" s="323" t="s">
        <v>1434</v>
      </c>
      <c r="C492" s="206" t="s">
        <v>1435</v>
      </c>
      <c r="D492" s="277"/>
      <c r="E492" s="325">
        <f>SUM('ADICIONES  2021'!C492:N492)</f>
        <v>518928930.36000001</v>
      </c>
      <c r="F492" s="277"/>
      <c r="G492" s="277"/>
      <c r="H492" s="277"/>
      <c r="I492" s="277"/>
      <c r="J492" s="277"/>
      <c r="K492" s="281">
        <f t="shared" si="650"/>
        <v>518928930.36000001</v>
      </c>
      <c r="L492" s="277"/>
      <c r="M492" s="277"/>
      <c r="N492" s="277"/>
      <c r="O492" s="277"/>
      <c r="P492" s="277">
        <v>518928930.36000001</v>
      </c>
      <c r="Q492" s="277"/>
      <c r="R492" s="281">
        <f t="shared" si="653"/>
        <v>518928930.36000001</v>
      </c>
      <c r="S492" s="277"/>
      <c r="T492" s="277"/>
      <c r="U492" s="277"/>
      <c r="V492" s="277"/>
      <c r="W492" s="277"/>
      <c r="X492" s="277"/>
      <c r="Y492" s="277"/>
      <c r="Z492" s="277"/>
      <c r="AA492" s="281">
        <f t="shared" si="695"/>
        <v>0</v>
      </c>
      <c r="AB492" s="403">
        <f t="shared" si="655"/>
        <v>518928930.36000001</v>
      </c>
      <c r="AC492" s="326">
        <f t="shared" si="673"/>
        <v>1</v>
      </c>
    </row>
    <row r="493" spans="2:29" ht="14.25" x14ac:dyDescent="0.2">
      <c r="B493" s="323" t="s">
        <v>1436</v>
      </c>
      <c r="C493" s="206" t="s">
        <v>1437</v>
      </c>
      <c r="D493" s="277"/>
      <c r="E493" s="325">
        <f>SUM('ADICIONES  2021'!C493:N493)</f>
        <v>346052620.24000001</v>
      </c>
      <c r="F493" s="277"/>
      <c r="G493" s="277"/>
      <c r="H493" s="277"/>
      <c r="I493" s="277"/>
      <c r="J493" s="277"/>
      <c r="K493" s="281">
        <f t="shared" si="650"/>
        <v>346052620.24000001</v>
      </c>
      <c r="L493" s="277"/>
      <c r="M493" s="277"/>
      <c r="N493" s="277"/>
      <c r="O493" s="277"/>
      <c r="P493" s="277">
        <v>346052620.24000001</v>
      </c>
      <c r="Q493" s="277"/>
      <c r="R493" s="281">
        <f t="shared" si="653"/>
        <v>346052620.24000001</v>
      </c>
      <c r="S493" s="277"/>
      <c r="T493" s="277"/>
      <c r="U493" s="277"/>
      <c r="V493" s="277"/>
      <c r="W493" s="277"/>
      <c r="X493" s="277"/>
      <c r="Y493" s="277"/>
      <c r="Z493" s="277"/>
      <c r="AA493" s="281">
        <f t="shared" si="695"/>
        <v>0</v>
      </c>
      <c r="AB493" s="403">
        <f t="shared" si="655"/>
        <v>346052620.24000001</v>
      </c>
      <c r="AC493" s="326">
        <f t="shared" si="673"/>
        <v>1</v>
      </c>
    </row>
    <row r="494" spans="2:29" ht="14.25" x14ac:dyDescent="0.2">
      <c r="B494" s="323" t="s">
        <v>1438</v>
      </c>
      <c r="C494" s="206" t="s">
        <v>1439</v>
      </c>
      <c r="D494" s="277"/>
      <c r="E494" s="325">
        <f>SUM('ADICIONES  2021'!C494:N494)</f>
        <v>790282198.47000003</v>
      </c>
      <c r="F494" s="277"/>
      <c r="G494" s="277"/>
      <c r="H494" s="277"/>
      <c r="I494" s="277"/>
      <c r="J494" s="277"/>
      <c r="K494" s="281">
        <f t="shared" si="650"/>
        <v>790282198.47000003</v>
      </c>
      <c r="L494" s="277"/>
      <c r="M494" s="277"/>
      <c r="N494" s="277"/>
      <c r="O494" s="277"/>
      <c r="P494" s="277">
        <v>790282198.47000003</v>
      </c>
      <c r="Q494" s="277"/>
      <c r="R494" s="281">
        <f t="shared" si="653"/>
        <v>790282198.47000003</v>
      </c>
      <c r="S494" s="277"/>
      <c r="T494" s="277"/>
      <c r="U494" s="277"/>
      <c r="V494" s="277"/>
      <c r="W494" s="277"/>
      <c r="X494" s="277"/>
      <c r="Y494" s="277"/>
      <c r="Z494" s="277"/>
      <c r="AA494" s="281">
        <f t="shared" si="695"/>
        <v>0</v>
      </c>
      <c r="AB494" s="403">
        <f t="shared" si="655"/>
        <v>790282198.47000003</v>
      </c>
      <c r="AC494" s="326">
        <f t="shared" si="673"/>
        <v>1</v>
      </c>
    </row>
    <row r="495" spans="2:29" ht="14.25" x14ac:dyDescent="0.2">
      <c r="B495" s="323" t="s">
        <v>1440</v>
      </c>
      <c r="C495" s="206" t="s">
        <v>1441</v>
      </c>
      <c r="D495" s="277"/>
      <c r="E495" s="325">
        <f>SUM('ADICIONES  2021'!C495:N495)</f>
        <v>493521465.64999998</v>
      </c>
      <c r="F495" s="277"/>
      <c r="G495" s="277"/>
      <c r="H495" s="277"/>
      <c r="I495" s="277"/>
      <c r="J495" s="277"/>
      <c r="K495" s="281">
        <f t="shared" si="650"/>
        <v>493521465.64999998</v>
      </c>
      <c r="L495" s="277"/>
      <c r="M495" s="277"/>
      <c r="N495" s="277"/>
      <c r="O495" s="277"/>
      <c r="P495" s="277">
        <v>493521465.64999998</v>
      </c>
      <c r="Q495" s="277"/>
      <c r="R495" s="281">
        <f t="shared" si="653"/>
        <v>493521465.64999998</v>
      </c>
      <c r="S495" s="277"/>
      <c r="T495" s="277"/>
      <c r="U495" s="277"/>
      <c r="V495" s="277"/>
      <c r="W495" s="277"/>
      <c r="X495" s="277"/>
      <c r="Y495" s="277"/>
      <c r="Z495" s="277"/>
      <c r="AA495" s="281">
        <f t="shared" si="695"/>
        <v>0</v>
      </c>
      <c r="AB495" s="403">
        <f t="shared" si="655"/>
        <v>493521465.64999998</v>
      </c>
      <c r="AC495" s="326">
        <f t="shared" si="673"/>
        <v>1</v>
      </c>
    </row>
    <row r="496" spans="2:29" ht="14.25" x14ac:dyDescent="0.2">
      <c r="B496" s="318" t="s">
        <v>1442</v>
      </c>
      <c r="C496" s="319" t="s">
        <v>1443</v>
      </c>
      <c r="D496" s="279">
        <f>SUM(D497:D500)</f>
        <v>0</v>
      </c>
      <c r="E496" s="322">
        <f>SUM('ADICIONES  2021'!C496:N496)</f>
        <v>8438554129.0799999</v>
      </c>
      <c r="F496" s="279">
        <f>SUM(F497:F500)</f>
        <v>0</v>
      </c>
      <c r="G496" s="279">
        <f>SUM(G497:G500)</f>
        <v>0</v>
      </c>
      <c r="H496" s="279">
        <f>SUM(H497:H500)</f>
        <v>0</v>
      </c>
      <c r="I496" s="279">
        <f>SUM(I497:I500)</f>
        <v>0</v>
      </c>
      <c r="J496" s="279">
        <f>SUM(J497:J500)</f>
        <v>0</v>
      </c>
      <c r="K496" s="281">
        <f t="shared" si="650"/>
        <v>8438554129.0799999</v>
      </c>
      <c r="L496" s="279">
        <f t="shared" ref="L496:Q496" si="710">SUM(L497:L500)</f>
        <v>0</v>
      </c>
      <c r="M496" s="279">
        <f t="shared" si="710"/>
        <v>0</v>
      </c>
      <c r="N496" s="279">
        <f t="shared" si="710"/>
        <v>0</v>
      </c>
      <c r="O496" s="279">
        <f t="shared" si="710"/>
        <v>0</v>
      </c>
      <c r="P496" s="279">
        <f t="shared" si="710"/>
        <v>8438554129.0799999</v>
      </c>
      <c r="Q496" s="279">
        <f t="shared" si="710"/>
        <v>0</v>
      </c>
      <c r="R496" s="281">
        <f t="shared" si="653"/>
        <v>8438554129.0799999</v>
      </c>
      <c r="S496" s="279">
        <f t="shared" ref="S496:Z496" si="711">SUM(S497:S500)</f>
        <v>0</v>
      </c>
      <c r="T496" s="279">
        <f t="shared" si="711"/>
        <v>0</v>
      </c>
      <c r="U496" s="279">
        <f t="shared" si="711"/>
        <v>0</v>
      </c>
      <c r="V496" s="279">
        <f t="shared" si="711"/>
        <v>0</v>
      </c>
      <c r="W496" s="279">
        <f t="shared" si="711"/>
        <v>0</v>
      </c>
      <c r="X496" s="279">
        <f t="shared" si="711"/>
        <v>0</v>
      </c>
      <c r="Y496" s="279">
        <f t="shared" si="711"/>
        <v>0</v>
      </c>
      <c r="Z496" s="279">
        <f t="shared" si="711"/>
        <v>0</v>
      </c>
      <c r="AA496" s="281">
        <f t="shared" si="695"/>
        <v>0</v>
      </c>
      <c r="AB496" s="403">
        <f t="shared" si="655"/>
        <v>8438554129.0799999</v>
      </c>
      <c r="AC496" s="326">
        <f t="shared" si="673"/>
        <v>1</v>
      </c>
    </row>
    <row r="497" spans="1:29" ht="14.25" x14ac:dyDescent="0.2">
      <c r="B497" s="323" t="s">
        <v>1444</v>
      </c>
      <c r="C497" s="206" t="s">
        <v>1445</v>
      </c>
      <c r="D497" s="277"/>
      <c r="E497" s="325">
        <f>SUM('ADICIONES  2021'!C497:N497)</f>
        <v>2671945846.21</v>
      </c>
      <c r="F497" s="277"/>
      <c r="G497" s="277"/>
      <c r="H497" s="277"/>
      <c r="I497" s="277"/>
      <c r="J497" s="277"/>
      <c r="K497" s="281">
        <f t="shared" si="650"/>
        <v>2671945846.21</v>
      </c>
      <c r="L497" s="277"/>
      <c r="M497" s="277"/>
      <c r="N497" s="277"/>
      <c r="O497" s="277"/>
      <c r="P497" s="277">
        <v>2671945846.21</v>
      </c>
      <c r="Q497" s="277"/>
      <c r="R497" s="281">
        <f t="shared" si="653"/>
        <v>2671945846.21</v>
      </c>
      <c r="S497" s="277"/>
      <c r="T497" s="277"/>
      <c r="U497" s="277"/>
      <c r="V497" s="277"/>
      <c r="W497" s="277"/>
      <c r="X497" s="277"/>
      <c r="Y497" s="277"/>
      <c r="Z497" s="277"/>
      <c r="AA497" s="281">
        <f t="shared" si="695"/>
        <v>0</v>
      </c>
      <c r="AB497" s="403">
        <f t="shared" si="655"/>
        <v>2671945846.21</v>
      </c>
      <c r="AC497" s="326">
        <f t="shared" si="673"/>
        <v>1</v>
      </c>
    </row>
    <row r="498" spans="1:29" ht="25.5" x14ac:dyDescent="0.2">
      <c r="B498" s="323" t="s">
        <v>1446</v>
      </c>
      <c r="C498" s="206" t="s">
        <v>1447</v>
      </c>
      <c r="D498" s="277"/>
      <c r="E498" s="325">
        <f>SUM('ADICIONES  2021'!C498:N498)</f>
        <v>2934254218.5999999</v>
      </c>
      <c r="F498" s="277"/>
      <c r="G498" s="277"/>
      <c r="H498" s="277"/>
      <c r="I498" s="277"/>
      <c r="J498" s="277"/>
      <c r="K498" s="281">
        <f t="shared" si="650"/>
        <v>2934254218.5999999</v>
      </c>
      <c r="L498" s="277"/>
      <c r="M498" s="277"/>
      <c r="N498" s="277"/>
      <c r="O498" s="277"/>
      <c r="P498" s="277">
        <v>2934254218.5999999</v>
      </c>
      <c r="Q498" s="277"/>
      <c r="R498" s="281">
        <f t="shared" si="653"/>
        <v>2934254218.5999999</v>
      </c>
      <c r="S498" s="277"/>
      <c r="T498" s="277"/>
      <c r="U498" s="277"/>
      <c r="V498" s="277"/>
      <c r="W498" s="277"/>
      <c r="X498" s="277"/>
      <c r="Y498" s="277"/>
      <c r="Z498" s="277"/>
      <c r="AA498" s="281">
        <f t="shared" si="695"/>
        <v>0</v>
      </c>
      <c r="AB498" s="403">
        <f t="shared" si="655"/>
        <v>2934254218.5999999</v>
      </c>
      <c r="AC498" s="326">
        <f t="shared" si="673"/>
        <v>1</v>
      </c>
    </row>
    <row r="499" spans="1:29" ht="14.25" x14ac:dyDescent="0.2">
      <c r="B499" s="323" t="s">
        <v>1448</v>
      </c>
      <c r="C499" s="206" t="s">
        <v>1449</v>
      </c>
      <c r="D499" s="277"/>
      <c r="E499" s="325">
        <f>SUM('ADICIONES  2021'!C499:N499)</f>
        <v>61272454.5</v>
      </c>
      <c r="F499" s="277"/>
      <c r="G499" s="277"/>
      <c r="H499" s="277"/>
      <c r="I499" s="277"/>
      <c r="J499" s="277"/>
      <c r="K499" s="281">
        <f t="shared" si="650"/>
        <v>61272454.5</v>
      </c>
      <c r="L499" s="277"/>
      <c r="M499" s="277"/>
      <c r="N499" s="277"/>
      <c r="O499" s="277"/>
      <c r="P499" s="277">
        <v>61272454.5</v>
      </c>
      <c r="Q499" s="277"/>
      <c r="R499" s="281">
        <f t="shared" si="653"/>
        <v>61272454.5</v>
      </c>
      <c r="S499" s="277"/>
      <c r="T499" s="277"/>
      <c r="U499" s="277"/>
      <c r="V499" s="277"/>
      <c r="W499" s="277"/>
      <c r="X499" s="277"/>
      <c r="Y499" s="277"/>
      <c r="Z499" s="277"/>
      <c r="AA499" s="281">
        <f t="shared" ref="AA499:AA565" si="712">SUM(S499:Z499)</f>
        <v>0</v>
      </c>
      <c r="AB499" s="403">
        <f t="shared" si="655"/>
        <v>61272454.5</v>
      </c>
      <c r="AC499" s="326">
        <f t="shared" si="673"/>
        <v>1</v>
      </c>
    </row>
    <row r="500" spans="1:29" ht="14.25" x14ac:dyDescent="0.2">
      <c r="B500" s="323" t="s">
        <v>1450</v>
      </c>
      <c r="C500" s="206" t="s">
        <v>1451</v>
      </c>
      <c r="D500" s="277"/>
      <c r="E500" s="325">
        <f>SUM('ADICIONES  2021'!C500:N500)</f>
        <v>2771081609.77</v>
      </c>
      <c r="F500" s="277"/>
      <c r="G500" s="277"/>
      <c r="H500" s="277"/>
      <c r="I500" s="277"/>
      <c r="J500" s="277"/>
      <c r="K500" s="281">
        <f t="shared" si="650"/>
        <v>2771081609.77</v>
      </c>
      <c r="L500" s="277"/>
      <c r="M500" s="277"/>
      <c r="N500" s="277"/>
      <c r="O500" s="277"/>
      <c r="P500" s="277">
        <v>2771081609.77</v>
      </c>
      <c r="Q500" s="277"/>
      <c r="R500" s="281">
        <f t="shared" si="653"/>
        <v>2771081609.77</v>
      </c>
      <c r="S500" s="277"/>
      <c r="T500" s="277"/>
      <c r="U500" s="277"/>
      <c r="V500" s="277"/>
      <c r="W500" s="277"/>
      <c r="X500" s="277"/>
      <c r="Y500" s="277"/>
      <c r="Z500" s="277"/>
      <c r="AA500" s="281">
        <f t="shared" si="712"/>
        <v>0</v>
      </c>
      <c r="AB500" s="403">
        <f t="shared" si="655"/>
        <v>2771081609.77</v>
      </c>
      <c r="AC500" s="326">
        <f t="shared" si="673"/>
        <v>1</v>
      </c>
    </row>
    <row r="501" spans="1:29" s="61" customFormat="1" ht="15.75" x14ac:dyDescent="0.2">
      <c r="A501" s="421"/>
      <c r="B501" s="318" t="s">
        <v>1452</v>
      </c>
      <c r="C501" s="319" t="s">
        <v>1453</v>
      </c>
      <c r="D501" s="279">
        <f>SUM(D502:D506)</f>
        <v>0</v>
      </c>
      <c r="E501" s="322">
        <f>SUM('ADICIONES  2021'!C501:N501)</f>
        <v>6338619248.2299995</v>
      </c>
      <c r="F501" s="279">
        <f>SUM(F502:F506)</f>
        <v>0</v>
      </c>
      <c r="G501" s="279">
        <f>SUM(G502:G506)</f>
        <v>0</v>
      </c>
      <c r="H501" s="279">
        <f>SUM(H502:H506)</f>
        <v>0</v>
      </c>
      <c r="I501" s="279">
        <f>SUM(I502:I506)</f>
        <v>0</v>
      </c>
      <c r="J501" s="279">
        <f>SUM(J502:J506)</f>
        <v>0</v>
      </c>
      <c r="K501" s="276">
        <f t="shared" si="650"/>
        <v>6338619248.2299995</v>
      </c>
      <c r="L501" s="279">
        <f t="shared" ref="L501:Q501" si="713">SUM(L502:L506)</f>
        <v>0</v>
      </c>
      <c r="M501" s="279">
        <f t="shared" si="713"/>
        <v>0</v>
      </c>
      <c r="N501" s="279">
        <f t="shared" si="713"/>
        <v>0</v>
      </c>
      <c r="O501" s="279">
        <f t="shared" si="713"/>
        <v>0</v>
      </c>
      <c r="P501" s="279">
        <f t="shared" si="713"/>
        <v>6120619248.2299995</v>
      </c>
      <c r="Q501" s="279">
        <f t="shared" si="713"/>
        <v>0</v>
      </c>
      <c r="R501" s="276">
        <f t="shared" si="653"/>
        <v>6120619248.2299995</v>
      </c>
      <c r="S501" s="279">
        <f t="shared" ref="S501:Z501" si="714">SUM(S502:S506)</f>
        <v>0</v>
      </c>
      <c r="T501" s="279">
        <f t="shared" si="714"/>
        <v>0</v>
      </c>
      <c r="U501" s="279">
        <f t="shared" si="714"/>
        <v>0</v>
      </c>
      <c r="V501" s="279">
        <f t="shared" si="714"/>
        <v>0</v>
      </c>
      <c r="W501" s="279">
        <f t="shared" si="714"/>
        <v>218000000</v>
      </c>
      <c r="X501" s="279">
        <f t="shared" si="714"/>
        <v>0</v>
      </c>
      <c r="Y501" s="279">
        <f t="shared" si="714"/>
        <v>0</v>
      </c>
      <c r="Z501" s="279">
        <f t="shared" si="714"/>
        <v>0</v>
      </c>
      <c r="AA501" s="276">
        <f t="shared" si="712"/>
        <v>218000000</v>
      </c>
      <c r="AB501" s="402">
        <f t="shared" si="655"/>
        <v>6338619248.2299995</v>
      </c>
      <c r="AC501" s="321">
        <f t="shared" si="673"/>
        <v>1</v>
      </c>
    </row>
    <row r="502" spans="1:29" ht="14.25" x14ac:dyDescent="0.2">
      <c r="B502" s="323" t="s">
        <v>1454</v>
      </c>
      <c r="C502" s="206" t="s">
        <v>1455</v>
      </c>
      <c r="D502" s="277"/>
      <c r="E502" s="325">
        <f>SUM('ADICIONES  2021'!C502:N502)</f>
        <v>391955142.67000002</v>
      </c>
      <c r="F502" s="277"/>
      <c r="G502" s="277"/>
      <c r="H502" s="277"/>
      <c r="I502" s="277"/>
      <c r="J502" s="277"/>
      <c r="K502" s="281">
        <f t="shared" si="650"/>
        <v>391955142.67000002</v>
      </c>
      <c r="L502" s="277"/>
      <c r="M502" s="277"/>
      <c r="N502" s="277"/>
      <c r="O502" s="277"/>
      <c r="P502" s="277">
        <v>391955142.67000002</v>
      </c>
      <c r="Q502" s="277"/>
      <c r="R502" s="281">
        <f t="shared" si="653"/>
        <v>391955142.67000002</v>
      </c>
      <c r="S502" s="277"/>
      <c r="T502" s="277"/>
      <c r="U502" s="277"/>
      <c r="V502" s="277"/>
      <c r="W502" s="277"/>
      <c r="X502" s="277"/>
      <c r="Y502" s="277"/>
      <c r="Z502" s="277"/>
      <c r="AA502" s="281">
        <f t="shared" si="712"/>
        <v>0</v>
      </c>
      <c r="AB502" s="403">
        <f t="shared" si="655"/>
        <v>391955142.67000002</v>
      </c>
      <c r="AC502" s="326">
        <f t="shared" si="673"/>
        <v>1</v>
      </c>
    </row>
    <row r="503" spans="1:29" ht="14.25" x14ac:dyDescent="0.2">
      <c r="B503" s="323" t="s">
        <v>1454</v>
      </c>
      <c r="C503" s="206" t="s">
        <v>1455</v>
      </c>
      <c r="D503" s="277"/>
      <c r="E503" s="325">
        <f>SUM('ADICIONES  2021'!C503:N503)</f>
        <v>218000000</v>
      </c>
      <c r="F503" s="277"/>
      <c r="G503" s="277"/>
      <c r="H503" s="277"/>
      <c r="I503" s="277"/>
      <c r="J503" s="277"/>
      <c r="K503" s="281">
        <f t="shared" si="650"/>
        <v>218000000</v>
      </c>
      <c r="L503" s="277"/>
      <c r="M503" s="277"/>
      <c r="N503" s="277"/>
      <c r="O503" s="277"/>
      <c r="P503" s="277"/>
      <c r="Q503" s="277"/>
      <c r="R503" s="281">
        <f t="shared" ref="R503" si="715">SUM(L503:Q503)</f>
        <v>0</v>
      </c>
      <c r="S503" s="277"/>
      <c r="T503" s="277"/>
      <c r="U503" s="277"/>
      <c r="V503" s="277"/>
      <c r="W503" s="277">
        <v>218000000</v>
      </c>
      <c r="X503" s="277"/>
      <c r="Y503" s="277"/>
      <c r="Z503" s="277"/>
      <c r="AA503" s="281">
        <f t="shared" ref="AA503" si="716">SUM(S503:Z503)</f>
        <v>218000000</v>
      </c>
      <c r="AB503" s="403">
        <f t="shared" si="655"/>
        <v>218000000</v>
      </c>
      <c r="AC503" s="326">
        <f t="shared" si="673"/>
        <v>1</v>
      </c>
    </row>
    <row r="504" spans="1:29" ht="14.25" x14ac:dyDescent="0.2">
      <c r="B504" s="323" t="s">
        <v>1456</v>
      </c>
      <c r="C504" s="206" t="s">
        <v>1457</v>
      </c>
      <c r="D504" s="277"/>
      <c r="E504" s="325">
        <f>SUM('ADICIONES  2021'!C504:N504)</f>
        <v>469938850.06999999</v>
      </c>
      <c r="F504" s="277"/>
      <c r="G504" s="277"/>
      <c r="H504" s="277"/>
      <c r="I504" s="277"/>
      <c r="J504" s="277"/>
      <c r="K504" s="281">
        <f t="shared" si="650"/>
        <v>469938850.06999999</v>
      </c>
      <c r="L504" s="277"/>
      <c r="M504" s="277"/>
      <c r="N504" s="277"/>
      <c r="O504" s="277"/>
      <c r="P504" s="277">
        <v>469938850.06999999</v>
      </c>
      <c r="Q504" s="277"/>
      <c r="R504" s="281">
        <f t="shared" si="653"/>
        <v>469938850.06999999</v>
      </c>
      <c r="S504" s="277"/>
      <c r="T504" s="277"/>
      <c r="U504" s="277"/>
      <c r="V504" s="277"/>
      <c r="W504" s="277"/>
      <c r="X504" s="277"/>
      <c r="Y504" s="277"/>
      <c r="Z504" s="277"/>
      <c r="AA504" s="281">
        <f t="shared" si="712"/>
        <v>0</v>
      </c>
      <c r="AB504" s="403">
        <f t="shared" si="655"/>
        <v>469938850.06999999</v>
      </c>
      <c r="AC504" s="326">
        <f t="shared" si="673"/>
        <v>1</v>
      </c>
    </row>
    <row r="505" spans="1:29" ht="25.5" x14ac:dyDescent="0.2">
      <c r="B505" s="323" t="s">
        <v>1458</v>
      </c>
      <c r="C505" s="206" t="s">
        <v>1459</v>
      </c>
      <c r="D505" s="277"/>
      <c r="E505" s="325">
        <f>SUM('ADICIONES  2021'!C505:N505)</f>
        <v>4878475057.2299995</v>
      </c>
      <c r="F505" s="277"/>
      <c r="G505" s="277"/>
      <c r="H505" s="277"/>
      <c r="I505" s="277"/>
      <c r="J505" s="277"/>
      <c r="K505" s="281">
        <f t="shared" si="650"/>
        <v>4878475057.2299995</v>
      </c>
      <c r="L505" s="277"/>
      <c r="M505" s="277"/>
      <c r="N505" s="277"/>
      <c r="O505" s="277"/>
      <c r="P505" s="277">
        <v>4878475057.2299995</v>
      </c>
      <c r="Q505" s="277"/>
      <c r="R505" s="281">
        <f t="shared" si="653"/>
        <v>4878475057.2299995</v>
      </c>
      <c r="S505" s="277"/>
      <c r="T505" s="277"/>
      <c r="U505" s="277"/>
      <c r="V505" s="277"/>
      <c r="W505" s="277"/>
      <c r="X505" s="277"/>
      <c r="Y505" s="277"/>
      <c r="Z505" s="277"/>
      <c r="AA505" s="281">
        <f t="shared" si="712"/>
        <v>0</v>
      </c>
      <c r="AB505" s="403">
        <f t="shared" si="655"/>
        <v>4878475057.2299995</v>
      </c>
      <c r="AC505" s="326">
        <f t="shared" si="673"/>
        <v>1</v>
      </c>
    </row>
    <row r="506" spans="1:29" ht="25.5" x14ac:dyDescent="0.2">
      <c r="B506" s="323" t="s">
        <v>1460</v>
      </c>
      <c r="C506" s="206" t="s">
        <v>1461</v>
      </c>
      <c r="D506" s="277"/>
      <c r="E506" s="325">
        <f>SUM('ADICIONES  2021'!C506:N506)</f>
        <v>380250198.25999999</v>
      </c>
      <c r="F506" s="277"/>
      <c r="G506" s="277"/>
      <c r="H506" s="277"/>
      <c r="I506" s="277"/>
      <c r="J506" s="277"/>
      <c r="K506" s="281">
        <f t="shared" si="650"/>
        <v>380250198.25999999</v>
      </c>
      <c r="L506" s="277"/>
      <c r="M506" s="277"/>
      <c r="N506" s="277"/>
      <c r="O506" s="277"/>
      <c r="P506" s="277">
        <v>380250198.25999999</v>
      </c>
      <c r="Q506" s="277"/>
      <c r="R506" s="281">
        <f t="shared" si="653"/>
        <v>380250198.25999999</v>
      </c>
      <c r="S506" s="277"/>
      <c r="T506" s="277"/>
      <c r="U506" s="277"/>
      <c r="V506" s="277"/>
      <c r="W506" s="277"/>
      <c r="X506" s="277"/>
      <c r="Y506" s="277"/>
      <c r="Z506" s="277"/>
      <c r="AA506" s="281">
        <f t="shared" si="712"/>
        <v>0</v>
      </c>
      <c r="AB506" s="403">
        <f t="shared" si="655"/>
        <v>380250198.25999999</v>
      </c>
      <c r="AC506" s="326">
        <f t="shared" si="673"/>
        <v>1</v>
      </c>
    </row>
    <row r="507" spans="1:29" ht="14.25" x14ac:dyDescent="0.2">
      <c r="B507" s="318" t="s">
        <v>1462</v>
      </c>
      <c r="C507" s="319" t="s">
        <v>1463</v>
      </c>
      <c r="D507" s="279">
        <f>SUM(D508:D509)</f>
        <v>0</v>
      </c>
      <c r="E507" s="322">
        <f>SUM('ADICIONES  2021'!C507:N507)</f>
        <v>27300121.359999999</v>
      </c>
      <c r="F507" s="279">
        <f>SUM(F508:F509)</f>
        <v>0</v>
      </c>
      <c r="G507" s="279">
        <f>SUM(G508:G509)</f>
        <v>0</v>
      </c>
      <c r="H507" s="279">
        <f>SUM(H508:H509)</f>
        <v>0</v>
      </c>
      <c r="I507" s="279">
        <f>SUM(I508:I509)</f>
        <v>0</v>
      </c>
      <c r="J507" s="279">
        <f>SUM(J508:J509)</f>
        <v>0</v>
      </c>
      <c r="K507" s="281">
        <f t="shared" si="650"/>
        <v>27300121.359999999</v>
      </c>
      <c r="L507" s="279">
        <f t="shared" ref="L507:Q507" si="717">SUM(L508:L509)</f>
        <v>0</v>
      </c>
      <c r="M507" s="279">
        <f t="shared" si="717"/>
        <v>0</v>
      </c>
      <c r="N507" s="279">
        <f t="shared" si="717"/>
        <v>0</v>
      </c>
      <c r="O507" s="279">
        <f t="shared" si="717"/>
        <v>0</v>
      </c>
      <c r="P507" s="279">
        <f t="shared" si="717"/>
        <v>27300121.359999999</v>
      </c>
      <c r="Q507" s="279">
        <f t="shared" si="717"/>
        <v>0</v>
      </c>
      <c r="R507" s="281">
        <f t="shared" si="653"/>
        <v>27300121.359999999</v>
      </c>
      <c r="S507" s="279">
        <f t="shared" ref="S507:Z507" si="718">SUM(S508:S509)</f>
        <v>0</v>
      </c>
      <c r="T507" s="279">
        <f t="shared" si="718"/>
        <v>0</v>
      </c>
      <c r="U507" s="279">
        <f t="shared" si="718"/>
        <v>0</v>
      </c>
      <c r="V507" s="279">
        <f t="shared" si="718"/>
        <v>0</v>
      </c>
      <c r="W507" s="279">
        <f t="shared" si="718"/>
        <v>0</v>
      </c>
      <c r="X507" s="279">
        <f t="shared" si="718"/>
        <v>0</v>
      </c>
      <c r="Y507" s="279">
        <f t="shared" si="718"/>
        <v>0</v>
      </c>
      <c r="Z507" s="279">
        <f t="shared" si="718"/>
        <v>0</v>
      </c>
      <c r="AA507" s="281">
        <f t="shared" si="712"/>
        <v>0</v>
      </c>
      <c r="AB507" s="403">
        <f t="shared" si="655"/>
        <v>27300121.359999999</v>
      </c>
      <c r="AC507" s="326">
        <f t="shared" si="673"/>
        <v>1</v>
      </c>
    </row>
    <row r="508" spans="1:29" ht="14.25" x14ac:dyDescent="0.2">
      <c r="B508" s="323" t="s">
        <v>1464</v>
      </c>
      <c r="C508" s="206" t="s">
        <v>1463</v>
      </c>
      <c r="D508" s="277"/>
      <c r="E508" s="325">
        <f>SUM('ADICIONES  2021'!C508:N508)</f>
        <v>2505946</v>
      </c>
      <c r="F508" s="277"/>
      <c r="G508" s="277"/>
      <c r="H508" s="277"/>
      <c r="I508" s="277"/>
      <c r="J508" s="277"/>
      <c r="K508" s="281">
        <f t="shared" si="650"/>
        <v>2505946</v>
      </c>
      <c r="L508" s="277"/>
      <c r="M508" s="277"/>
      <c r="N508" s="277"/>
      <c r="O508" s="277"/>
      <c r="P508" s="277">
        <v>2505946</v>
      </c>
      <c r="Q508" s="277"/>
      <c r="R508" s="281">
        <f t="shared" si="653"/>
        <v>2505946</v>
      </c>
      <c r="S508" s="277"/>
      <c r="T508" s="277"/>
      <c r="U508" s="277"/>
      <c r="V508" s="277"/>
      <c r="W508" s="277"/>
      <c r="X508" s="277"/>
      <c r="Y508" s="277"/>
      <c r="Z508" s="277"/>
      <c r="AA508" s="281">
        <f t="shared" si="712"/>
        <v>0</v>
      </c>
      <c r="AB508" s="403">
        <f t="shared" si="655"/>
        <v>2505946</v>
      </c>
      <c r="AC508" s="326">
        <f t="shared" si="673"/>
        <v>1</v>
      </c>
    </row>
    <row r="509" spans="1:29" ht="14.25" x14ac:dyDescent="0.2">
      <c r="B509" s="323" t="s">
        <v>1465</v>
      </c>
      <c r="C509" s="206" t="s">
        <v>1466</v>
      </c>
      <c r="D509" s="277"/>
      <c r="E509" s="325">
        <f>SUM('ADICIONES  2021'!C509:N509)</f>
        <v>24794175.359999999</v>
      </c>
      <c r="F509" s="277"/>
      <c r="G509" s="277"/>
      <c r="H509" s="277"/>
      <c r="I509" s="277"/>
      <c r="J509" s="277"/>
      <c r="K509" s="281">
        <f t="shared" si="650"/>
        <v>24794175.359999999</v>
      </c>
      <c r="L509" s="277"/>
      <c r="M509" s="277"/>
      <c r="N509" s="277"/>
      <c r="O509" s="277"/>
      <c r="P509" s="277">
        <v>24794175.359999999</v>
      </c>
      <c r="Q509" s="277"/>
      <c r="R509" s="281">
        <f t="shared" si="653"/>
        <v>24794175.359999999</v>
      </c>
      <c r="S509" s="277"/>
      <c r="T509" s="277"/>
      <c r="U509" s="277"/>
      <c r="V509" s="277"/>
      <c r="W509" s="277"/>
      <c r="X509" s="277"/>
      <c r="Y509" s="277"/>
      <c r="Z509" s="277"/>
      <c r="AA509" s="281">
        <f t="shared" si="712"/>
        <v>0</v>
      </c>
      <c r="AB509" s="403">
        <f t="shared" si="655"/>
        <v>24794175.359999999</v>
      </c>
      <c r="AC509" s="326">
        <f t="shared" si="673"/>
        <v>1</v>
      </c>
    </row>
    <row r="510" spans="1:29" ht="14.25" x14ac:dyDescent="0.2">
      <c r="B510" s="318" t="s">
        <v>1467</v>
      </c>
      <c r="C510" s="319" t="s">
        <v>1468</v>
      </c>
      <c r="D510" s="279">
        <f>SUM(D511:D512)</f>
        <v>0</v>
      </c>
      <c r="E510" s="322">
        <f>SUM('ADICIONES  2021'!C510:N510)</f>
        <v>2574669714.0699997</v>
      </c>
      <c r="F510" s="279">
        <f>SUM(F511:F512)</f>
        <v>0</v>
      </c>
      <c r="G510" s="279">
        <f>SUM(G511:G512)</f>
        <v>0</v>
      </c>
      <c r="H510" s="279">
        <f>SUM(H511:H512)</f>
        <v>0</v>
      </c>
      <c r="I510" s="279">
        <f>SUM(I511:I512)</f>
        <v>0</v>
      </c>
      <c r="J510" s="279">
        <f>SUM(J511:J512)</f>
        <v>0</v>
      </c>
      <c r="K510" s="281">
        <f t="shared" si="650"/>
        <v>2574669714.0699997</v>
      </c>
      <c r="L510" s="279">
        <f t="shared" ref="L510:Q510" si="719">SUM(L511:L512)</f>
        <v>0</v>
      </c>
      <c r="M510" s="279">
        <f t="shared" si="719"/>
        <v>0</v>
      </c>
      <c r="N510" s="279">
        <f t="shared" si="719"/>
        <v>0</v>
      </c>
      <c r="O510" s="279">
        <f t="shared" si="719"/>
        <v>0</v>
      </c>
      <c r="P510" s="279">
        <f t="shared" si="719"/>
        <v>2574669714.0699997</v>
      </c>
      <c r="Q510" s="279">
        <f t="shared" si="719"/>
        <v>0</v>
      </c>
      <c r="R510" s="281">
        <f t="shared" si="653"/>
        <v>2574669714.0699997</v>
      </c>
      <c r="S510" s="279">
        <f t="shared" ref="S510:Z510" si="720">SUM(S511:S512)</f>
        <v>0</v>
      </c>
      <c r="T510" s="279">
        <f t="shared" si="720"/>
        <v>0</v>
      </c>
      <c r="U510" s="279">
        <f t="shared" si="720"/>
        <v>0</v>
      </c>
      <c r="V510" s="279">
        <f t="shared" si="720"/>
        <v>0</v>
      </c>
      <c r="W510" s="279">
        <f t="shared" si="720"/>
        <v>0</v>
      </c>
      <c r="X510" s="279">
        <f t="shared" si="720"/>
        <v>0</v>
      </c>
      <c r="Y510" s="279">
        <f t="shared" si="720"/>
        <v>0</v>
      </c>
      <c r="Z510" s="279">
        <f t="shared" si="720"/>
        <v>0</v>
      </c>
      <c r="AA510" s="281">
        <f t="shared" si="712"/>
        <v>0</v>
      </c>
      <c r="AB510" s="403">
        <f t="shared" si="655"/>
        <v>2574669714.0699997</v>
      </c>
      <c r="AC510" s="326">
        <f t="shared" si="673"/>
        <v>1</v>
      </c>
    </row>
    <row r="511" spans="1:29" ht="14.25" x14ac:dyDescent="0.2">
      <c r="B511" s="323" t="s">
        <v>1469</v>
      </c>
      <c r="C511" s="206" t="s">
        <v>1468</v>
      </c>
      <c r="D511" s="277"/>
      <c r="E511" s="325">
        <f>SUM('ADICIONES  2021'!C511:N511)</f>
        <v>1979873863.0699999</v>
      </c>
      <c r="F511" s="277"/>
      <c r="G511" s="277"/>
      <c r="H511" s="277"/>
      <c r="I511" s="277"/>
      <c r="J511" s="277"/>
      <c r="K511" s="281">
        <f t="shared" si="650"/>
        <v>1979873863.0699999</v>
      </c>
      <c r="L511" s="277"/>
      <c r="M511" s="277"/>
      <c r="N511" s="277"/>
      <c r="O511" s="277"/>
      <c r="P511" s="277">
        <v>1979873863.0699999</v>
      </c>
      <c r="Q511" s="277"/>
      <c r="R511" s="281">
        <f t="shared" si="653"/>
        <v>1979873863.0699999</v>
      </c>
      <c r="S511" s="277"/>
      <c r="T511" s="277"/>
      <c r="U511" s="277"/>
      <c r="V511" s="277"/>
      <c r="W511" s="277"/>
      <c r="X511" s="277"/>
      <c r="Y511" s="277"/>
      <c r="Z511" s="277"/>
      <c r="AA511" s="281">
        <f t="shared" si="712"/>
        <v>0</v>
      </c>
      <c r="AB511" s="403">
        <f t="shared" si="655"/>
        <v>1979873863.0699999</v>
      </c>
      <c r="AC511" s="326">
        <f t="shared" si="673"/>
        <v>1</v>
      </c>
    </row>
    <row r="512" spans="1:29" ht="14.25" x14ac:dyDescent="0.2">
      <c r="B512" s="323" t="s">
        <v>1470</v>
      </c>
      <c r="C512" s="206" t="s">
        <v>1471</v>
      </c>
      <c r="D512" s="277"/>
      <c r="E512" s="325">
        <f>SUM('ADICIONES  2021'!C512:N512)</f>
        <v>594795851</v>
      </c>
      <c r="F512" s="277"/>
      <c r="G512" s="277"/>
      <c r="H512" s="277"/>
      <c r="I512" s="277"/>
      <c r="J512" s="277"/>
      <c r="K512" s="281">
        <f t="shared" si="650"/>
        <v>594795851</v>
      </c>
      <c r="L512" s="277"/>
      <c r="M512" s="277"/>
      <c r="N512" s="277"/>
      <c r="O512" s="277"/>
      <c r="P512" s="277">
        <v>594795851</v>
      </c>
      <c r="Q512" s="277"/>
      <c r="R512" s="281">
        <f t="shared" si="653"/>
        <v>594795851</v>
      </c>
      <c r="S512" s="277"/>
      <c r="T512" s="277"/>
      <c r="U512" s="277"/>
      <c r="V512" s="277"/>
      <c r="W512" s="277"/>
      <c r="X512" s="277"/>
      <c r="Y512" s="277"/>
      <c r="Z512" s="277"/>
      <c r="AA512" s="281">
        <f t="shared" si="712"/>
        <v>0</v>
      </c>
      <c r="AB512" s="403">
        <f t="shared" si="655"/>
        <v>594795851</v>
      </c>
      <c r="AC512" s="326">
        <f t="shared" si="673"/>
        <v>1</v>
      </c>
    </row>
    <row r="513" spans="1:29" ht="14.25" x14ac:dyDescent="0.2">
      <c r="B513" s="318" t="s">
        <v>1472</v>
      </c>
      <c r="C513" s="319" t="s">
        <v>1473</v>
      </c>
      <c r="D513" s="279">
        <f>+D514</f>
        <v>0</v>
      </c>
      <c r="E513" s="322">
        <f>SUM('ADICIONES  2021'!C513:N513)</f>
        <v>8931257.5099999998</v>
      </c>
      <c r="F513" s="279">
        <f>+F514</f>
        <v>0</v>
      </c>
      <c r="G513" s="279">
        <f>+G514</f>
        <v>0</v>
      </c>
      <c r="H513" s="279">
        <f>+H514</f>
        <v>0</v>
      </c>
      <c r="I513" s="279">
        <f>+I514</f>
        <v>0</v>
      </c>
      <c r="J513" s="279">
        <f>+J514</f>
        <v>0</v>
      </c>
      <c r="K513" s="281">
        <f t="shared" si="650"/>
        <v>8931257.5099999998</v>
      </c>
      <c r="L513" s="279">
        <f t="shared" ref="L513:Q513" si="721">+L514</f>
        <v>0</v>
      </c>
      <c r="M513" s="279">
        <f t="shared" si="721"/>
        <v>0</v>
      </c>
      <c r="N513" s="279">
        <f t="shared" si="721"/>
        <v>0</v>
      </c>
      <c r="O513" s="279">
        <f t="shared" si="721"/>
        <v>0</v>
      </c>
      <c r="P513" s="279">
        <f t="shared" si="721"/>
        <v>8931257.5099999998</v>
      </c>
      <c r="Q513" s="279">
        <f t="shared" si="721"/>
        <v>0</v>
      </c>
      <c r="R513" s="281">
        <f t="shared" si="653"/>
        <v>8931257.5099999998</v>
      </c>
      <c r="S513" s="279">
        <f t="shared" ref="S513:Z513" si="722">+S514</f>
        <v>0</v>
      </c>
      <c r="T513" s="279">
        <f t="shared" si="722"/>
        <v>0</v>
      </c>
      <c r="U513" s="279">
        <f t="shared" si="722"/>
        <v>0</v>
      </c>
      <c r="V513" s="279">
        <f t="shared" si="722"/>
        <v>0</v>
      </c>
      <c r="W513" s="279">
        <f t="shared" si="722"/>
        <v>0</v>
      </c>
      <c r="X513" s="279">
        <f t="shared" si="722"/>
        <v>0</v>
      </c>
      <c r="Y513" s="279">
        <f t="shared" si="722"/>
        <v>0</v>
      </c>
      <c r="Z513" s="279">
        <f t="shared" si="722"/>
        <v>0</v>
      </c>
      <c r="AA513" s="281">
        <f t="shared" si="712"/>
        <v>0</v>
      </c>
      <c r="AB513" s="403">
        <f t="shared" si="655"/>
        <v>8931257.5099999998</v>
      </c>
      <c r="AC513" s="326">
        <f t="shared" si="673"/>
        <v>1</v>
      </c>
    </row>
    <row r="514" spans="1:29" ht="14.25" x14ac:dyDescent="0.2">
      <c r="B514" s="323" t="s">
        <v>1474</v>
      </c>
      <c r="C514" s="206" t="s">
        <v>1473</v>
      </c>
      <c r="D514" s="277"/>
      <c r="E514" s="325">
        <f>SUM('ADICIONES  2021'!C514:N514)</f>
        <v>8931257.5099999998</v>
      </c>
      <c r="F514" s="277"/>
      <c r="G514" s="277"/>
      <c r="H514" s="277"/>
      <c r="I514" s="277"/>
      <c r="J514" s="277"/>
      <c r="K514" s="281">
        <f t="shared" si="650"/>
        <v>8931257.5099999998</v>
      </c>
      <c r="L514" s="277"/>
      <c r="M514" s="277"/>
      <c r="N514" s="277"/>
      <c r="O514" s="277"/>
      <c r="P514" s="277">
        <v>8931257.5099999998</v>
      </c>
      <c r="Q514" s="277"/>
      <c r="R514" s="281">
        <f t="shared" si="653"/>
        <v>8931257.5099999998</v>
      </c>
      <c r="S514" s="277"/>
      <c r="T514" s="277"/>
      <c r="U514" s="277"/>
      <c r="V514" s="277"/>
      <c r="W514" s="277"/>
      <c r="X514" s="277"/>
      <c r="Y514" s="277"/>
      <c r="Z514" s="277"/>
      <c r="AA514" s="281">
        <f t="shared" si="712"/>
        <v>0</v>
      </c>
      <c r="AB514" s="403">
        <f t="shared" si="655"/>
        <v>8931257.5099999998</v>
      </c>
      <c r="AC514" s="326">
        <f t="shared" si="673"/>
        <v>1</v>
      </c>
    </row>
    <row r="515" spans="1:29" ht="14.25" x14ac:dyDescent="0.2">
      <c r="B515" s="318" t="s">
        <v>1475</v>
      </c>
      <c r="C515" s="319" t="s">
        <v>1476</v>
      </c>
      <c r="D515" s="279">
        <f>+D516</f>
        <v>0</v>
      </c>
      <c r="E515" s="322">
        <f>SUM('ADICIONES  2021'!C515:N515)</f>
        <v>500660949.22000003</v>
      </c>
      <c r="F515" s="279">
        <f>+F516</f>
        <v>0</v>
      </c>
      <c r="G515" s="279">
        <f>+G516</f>
        <v>0</v>
      </c>
      <c r="H515" s="279">
        <f>+H516</f>
        <v>0</v>
      </c>
      <c r="I515" s="279">
        <f>+I516</f>
        <v>0</v>
      </c>
      <c r="J515" s="279">
        <f>+J516</f>
        <v>0</v>
      </c>
      <c r="K515" s="281">
        <f t="shared" si="650"/>
        <v>500660949.22000003</v>
      </c>
      <c r="L515" s="279">
        <f t="shared" ref="L515:Q515" si="723">+L516</f>
        <v>0</v>
      </c>
      <c r="M515" s="279">
        <f t="shared" si="723"/>
        <v>0</v>
      </c>
      <c r="N515" s="279">
        <f t="shared" si="723"/>
        <v>0</v>
      </c>
      <c r="O515" s="279">
        <f t="shared" si="723"/>
        <v>0</v>
      </c>
      <c r="P515" s="279">
        <f t="shared" si="723"/>
        <v>500660949.22000003</v>
      </c>
      <c r="Q515" s="279">
        <f t="shared" si="723"/>
        <v>0</v>
      </c>
      <c r="R515" s="281">
        <f t="shared" si="653"/>
        <v>500660949.22000003</v>
      </c>
      <c r="S515" s="279">
        <f t="shared" ref="S515:Z515" si="724">+S516</f>
        <v>0</v>
      </c>
      <c r="T515" s="279">
        <f t="shared" si="724"/>
        <v>0</v>
      </c>
      <c r="U515" s="279">
        <f t="shared" si="724"/>
        <v>0</v>
      </c>
      <c r="V515" s="279">
        <f t="shared" si="724"/>
        <v>0</v>
      </c>
      <c r="W515" s="279">
        <f t="shared" si="724"/>
        <v>0</v>
      </c>
      <c r="X515" s="279">
        <f t="shared" si="724"/>
        <v>0</v>
      </c>
      <c r="Y515" s="279">
        <f t="shared" si="724"/>
        <v>0</v>
      </c>
      <c r="Z515" s="279">
        <f t="shared" si="724"/>
        <v>0</v>
      </c>
      <c r="AA515" s="281">
        <f t="shared" si="712"/>
        <v>0</v>
      </c>
      <c r="AB515" s="403">
        <f t="shared" si="655"/>
        <v>500660949.22000003</v>
      </c>
      <c r="AC515" s="326">
        <f t="shared" si="673"/>
        <v>1</v>
      </c>
    </row>
    <row r="516" spans="1:29" ht="14.25" x14ac:dyDescent="0.2">
      <c r="B516" s="323" t="s">
        <v>1477</v>
      </c>
      <c r="C516" s="206" t="s">
        <v>1476</v>
      </c>
      <c r="D516" s="277"/>
      <c r="E516" s="325">
        <f>SUM('ADICIONES  2021'!C516:N516)</f>
        <v>500660949.22000003</v>
      </c>
      <c r="F516" s="277"/>
      <c r="G516" s="277"/>
      <c r="H516" s="277"/>
      <c r="I516" s="277"/>
      <c r="J516" s="277"/>
      <c r="K516" s="281">
        <f t="shared" si="650"/>
        <v>500660949.22000003</v>
      </c>
      <c r="L516" s="277"/>
      <c r="M516" s="277"/>
      <c r="N516" s="277"/>
      <c r="O516" s="277"/>
      <c r="P516" s="277">
        <v>500660949.22000003</v>
      </c>
      <c r="Q516" s="277"/>
      <c r="R516" s="281">
        <f t="shared" si="653"/>
        <v>500660949.22000003</v>
      </c>
      <c r="S516" s="277"/>
      <c r="T516" s="277"/>
      <c r="U516" s="277"/>
      <c r="V516" s="277"/>
      <c r="W516" s="277"/>
      <c r="X516" s="277"/>
      <c r="Y516" s="277"/>
      <c r="Z516" s="277"/>
      <c r="AA516" s="281">
        <f t="shared" si="712"/>
        <v>0</v>
      </c>
      <c r="AB516" s="403">
        <f t="shared" si="655"/>
        <v>500660949.22000003</v>
      </c>
      <c r="AC516" s="326">
        <f t="shared" si="673"/>
        <v>1</v>
      </c>
    </row>
    <row r="517" spans="1:29" ht="14.25" x14ac:dyDescent="0.2">
      <c r="B517" s="318" t="s">
        <v>1478</v>
      </c>
      <c r="C517" s="319" t="s">
        <v>1479</v>
      </c>
      <c r="D517" s="279">
        <f>+D518</f>
        <v>0</v>
      </c>
      <c r="E517" s="322">
        <f>SUM('ADICIONES  2021'!C517:N517)</f>
        <v>298898995.22000003</v>
      </c>
      <c r="F517" s="279">
        <f>+F518</f>
        <v>0</v>
      </c>
      <c r="G517" s="279">
        <f>+G518</f>
        <v>0</v>
      </c>
      <c r="H517" s="279">
        <f>+H518</f>
        <v>0</v>
      </c>
      <c r="I517" s="279">
        <f>+I518</f>
        <v>0</v>
      </c>
      <c r="J517" s="279">
        <f>+J518</f>
        <v>0</v>
      </c>
      <c r="K517" s="281">
        <f t="shared" si="650"/>
        <v>298898995.22000003</v>
      </c>
      <c r="L517" s="279">
        <f t="shared" ref="L517:Q517" si="725">+L518</f>
        <v>0</v>
      </c>
      <c r="M517" s="279">
        <f t="shared" si="725"/>
        <v>0</v>
      </c>
      <c r="N517" s="279">
        <f t="shared" si="725"/>
        <v>0</v>
      </c>
      <c r="O517" s="279">
        <f t="shared" si="725"/>
        <v>0</v>
      </c>
      <c r="P517" s="279">
        <f t="shared" si="725"/>
        <v>298898995.22000003</v>
      </c>
      <c r="Q517" s="279">
        <f t="shared" si="725"/>
        <v>0</v>
      </c>
      <c r="R517" s="281">
        <f t="shared" si="653"/>
        <v>298898995.22000003</v>
      </c>
      <c r="S517" s="279">
        <f t="shared" ref="S517:Z517" si="726">+S518</f>
        <v>0</v>
      </c>
      <c r="T517" s="279">
        <f t="shared" si="726"/>
        <v>0</v>
      </c>
      <c r="U517" s="279">
        <f t="shared" si="726"/>
        <v>0</v>
      </c>
      <c r="V517" s="279">
        <f t="shared" si="726"/>
        <v>0</v>
      </c>
      <c r="W517" s="279">
        <f t="shared" si="726"/>
        <v>0</v>
      </c>
      <c r="X517" s="279">
        <f t="shared" si="726"/>
        <v>0</v>
      </c>
      <c r="Y517" s="279">
        <f t="shared" si="726"/>
        <v>0</v>
      </c>
      <c r="Z517" s="279">
        <f t="shared" si="726"/>
        <v>0</v>
      </c>
      <c r="AA517" s="281">
        <f t="shared" si="712"/>
        <v>0</v>
      </c>
      <c r="AB517" s="403">
        <f t="shared" si="655"/>
        <v>298898995.22000003</v>
      </c>
      <c r="AC517" s="326">
        <f t="shared" si="673"/>
        <v>1</v>
      </c>
    </row>
    <row r="518" spans="1:29" ht="14.25" x14ac:dyDescent="0.2">
      <c r="B518" s="323" t="s">
        <v>1480</v>
      </c>
      <c r="C518" s="206" t="s">
        <v>1479</v>
      </c>
      <c r="D518" s="277"/>
      <c r="E518" s="325">
        <f>SUM('ADICIONES  2021'!C518:N518)</f>
        <v>298898995.22000003</v>
      </c>
      <c r="F518" s="277"/>
      <c r="G518" s="277"/>
      <c r="H518" s="277"/>
      <c r="I518" s="277"/>
      <c r="J518" s="277"/>
      <c r="K518" s="281">
        <f t="shared" si="650"/>
        <v>298898995.22000003</v>
      </c>
      <c r="L518" s="277"/>
      <c r="M518" s="277"/>
      <c r="N518" s="277"/>
      <c r="O518" s="277"/>
      <c r="P518" s="277">
        <v>298898995.22000003</v>
      </c>
      <c r="Q518" s="277"/>
      <c r="R518" s="281">
        <f t="shared" si="653"/>
        <v>298898995.22000003</v>
      </c>
      <c r="S518" s="277"/>
      <c r="T518" s="277"/>
      <c r="U518" s="277"/>
      <c r="V518" s="277"/>
      <c r="W518" s="277"/>
      <c r="X518" s="277"/>
      <c r="Y518" s="277"/>
      <c r="Z518" s="277"/>
      <c r="AA518" s="281">
        <f t="shared" si="712"/>
        <v>0</v>
      </c>
      <c r="AB518" s="403">
        <f t="shared" si="655"/>
        <v>298898995.22000003</v>
      </c>
      <c r="AC518" s="326">
        <f t="shared" si="673"/>
        <v>1</v>
      </c>
    </row>
    <row r="519" spans="1:29" ht="14.25" x14ac:dyDescent="0.2">
      <c r="B519" s="318" t="s">
        <v>1481</v>
      </c>
      <c r="C519" s="319" t="s">
        <v>1482</v>
      </c>
      <c r="D519" s="279">
        <f>+D520</f>
        <v>0</v>
      </c>
      <c r="E519" s="322">
        <f>SUM('ADICIONES  2021'!C519:N519)</f>
        <v>6785621064.1300001</v>
      </c>
      <c r="F519" s="279">
        <f>+F520</f>
        <v>0</v>
      </c>
      <c r="G519" s="279">
        <f>+G520</f>
        <v>0</v>
      </c>
      <c r="H519" s="279">
        <f>+H520</f>
        <v>0</v>
      </c>
      <c r="I519" s="279">
        <f>+I520</f>
        <v>0</v>
      </c>
      <c r="J519" s="279">
        <f>+J520</f>
        <v>0</v>
      </c>
      <c r="K519" s="281">
        <f t="shared" si="650"/>
        <v>6785621064.1300001</v>
      </c>
      <c r="L519" s="279">
        <f t="shared" ref="L519:Q519" si="727">+L520</f>
        <v>0</v>
      </c>
      <c r="M519" s="279">
        <f t="shared" si="727"/>
        <v>0</v>
      </c>
      <c r="N519" s="279">
        <f t="shared" si="727"/>
        <v>0</v>
      </c>
      <c r="O519" s="279">
        <f t="shared" si="727"/>
        <v>0</v>
      </c>
      <c r="P519" s="279">
        <f t="shared" si="727"/>
        <v>6785621064.1300001</v>
      </c>
      <c r="Q519" s="279">
        <f t="shared" si="727"/>
        <v>0</v>
      </c>
      <c r="R519" s="281">
        <f t="shared" si="653"/>
        <v>6785621064.1300001</v>
      </c>
      <c r="S519" s="279">
        <f t="shared" ref="S519:Z519" si="728">+S520</f>
        <v>0</v>
      </c>
      <c r="T519" s="279">
        <f t="shared" si="728"/>
        <v>0</v>
      </c>
      <c r="U519" s="279">
        <f t="shared" si="728"/>
        <v>0</v>
      </c>
      <c r="V519" s="279">
        <f t="shared" si="728"/>
        <v>0</v>
      </c>
      <c r="W519" s="279">
        <f t="shared" si="728"/>
        <v>0</v>
      </c>
      <c r="X519" s="279">
        <f t="shared" si="728"/>
        <v>0</v>
      </c>
      <c r="Y519" s="279">
        <f t="shared" si="728"/>
        <v>0</v>
      </c>
      <c r="Z519" s="279">
        <f t="shared" si="728"/>
        <v>0</v>
      </c>
      <c r="AA519" s="281">
        <f t="shared" si="712"/>
        <v>0</v>
      </c>
      <c r="AB519" s="403">
        <f t="shared" si="655"/>
        <v>6785621064.1300001</v>
      </c>
      <c r="AC519" s="326">
        <f t="shared" si="673"/>
        <v>1</v>
      </c>
    </row>
    <row r="520" spans="1:29" ht="14.25" x14ac:dyDescent="0.2">
      <c r="B520" s="323" t="s">
        <v>1483</v>
      </c>
      <c r="C520" s="206" t="s">
        <v>1482</v>
      </c>
      <c r="D520" s="277"/>
      <c r="E520" s="325">
        <f>SUM('ADICIONES  2021'!C520:N520)</f>
        <v>6785621064.1300001</v>
      </c>
      <c r="F520" s="277"/>
      <c r="G520" s="277"/>
      <c r="H520" s="277"/>
      <c r="I520" s="277"/>
      <c r="J520" s="277"/>
      <c r="K520" s="281">
        <f t="shared" si="650"/>
        <v>6785621064.1300001</v>
      </c>
      <c r="L520" s="277"/>
      <c r="M520" s="277"/>
      <c r="N520" s="277"/>
      <c r="O520" s="277"/>
      <c r="P520" s="277">
        <v>6785621064.1300001</v>
      </c>
      <c r="Q520" s="277"/>
      <c r="R520" s="281">
        <f t="shared" si="653"/>
        <v>6785621064.1300001</v>
      </c>
      <c r="S520" s="277"/>
      <c r="T520" s="277"/>
      <c r="U520" s="277"/>
      <c r="V520" s="277"/>
      <c r="W520" s="277"/>
      <c r="X520" s="277"/>
      <c r="Y520" s="277"/>
      <c r="Z520" s="277"/>
      <c r="AA520" s="281">
        <f t="shared" si="712"/>
        <v>0</v>
      </c>
      <c r="AB520" s="403">
        <f t="shared" si="655"/>
        <v>6785621064.1300001</v>
      </c>
      <c r="AC520" s="326">
        <f t="shared" si="673"/>
        <v>1</v>
      </c>
    </row>
    <row r="521" spans="1:29" s="61" customFormat="1" ht="15.75" x14ac:dyDescent="0.2">
      <c r="A521" s="421"/>
      <c r="B521" s="318" t="s">
        <v>1484</v>
      </c>
      <c r="C521" s="319" t="s">
        <v>1485</v>
      </c>
      <c r="D521" s="279">
        <f>SUM(D522:D523)</f>
        <v>0</v>
      </c>
      <c r="E521" s="322">
        <f>SUM('ADICIONES  2021'!C521:N521)</f>
        <v>1015635724</v>
      </c>
      <c r="F521" s="279">
        <f t="shared" ref="F521:J521" si="729">SUM(F522:F523)</f>
        <v>0</v>
      </c>
      <c r="G521" s="279">
        <f t="shared" si="729"/>
        <v>0</v>
      </c>
      <c r="H521" s="279">
        <f t="shared" si="729"/>
        <v>0</v>
      </c>
      <c r="I521" s="279">
        <f t="shared" si="729"/>
        <v>0</v>
      </c>
      <c r="J521" s="279">
        <f t="shared" si="729"/>
        <v>0</v>
      </c>
      <c r="K521" s="276">
        <f t="shared" si="650"/>
        <v>1015635724</v>
      </c>
      <c r="L521" s="279">
        <f t="shared" ref="L521:Q521" si="730">SUM(L522:L523)</f>
        <v>0</v>
      </c>
      <c r="M521" s="279">
        <f t="shared" si="730"/>
        <v>0</v>
      </c>
      <c r="N521" s="279">
        <f t="shared" si="730"/>
        <v>0</v>
      </c>
      <c r="O521" s="279">
        <f t="shared" si="730"/>
        <v>0</v>
      </c>
      <c r="P521" s="279">
        <f t="shared" si="730"/>
        <v>1014585724</v>
      </c>
      <c r="Q521" s="279">
        <f t="shared" si="730"/>
        <v>0</v>
      </c>
      <c r="R521" s="276">
        <f t="shared" si="653"/>
        <v>1014585724</v>
      </c>
      <c r="S521" s="279">
        <f t="shared" ref="S521:Z521" si="731">SUM(S522:S523)</f>
        <v>0</v>
      </c>
      <c r="T521" s="279">
        <f t="shared" si="731"/>
        <v>0</v>
      </c>
      <c r="U521" s="279">
        <f t="shared" si="731"/>
        <v>0</v>
      </c>
      <c r="V521" s="279">
        <f t="shared" si="731"/>
        <v>0</v>
      </c>
      <c r="W521" s="279">
        <f t="shared" si="731"/>
        <v>1050000</v>
      </c>
      <c r="X521" s="279">
        <f t="shared" si="731"/>
        <v>0</v>
      </c>
      <c r="Y521" s="279">
        <f t="shared" si="731"/>
        <v>0</v>
      </c>
      <c r="Z521" s="279">
        <f t="shared" si="731"/>
        <v>0</v>
      </c>
      <c r="AA521" s="276">
        <f t="shared" si="712"/>
        <v>1050000</v>
      </c>
      <c r="AB521" s="402">
        <f t="shared" si="655"/>
        <v>1015635724</v>
      </c>
      <c r="AC521" s="321">
        <f t="shared" si="673"/>
        <v>1</v>
      </c>
    </row>
    <row r="522" spans="1:29" ht="14.25" x14ac:dyDescent="0.2">
      <c r="B522" s="323" t="s">
        <v>1486</v>
      </c>
      <c r="C522" s="206" t="s">
        <v>1485</v>
      </c>
      <c r="D522" s="277"/>
      <c r="E522" s="325">
        <f>SUM('ADICIONES  2021'!C522:N522)</f>
        <v>1014585724</v>
      </c>
      <c r="F522" s="277"/>
      <c r="G522" s="277"/>
      <c r="H522" s="277"/>
      <c r="I522" s="277"/>
      <c r="J522" s="277"/>
      <c r="K522" s="281">
        <f t="shared" si="650"/>
        <v>1014585724</v>
      </c>
      <c r="L522" s="277"/>
      <c r="M522" s="277"/>
      <c r="N522" s="277"/>
      <c r="O522" s="277"/>
      <c r="P522" s="277">
        <v>1014585724</v>
      </c>
      <c r="Q522" s="277"/>
      <c r="R522" s="281">
        <f t="shared" si="653"/>
        <v>1014585724</v>
      </c>
      <c r="S522" s="277"/>
      <c r="T522" s="277"/>
      <c r="U522" s="277"/>
      <c r="V522" s="277"/>
      <c r="W522" s="277"/>
      <c r="X522" s="277"/>
      <c r="Y522" s="277"/>
      <c r="Z522" s="277"/>
      <c r="AA522" s="281">
        <f t="shared" si="712"/>
        <v>0</v>
      </c>
      <c r="AB522" s="403">
        <f t="shared" si="655"/>
        <v>1014585724</v>
      </c>
      <c r="AC522" s="326">
        <f t="shared" si="673"/>
        <v>1</v>
      </c>
    </row>
    <row r="523" spans="1:29" ht="14.25" x14ac:dyDescent="0.2">
      <c r="B523" s="323" t="s">
        <v>1486</v>
      </c>
      <c r="C523" s="206" t="s">
        <v>1485</v>
      </c>
      <c r="D523" s="277"/>
      <c r="E523" s="325">
        <f>SUM('ADICIONES  2021'!C523:N523)</f>
        <v>1050000</v>
      </c>
      <c r="F523" s="277"/>
      <c r="G523" s="277"/>
      <c r="H523" s="277"/>
      <c r="I523" s="277"/>
      <c r="J523" s="277"/>
      <c r="K523" s="281">
        <f t="shared" si="650"/>
        <v>1050000</v>
      </c>
      <c r="L523" s="277"/>
      <c r="M523" s="277"/>
      <c r="N523" s="277"/>
      <c r="O523" s="277"/>
      <c r="P523" s="277"/>
      <c r="Q523" s="277"/>
      <c r="R523" s="281">
        <f t="shared" ref="R523" si="732">SUM(L523:Q523)</f>
        <v>0</v>
      </c>
      <c r="S523" s="277"/>
      <c r="T523" s="277"/>
      <c r="U523" s="277"/>
      <c r="V523" s="277"/>
      <c r="W523" s="277">
        <v>1050000</v>
      </c>
      <c r="X523" s="277"/>
      <c r="Y523" s="277"/>
      <c r="Z523" s="277"/>
      <c r="AA523" s="281">
        <f t="shared" ref="AA523" si="733">SUM(S523:Z523)</f>
        <v>1050000</v>
      </c>
      <c r="AB523" s="403">
        <f t="shared" si="655"/>
        <v>1050000</v>
      </c>
      <c r="AC523" s="326">
        <f t="shared" si="673"/>
        <v>1</v>
      </c>
    </row>
    <row r="524" spans="1:29" ht="14.25" x14ac:dyDescent="0.2">
      <c r="B524" s="318" t="s">
        <v>1487</v>
      </c>
      <c r="C524" s="319" t="s">
        <v>1488</v>
      </c>
      <c r="D524" s="279">
        <f>+D525</f>
        <v>0</v>
      </c>
      <c r="E524" s="322">
        <f>SUM('ADICIONES  2021'!C524:N524)</f>
        <v>1217590140.95</v>
      </c>
      <c r="F524" s="279">
        <f>+F525</f>
        <v>0</v>
      </c>
      <c r="G524" s="279">
        <f>+G525</f>
        <v>0</v>
      </c>
      <c r="H524" s="279">
        <f>+H525</f>
        <v>0</v>
      </c>
      <c r="I524" s="279">
        <f>+I525</f>
        <v>0</v>
      </c>
      <c r="J524" s="279">
        <f>+J525</f>
        <v>0</v>
      </c>
      <c r="K524" s="281">
        <f t="shared" si="650"/>
        <v>1217590140.95</v>
      </c>
      <c r="L524" s="279">
        <f t="shared" ref="L524:Q524" si="734">+L525</f>
        <v>0</v>
      </c>
      <c r="M524" s="279">
        <f t="shared" si="734"/>
        <v>0</v>
      </c>
      <c r="N524" s="279">
        <f t="shared" si="734"/>
        <v>0</v>
      </c>
      <c r="O524" s="279">
        <f t="shared" si="734"/>
        <v>0</v>
      </c>
      <c r="P524" s="279">
        <f t="shared" si="734"/>
        <v>1217590140.95</v>
      </c>
      <c r="Q524" s="279">
        <f t="shared" si="734"/>
        <v>0</v>
      </c>
      <c r="R524" s="281">
        <f t="shared" si="653"/>
        <v>1217590140.95</v>
      </c>
      <c r="S524" s="279">
        <f t="shared" ref="S524:Z524" si="735">+S525</f>
        <v>0</v>
      </c>
      <c r="T524" s="279">
        <f t="shared" si="735"/>
        <v>0</v>
      </c>
      <c r="U524" s="279">
        <f t="shared" si="735"/>
        <v>0</v>
      </c>
      <c r="V524" s="279">
        <f t="shared" si="735"/>
        <v>0</v>
      </c>
      <c r="W524" s="279">
        <f t="shared" si="735"/>
        <v>0</v>
      </c>
      <c r="X524" s="279">
        <f t="shared" si="735"/>
        <v>0</v>
      </c>
      <c r="Y524" s="279">
        <f t="shared" si="735"/>
        <v>0</v>
      </c>
      <c r="Z524" s="279">
        <f t="shared" si="735"/>
        <v>0</v>
      </c>
      <c r="AA524" s="281">
        <f t="shared" si="712"/>
        <v>0</v>
      </c>
      <c r="AB524" s="403">
        <f t="shared" si="655"/>
        <v>1217590140.95</v>
      </c>
      <c r="AC524" s="326">
        <f t="shared" si="673"/>
        <v>1</v>
      </c>
    </row>
    <row r="525" spans="1:29" ht="14.25" x14ac:dyDescent="0.2">
      <c r="B525" s="323" t="s">
        <v>1489</v>
      </c>
      <c r="C525" s="206" t="s">
        <v>1488</v>
      </c>
      <c r="D525" s="277"/>
      <c r="E525" s="325">
        <f>SUM('ADICIONES  2021'!C525:N525)</f>
        <v>1217590140.95</v>
      </c>
      <c r="F525" s="277"/>
      <c r="G525" s="277"/>
      <c r="H525" s="277"/>
      <c r="I525" s="277"/>
      <c r="J525" s="277"/>
      <c r="K525" s="281">
        <f t="shared" si="650"/>
        <v>1217590140.95</v>
      </c>
      <c r="L525" s="277"/>
      <c r="M525" s="277"/>
      <c r="N525" s="277"/>
      <c r="O525" s="277"/>
      <c r="P525" s="277">
        <v>1217590140.95</v>
      </c>
      <c r="Q525" s="277"/>
      <c r="R525" s="281">
        <f t="shared" si="653"/>
        <v>1217590140.95</v>
      </c>
      <c r="S525" s="277"/>
      <c r="T525" s="277"/>
      <c r="U525" s="277"/>
      <c r="V525" s="277"/>
      <c r="W525" s="277"/>
      <c r="X525" s="277"/>
      <c r="Y525" s="277"/>
      <c r="Z525" s="277"/>
      <c r="AA525" s="281">
        <f t="shared" si="712"/>
        <v>0</v>
      </c>
      <c r="AB525" s="403">
        <f t="shared" si="655"/>
        <v>1217590140.95</v>
      </c>
      <c r="AC525" s="326">
        <f t="shared" si="673"/>
        <v>1</v>
      </c>
    </row>
    <row r="526" spans="1:29" ht="14.25" x14ac:dyDescent="0.2">
      <c r="B526" s="318" t="s">
        <v>1490</v>
      </c>
      <c r="C526" s="319" t="s">
        <v>1491</v>
      </c>
      <c r="D526" s="279">
        <f>+D527</f>
        <v>0</v>
      </c>
      <c r="E526" s="322">
        <f>SUM('ADICIONES  2021'!C526:N526)</f>
        <v>9066503659.1900005</v>
      </c>
      <c r="F526" s="279">
        <f>+F527</f>
        <v>0</v>
      </c>
      <c r="G526" s="279">
        <f>+G527</f>
        <v>0</v>
      </c>
      <c r="H526" s="279">
        <f>+H527</f>
        <v>0</v>
      </c>
      <c r="I526" s="279">
        <f>+I527</f>
        <v>0</v>
      </c>
      <c r="J526" s="279">
        <f>+J527</f>
        <v>0</v>
      </c>
      <c r="K526" s="281">
        <f t="shared" si="650"/>
        <v>9066503659.1900005</v>
      </c>
      <c r="L526" s="279">
        <f t="shared" ref="L526:Q526" si="736">+L527</f>
        <v>0</v>
      </c>
      <c r="M526" s="279">
        <f t="shared" si="736"/>
        <v>0</v>
      </c>
      <c r="N526" s="279">
        <f t="shared" si="736"/>
        <v>0</v>
      </c>
      <c r="O526" s="279">
        <f t="shared" si="736"/>
        <v>0</v>
      </c>
      <c r="P526" s="279">
        <f t="shared" si="736"/>
        <v>9066503659.1900005</v>
      </c>
      <c r="Q526" s="279">
        <f t="shared" si="736"/>
        <v>0</v>
      </c>
      <c r="R526" s="281">
        <f t="shared" si="653"/>
        <v>9066503659.1900005</v>
      </c>
      <c r="S526" s="279">
        <f t="shared" ref="S526:Z526" si="737">+S527</f>
        <v>0</v>
      </c>
      <c r="T526" s="279">
        <f t="shared" si="737"/>
        <v>0</v>
      </c>
      <c r="U526" s="279">
        <f t="shared" si="737"/>
        <v>0</v>
      </c>
      <c r="V526" s="279">
        <f t="shared" si="737"/>
        <v>0</v>
      </c>
      <c r="W526" s="279">
        <f t="shared" si="737"/>
        <v>0</v>
      </c>
      <c r="X526" s="279">
        <f t="shared" si="737"/>
        <v>0</v>
      </c>
      <c r="Y526" s="279">
        <f t="shared" si="737"/>
        <v>0</v>
      </c>
      <c r="Z526" s="279">
        <f t="shared" si="737"/>
        <v>0</v>
      </c>
      <c r="AA526" s="281">
        <f t="shared" si="712"/>
        <v>0</v>
      </c>
      <c r="AB526" s="403">
        <f t="shared" si="655"/>
        <v>9066503659.1900005</v>
      </c>
      <c r="AC526" s="326">
        <f t="shared" si="673"/>
        <v>1</v>
      </c>
    </row>
    <row r="527" spans="1:29" ht="14.25" x14ac:dyDescent="0.2">
      <c r="B527" s="323" t="s">
        <v>1492</v>
      </c>
      <c r="C527" s="206" t="s">
        <v>1491</v>
      </c>
      <c r="D527" s="277"/>
      <c r="E527" s="325">
        <f>SUM('ADICIONES  2021'!C527:N527)</f>
        <v>9066503659.1900005</v>
      </c>
      <c r="F527" s="277"/>
      <c r="G527" s="277"/>
      <c r="H527" s="277"/>
      <c r="I527" s="277"/>
      <c r="J527" s="277"/>
      <c r="K527" s="281">
        <f t="shared" si="650"/>
        <v>9066503659.1900005</v>
      </c>
      <c r="L527" s="277"/>
      <c r="M527" s="277"/>
      <c r="N527" s="277"/>
      <c r="O527" s="277"/>
      <c r="P527" s="277">
        <v>9066503659.1900005</v>
      </c>
      <c r="Q527" s="277"/>
      <c r="R527" s="281">
        <f t="shared" si="653"/>
        <v>9066503659.1900005</v>
      </c>
      <c r="S527" s="277"/>
      <c r="T527" s="277"/>
      <c r="U527" s="277"/>
      <c r="V527" s="277"/>
      <c r="W527" s="277"/>
      <c r="X527" s="277"/>
      <c r="Y527" s="277"/>
      <c r="Z527" s="277"/>
      <c r="AA527" s="281">
        <f t="shared" si="712"/>
        <v>0</v>
      </c>
      <c r="AB527" s="403">
        <f t="shared" si="655"/>
        <v>9066503659.1900005</v>
      </c>
      <c r="AC527" s="326">
        <f t="shared" si="673"/>
        <v>1</v>
      </c>
    </row>
    <row r="528" spans="1:29" ht="14.25" x14ac:dyDescent="0.2">
      <c r="B528" s="318" t="s">
        <v>1493</v>
      </c>
      <c r="C528" s="319" t="s">
        <v>1494</v>
      </c>
      <c r="D528" s="279">
        <f>+D529</f>
        <v>0</v>
      </c>
      <c r="E528" s="322">
        <f>SUM('ADICIONES  2021'!C528:N528)</f>
        <v>4189115912</v>
      </c>
      <c r="F528" s="279">
        <f>+F529</f>
        <v>0</v>
      </c>
      <c r="G528" s="279">
        <f>+G529</f>
        <v>0</v>
      </c>
      <c r="H528" s="279">
        <f>+H529</f>
        <v>0</v>
      </c>
      <c r="I528" s="279">
        <f>+I529</f>
        <v>0</v>
      </c>
      <c r="J528" s="279">
        <f>+J529</f>
        <v>0</v>
      </c>
      <c r="K528" s="281">
        <f t="shared" si="650"/>
        <v>4189115912</v>
      </c>
      <c r="L528" s="279">
        <f t="shared" ref="L528:Q528" si="738">+L529</f>
        <v>0</v>
      </c>
      <c r="M528" s="279">
        <f t="shared" si="738"/>
        <v>0</v>
      </c>
      <c r="N528" s="279">
        <f t="shared" si="738"/>
        <v>0</v>
      </c>
      <c r="O528" s="279">
        <f t="shared" si="738"/>
        <v>0</v>
      </c>
      <c r="P528" s="279">
        <f t="shared" si="738"/>
        <v>4189115912</v>
      </c>
      <c r="Q528" s="279">
        <f t="shared" si="738"/>
        <v>0</v>
      </c>
      <c r="R528" s="281">
        <f t="shared" si="653"/>
        <v>4189115912</v>
      </c>
      <c r="S528" s="279">
        <f t="shared" ref="S528:Z528" si="739">+S529</f>
        <v>0</v>
      </c>
      <c r="T528" s="279">
        <f t="shared" si="739"/>
        <v>0</v>
      </c>
      <c r="U528" s="279">
        <f t="shared" si="739"/>
        <v>0</v>
      </c>
      <c r="V528" s="279">
        <f t="shared" si="739"/>
        <v>0</v>
      </c>
      <c r="W528" s="279">
        <f t="shared" si="739"/>
        <v>0</v>
      </c>
      <c r="X528" s="279">
        <f t="shared" si="739"/>
        <v>0</v>
      </c>
      <c r="Y528" s="279">
        <f t="shared" si="739"/>
        <v>0</v>
      </c>
      <c r="Z528" s="279">
        <f t="shared" si="739"/>
        <v>0</v>
      </c>
      <c r="AA528" s="281">
        <f t="shared" si="712"/>
        <v>0</v>
      </c>
      <c r="AB528" s="403">
        <f t="shared" si="655"/>
        <v>4189115912</v>
      </c>
      <c r="AC528" s="326">
        <f t="shared" si="673"/>
        <v>1</v>
      </c>
    </row>
    <row r="529" spans="2:29" ht="14.25" x14ac:dyDescent="0.2">
      <c r="B529" s="323" t="s">
        <v>1495</v>
      </c>
      <c r="C529" s="206" t="s">
        <v>1494</v>
      </c>
      <c r="D529" s="277"/>
      <c r="E529" s="325">
        <f>SUM('ADICIONES  2021'!C529:N529)</f>
        <v>4189115912</v>
      </c>
      <c r="F529" s="277"/>
      <c r="G529" s="277"/>
      <c r="H529" s="277"/>
      <c r="I529" s="277"/>
      <c r="J529" s="277"/>
      <c r="K529" s="281">
        <f t="shared" si="650"/>
        <v>4189115912</v>
      </c>
      <c r="L529" s="277"/>
      <c r="M529" s="277"/>
      <c r="N529" s="277"/>
      <c r="O529" s="277"/>
      <c r="P529" s="277">
        <v>4189115912</v>
      </c>
      <c r="Q529" s="277"/>
      <c r="R529" s="281">
        <f t="shared" si="653"/>
        <v>4189115912</v>
      </c>
      <c r="S529" s="277"/>
      <c r="T529" s="277"/>
      <c r="U529" s="277"/>
      <c r="V529" s="277"/>
      <c r="W529" s="277"/>
      <c r="X529" s="277"/>
      <c r="Y529" s="277"/>
      <c r="Z529" s="277"/>
      <c r="AA529" s="281">
        <f t="shared" si="712"/>
        <v>0</v>
      </c>
      <c r="AB529" s="403">
        <f t="shared" si="655"/>
        <v>4189115912</v>
      </c>
      <c r="AC529" s="326">
        <f t="shared" si="673"/>
        <v>1</v>
      </c>
    </row>
    <row r="530" spans="2:29" ht="25.5" x14ac:dyDescent="0.2">
      <c r="B530" s="318" t="s">
        <v>1496</v>
      </c>
      <c r="C530" s="319" t="s">
        <v>1497</v>
      </c>
      <c r="D530" s="279">
        <f>+D531</f>
        <v>0</v>
      </c>
      <c r="E530" s="322">
        <f>SUM('ADICIONES  2021'!C530:N530)</f>
        <v>3483193805.9099998</v>
      </c>
      <c r="F530" s="279">
        <f>+F531</f>
        <v>0</v>
      </c>
      <c r="G530" s="279">
        <f>+G531</f>
        <v>0</v>
      </c>
      <c r="H530" s="279">
        <f>+H531</f>
        <v>0</v>
      </c>
      <c r="I530" s="279">
        <f>+I531</f>
        <v>0</v>
      </c>
      <c r="J530" s="279">
        <f>+J531</f>
        <v>0</v>
      </c>
      <c r="K530" s="281">
        <f t="shared" si="650"/>
        <v>3483193805.9099998</v>
      </c>
      <c r="L530" s="279">
        <f t="shared" ref="L530:Q530" si="740">+L531</f>
        <v>0</v>
      </c>
      <c r="M530" s="279">
        <f t="shared" si="740"/>
        <v>0</v>
      </c>
      <c r="N530" s="279">
        <f t="shared" si="740"/>
        <v>0</v>
      </c>
      <c r="O530" s="279">
        <f t="shared" si="740"/>
        <v>0</v>
      </c>
      <c r="P530" s="279">
        <f t="shared" si="740"/>
        <v>3483193805.9099998</v>
      </c>
      <c r="Q530" s="279">
        <f t="shared" si="740"/>
        <v>0</v>
      </c>
      <c r="R530" s="281">
        <f t="shared" si="653"/>
        <v>3483193805.9099998</v>
      </c>
      <c r="S530" s="279">
        <f t="shared" ref="S530:Z530" si="741">+S531</f>
        <v>0</v>
      </c>
      <c r="T530" s="279">
        <f t="shared" si="741"/>
        <v>0</v>
      </c>
      <c r="U530" s="279">
        <f t="shared" si="741"/>
        <v>0</v>
      </c>
      <c r="V530" s="279">
        <f t="shared" si="741"/>
        <v>0</v>
      </c>
      <c r="W530" s="279">
        <f t="shared" si="741"/>
        <v>0</v>
      </c>
      <c r="X530" s="279">
        <f t="shared" si="741"/>
        <v>0</v>
      </c>
      <c r="Y530" s="279">
        <f t="shared" si="741"/>
        <v>0</v>
      </c>
      <c r="Z530" s="279">
        <f t="shared" si="741"/>
        <v>0</v>
      </c>
      <c r="AA530" s="281">
        <f t="shared" si="712"/>
        <v>0</v>
      </c>
      <c r="AB530" s="403">
        <f t="shared" si="655"/>
        <v>3483193805.9099998</v>
      </c>
      <c r="AC530" s="326">
        <f t="shared" si="673"/>
        <v>1</v>
      </c>
    </row>
    <row r="531" spans="2:29" ht="25.5" x14ac:dyDescent="0.2">
      <c r="B531" s="323" t="s">
        <v>1498</v>
      </c>
      <c r="C531" s="206" t="s">
        <v>1499</v>
      </c>
      <c r="D531" s="277"/>
      <c r="E531" s="325">
        <f>SUM('ADICIONES  2021'!C531:N531)</f>
        <v>3483193805.9099998</v>
      </c>
      <c r="F531" s="277"/>
      <c r="G531" s="277"/>
      <c r="H531" s="277"/>
      <c r="I531" s="277"/>
      <c r="J531" s="277"/>
      <c r="K531" s="281">
        <f t="shared" si="650"/>
        <v>3483193805.9099998</v>
      </c>
      <c r="L531" s="277"/>
      <c r="M531" s="277"/>
      <c r="N531" s="277"/>
      <c r="O531" s="277"/>
      <c r="P531" s="277">
        <v>3483193805.9099998</v>
      </c>
      <c r="Q531" s="277"/>
      <c r="R531" s="281">
        <f t="shared" si="653"/>
        <v>3483193805.9099998</v>
      </c>
      <c r="S531" s="277"/>
      <c r="T531" s="277"/>
      <c r="U531" s="277"/>
      <c r="V531" s="277"/>
      <c r="W531" s="277"/>
      <c r="X531" s="277"/>
      <c r="Y531" s="277"/>
      <c r="Z531" s="277"/>
      <c r="AA531" s="281">
        <f t="shared" si="712"/>
        <v>0</v>
      </c>
      <c r="AB531" s="403">
        <f t="shared" si="655"/>
        <v>3483193805.9099998</v>
      </c>
      <c r="AC531" s="326">
        <f t="shared" si="673"/>
        <v>1</v>
      </c>
    </row>
    <row r="532" spans="2:29" ht="25.5" x14ac:dyDescent="0.2">
      <c r="B532" s="318" t="s">
        <v>1500</v>
      </c>
      <c r="C532" s="319" t="s">
        <v>1501</v>
      </c>
      <c r="D532" s="279">
        <f>+D533</f>
        <v>0</v>
      </c>
      <c r="E532" s="322">
        <f>SUM('ADICIONES  2021'!C532:N532)</f>
        <v>2029741990.6800001</v>
      </c>
      <c r="F532" s="279">
        <f>+F533</f>
        <v>0</v>
      </c>
      <c r="G532" s="279">
        <f>+G533</f>
        <v>0</v>
      </c>
      <c r="H532" s="279">
        <f>+H533</f>
        <v>0</v>
      </c>
      <c r="I532" s="279">
        <f>+I533</f>
        <v>0</v>
      </c>
      <c r="J532" s="279">
        <f>+J533</f>
        <v>0</v>
      </c>
      <c r="K532" s="281">
        <f t="shared" si="650"/>
        <v>2029741990.6800001</v>
      </c>
      <c r="L532" s="279">
        <f t="shared" ref="L532:Q532" si="742">+L533</f>
        <v>0</v>
      </c>
      <c r="M532" s="279">
        <f t="shared" si="742"/>
        <v>0</v>
      </c>
      <c r="N532" s="279">
        <f t="shared" si="742"/>
        <v>0</v>
      </c>
      <c r="O532" s="279">
        <f t="shared" si="742"/>
        <v>0</v>
      </c>
      <c r="P532" s="279">
        <f t="shared" si="742"/>
        <v>2029741990.6800001</v>
      </c>
      <c r="Q532" s="279">
        <f t="shared" si="742"/>
        <v>0</v>
      </c>
      <c r="R532" s="281">
        <f t="shared" si="653"/>
        <v>2029741990.6800001</v>
      </c>
      <c r="S532" s="279">
        <f t="shared" ref="S532:Z532" si="743">+S533</f>
        <v>0</v>
      </c>
      <c r="T532" s="279">
        <f t="shared" si="743"/>
        <v>0</v>
      </c>
      <c r="U532" s="279">
        <f t="shared" si="743"/>
        <v>0</v>
      </c>
      <c r="V532" s="279">
        <f t="shared" si="743"/>
        <v>0</v>
      </c>
      <c r="W532" s="279">
        <f t="shared" si="743"/>
        <v>0</v>
      </c>
      <c r="X532" s="279">
        <f t="shared" si="743"/>
        <v>0</v>
      </c>
      <c r="Y532" s="279">
        <f t="shared" si="743"/>
        <v>0</v>
      </c>
      <c r="Z532" s="279">
        <f t="shared" si="743"/>
        <v>0</v>
      </c>
      <c r="AA532" s="281">
        <f t="shared" si="712"/>
        <v>0</v>
      </c>
      <c r="AB532" s="403">
        <f t="shared" si="655"/>
        <v>2029741990.6800001</v>
      </c>
      <c r="AC532" s="326">
        <f t="shared" si="673"/>
        <v>1</v>
      </c>
    </row>
    <row r="533" spans="2:29" ht="25.5" x14ac:dyDescent="0.2">
      <c r="B533" s="323" t="s">
        <v>1502</v>
      </c>
      <c r="C533" s="206" t="s">
        <v>1501</v>
      </c>
      <c r="D533" s="277"/>
      <c r="E533" s="325">
        <f>SUM('ADICIONES  2021'!C533:N533)</f>
        <v>2029741990.6800001</v>
      </c>
      <c r="F533" s="277"/>
      <c r="G533" s="277"/>
      <c r="H533" s="277"/>
      <c r="I533" s="277"/>
      <c r="J533" s="277"/>
      <c r="K533" s="281">
        <f t="shared" si="650"/>
        <v>2029741990.6800001</v>
      </c>
      <c r="L533" s="277"/>
      <c r="M533" s="277"/>
      <c r="N533" s="277"/>
      <c r="O533" s="277"/>
      <c r="P533" s="277">
        <v>2029741990.6800001</v>
      </c>
      <c r="Q533" s="277"/>
      <c r="R533" s="281">
        <f t="shared" si="653"/>
        <v>2029741990.6800001</v>
      </c>
      <c r="S533" s="277"/>
      <c r="T533" s="277"/>
      <c r="U533" s="277"/>
      <c r="V533" s="277"/>
      <c r="W533" s="277"/>
      <c r="X533" s="277"/>
      <c r="Y533" s="277"/>
      <c r="Z533" s="277"/>
      <c r="AA533" s="281">
        <f t="shared" si="712"/>
        <v>0</v>
      </c>
      <c r="AB533" s="403">
        <f t="shared" si="655"/>
        <v>2029741990.6800001</v>
      </c>
      <c r="AC533" s="326">
        <f t="shared" si="673"/>
        <v>1</v>
      </c>
    </row>
    <row r="534" spans="2:29" ht="14.25" x14ac:dyDescent="0.2">
      <c r="B534" s="318" t="s">
        <v>1503</v>
      </c>
      <c r="C534" s="319" t="s">
        <v>1504</v>
      </c>
      <c r="D534" s="279">
        <f>+D535</f>
        <v>0</v>
      </c>
      <c r="E534" s="322">
        <f>SUM('ADICIONES  2021'!C534:N534)</f>
        <v>1500000000</v>
      </c>
      <c r="F534" s="279">
        <f>+F535</f>
        <v>0</v>
      </c>
      <c r="G534" s="279">
        <f>+G535</f>
        <v>0</v>
      </c>
      <c r="H534" s="279">
        <f>+H535</f>
        <v>0</v>
      </c>
      <c r="I534" s="279">
        <f>+I535</f>
        <v>0</v>
      </c>
      <c r="J534" s="279">
        <f>+J535</f>
        <v>0</v>
      </c>
      <c r="K534" s="281">
        <f t="shared" si="650"/>
        <v>1500000000</v>
      </c>
      <c r="L534" s="279">
        <f t="shared" ref="L534:Q534" si="744">+L535</f>
        <v>0</v>
      </c>
      <c r="M534" s="279">
        <f t="shared" si="744"/>
        <v>0</v>
      </c>
      <c r="N534" s="279">
        <f t="shared" si="744"/>
        <v>0</v>
      </c>
      <c r="O534" s="279">
        <f t="shared" si="744"/>
        <v>0</v>
      </c>
      <c r="P534" s="279">
        <f t="shared" si="744"/>
        <v>1500000000</v>
      </c>
      <c r="Q534" s="279">
        <f t="shared" si="744"/>
        <v>0</v>
      </c>
      <c r="R534" s="281">
        <f t="shared" si="653"/>
        <v>1500000000</v>
      </c>
      <c r="S534" s="279">
        <f t="shared" ref="S534:Z534" si="745">+S535</f>
        <v>0</v>
      </c>
      <c r="T534" s="279">
        <f t="shared" si="745"/>
        <v>0</v>
      </c>
      <c r="U534" s="279">
        <f t="shared" si="745"/>
        <v>0</v>
      </c>
      <c r="V534" s="279">
        <f t="shared" si="745"/>
        <v>0</v>
      </c>
      <c r="W534" s="279">
        <f t="shared" si="745"/>
        <v>0</v>
      </c>
      <c r="X534" s="279">
        <f t="shared" si="745"/>
        <v>0</v>
      </c>
      <c r="Y534" s="279">
        <f t="shared" si="745"/>
        <v>0</v>
      </c>
      <c r="Z534" s="279">
        <f t="shared" si="745"/>
        <v>0</v>
      </c>
      <c r="AA534" s="281">
        <f t="shared" si="712"/>
        <v>0</v>
      </c>
      <c r="AB534" s="403">
        <f t="shared" si="655"/>
        <v>1500000000</v>
      </c>
      <c r="AC534" s="326">
        <f t="shared" si="673"/>
        <v>1</v>
      </c>
    </row>
    <row r="535" spans="2:29" ht="14.25" x14ac:dyDescent="0.2">
      <c r="B535" s="323" t="s">
        <v>1505</v>
      </c>
      <c r="C535" s="206" t="s">
        <v>1504</v>
      </c>
      <c r="D535" s="277"/>
      <c r="E535" s="325">
        <f>SUM('ADICIONES  2021'!C535:N535)</f>
        <v>1500000000</v>
      </c>
      <c r="F535" s="277"/>
      <c r="G535" s="277"/>
      <c r="H535" s="277"/>
      <c r="I535" s="277"/>
      <c r="J535" s="277"/>
      <c r="K535" s="281">
        <f t="shared" si="650"/>
        <v>1500000000</v>
      </c>
      <c r="L535" s="277"/>
      <c r="M535" s="277"/>
      <c r="N535" s="277"/>
      <c r="O535" s="277"/>
      <c r="P535" s="277">
        <v>1500000000</v>
      </c>
      <c r="Q535" s="277"/>
      <c r="R535" s="281">
        <f t="shared" si="653"/>
        <v>1500000000</v>
      </c>
      <c r="S535" s="277"/>
      <c r="T535" s="277"/>
      <c r="U535" s="277"/>
      <c r="V535" s="277"/>
      <c r="W535" s="277"/>
      <c r="X535" s="277"/>
      <c r="Y535" s="277"/>
      <c r="Z535" s="277"/>
      <c r="AA535" s="281">
        <f t="shared" si="712"/>
        <v>0</v>
      </c>
      <c r="AB535" s="403">
        <f t="shared" si="655"/>
        <v>1500000000</v>
      </c>
      <c r="AC535" s="326">
        <f t="shared" si="673"/>
        <v>1</v>
      </c>
    </row>
    <row r="536" spans="2:29" ht="14.25" x14ac:dyDescent="0.2">
      <c r="B536" s="318" t="s">
        <v>1506</v>
      </c>
      <c r="C536" s="319" t="s">
        <v>1507</v>
      </c>
      <c r="D536" s="279">
        <f>+D537</f>
        <v>0</v>
      </c>
      <c r="E536" s="322">
        <f>SUM('ADICIONES  2021'!C536:N536)</f>
        <v>1500000000</v>
      </c>
      <c r="F536" s="279">
        <f>+F537</f>
        <v>0</v>
      </c>
      <c r="G536" s="279">
        <f>+G537</f>
        <v>0</v>
      </c>
      <c r="H536" s="279">
        <f>+H537</f>
        <v>0</v>
      </c>
      <c r="I536" s="279">
        <f>+I537</f>
        <v>0</v>
      </c>
      <c r="J536" s="279">
        <f>+J537</f>
        <v>0</v>
      </c>
      <c r="K536" s="281">
        <f t="shared" si="650"/>
        <v>1500000000</v>
      </c>
      <c r="L536" s="279">
        <f t="shared" ref="L536:Q536" si="746">+L537</f>
        <v>0</v>
      </c>
      <c r="M536" s="279">
        <f t="shared" si="746"/>
        <v>0</v>
      </c>
      <c r="N536" s="279">
        <f t="shared" si="746"/>
        <v>0</v>
      </c>
      <c r="O536" s="279">
        <f t="shared" si="746"/>
        <v>0</v>
      </c>
      <c r="P536" s="279">
        <f t="shared" si="746"/>
        <v>1500000000</v>
      </c>
      <c r="Q536" s="279">
        <f t="shared" si="746"/>
        <v>0</v>
      </c>
      <c r="R536" s="281">
        <f t="shared" si="653"/>
        <v>1500000000</v>
      </c>
      <c r="S536" s="279">
        <f t="shared" ref="S536:Z536" si="747">+S537</f>
        <v>0</v>
      </c>
      <c r="T536" s="279">
        <f t="shared" si="747"/>
        <v>0</v>
      </c>
      <c r="U536" s="279">
        <f t="shared" si="747"/>
        <v>0</v>
      </c>
      <c r="V536" s="279">
        <f t="shared" si="747"/>
        <v>0</v>
      </c>
      <c r="W536" s="279">
        <f t="shared" si="747"/>
        <v>0</v>
      </c>
      <c r="X536" s="279">
        <f t="shared" si="747"/>
        <v>0</v>
      </c>
      <c r="Y536" s="279">
        <f t="shared" si="747"/>
        <v>0</v>
      </c>
      <c r="Z536" s="279">
        <f t="shared" si="747"/>
        <v>0</v>
      </c>
      <c r="AA536" s="281">
        <f t="shared" si="712"/>
        <v>0</v>
      </c>
      <c r="AB536" s="403">
        <f t="shared" si="655"/>
        <v>1500000000</v>
      </c>
      <c r="AC536" s="326">
        <f t="shared" si="673"/>
        <v>1</v>
      </c>
    </row>
    <row r="537" spans="2:29" ht="14.25" x14ac:dyDescent="0.2">
      <c r="B537" s="323" t="s">
        <v>1508</v>
      </c>
      <c r="C537" s="206" t="s">
        <v>1507</v>
      </c>
      <c r="D537" s="277"/>
      <c r="E537" s="325">
        <f>SUM('ADICIONES  2021'!C537:N537)</f>
        <v>1500000000</v>
      </c>
      <c r="F537" s="277"/>
      <c r="G537" s="277"/>
      <c r="H537" s="277"/>
      <c r="I537" s="277"/>
      <c r="J537" s="277"/>
      <c r="K537" s="281">
        <f t="shared" si="650"/>
        <v>1500000000</v>
      </c>
      <c r="L537" s="277"/>
      <c r="M537" s="277"/>
      <c r="N537" s="277"/>
      <c r="O537" s="277"/>
      <c r="P537" s="277">
        <v>1500000000</v>
      </c>
      <c r="Q537" s="277"/>
      <c r="R537" s="281">
        <f t="shared" si="653"/>
        <v>1500000000</v>
      </c>
      <c r="S537" s="277"/>
      <c r="T537" s="277"/>
      <c r="U537" s="277"/>
      <c r="V537" s="277"/>
      <c r="W537" s="277"/>
      <c r="X537" s="277"/>
      <c r="Y537" s="277"/>
      <c r="Z537" s="277"/>
      <c r="AA537" s="281">
        <f t="shared" si="712"/>
        <v>0</v>
      </c>
      <c r="AB537" s="403">
        <f t="shared" si="655"/>
        <v>1500000000</v>
      </c>
      <c r="AC537" s="326">
        <f t="shared" si="673"/>
        <v>1</v>
      </c>
    </row>
    <row r="538" spans="2:29" ht="14.25" x14ac:dyDescent="0.2">
      <c r="B538" s="318" t="s">
        <v>1509</v>
      </c>
      <c r="C538" s="319" t="s">
        <v>1510</v>
      </c>
      <c r="D538" s="279">
        <f>+D539</f>
        <v>0</v>
      </c>
      <c r="E538" s="322">
        <f>SUM('ADICIONES  2021'!C538:N538)</f>
        <v>1514607600.95</v>
      </c>
      <c r="F538" s="279">
        <f>+F539</f>
        <v>0</v>
      </c>
      <c r="G538" s="279">
        <f>+G539</f>
        <v>0</v>
      </c>
      <c r="H538" s="279">
        <f>+H539</f>
        <v>0</v>
      </c>
      <c r="I538" s="279">
        <f>+I539</f>
        <v>0</v>
      </c>
      <c r="J538" s="279">
        <f>+J539</f>
        <v>0</v>
      </c>
      <c r="K538" s="281">
        <f t="shared" si="650"/>
        <v>1514607600.95</v>
      </c>
      <c r="L538" s="279">
        <f t="shared" ref="L538:Q538" si="748">+L539</f>
        <v>0</v>
      </c>
      <c r="M538" s="279">
        <f t="shared" si="748"/>
        <v>0</v>
      </c>
      <c r="N538" s="279">
        <f t="shared" si="748"/>
        <v>0</v>
      </c>
      <c r="O538" s="279">
        <f t="shared" si="748"/>
        <v>0</v>
      </c>
      <c r="P538" s="279">
        <f t="shared" si="748"/>
        <v>1514607600.95</v>
      </c>
      <c r="Q538" s="279">
        <f t="shared" si="748"/>
        <v>0</v>
      </c>
      <c r="R538" s="281">
        <f t="shared" si="653"/>
        <v>1514607600.95</v>
      </c>
      <c r="S538" s="279">
        <f t="shared" ref="S538:Z538" si="749">+S539</f>
        <v>0</v>
      </c>
      <c r="T538" s="279">
        <f t="shared" si="749"/>
        <v>0</v>
      </c>
      <c r="U538" s="279">
        <f t="shared" si="749"/>
        <v>0</v>
      </c>
      <c r="V538" s="279">
        <f t="shared" si="749"/>
        <v>0</v>
      </c>
      <c r="W538" s="279">
        <f t="shared" si="749"/>
        <v>0</v>
      </c>
      <c r="X538" s="279">
        <f t="shared" si="749"/>
        <v>0</v>
      </c>
      <c r="Y538" s="279">
        <f t="shared" si="749"/>
        <v>0</v>
      </c>
      <c r="Z538" s="279">
        <f t="shared" si="749"/>
        <v>0</v>
      </c>
      <c r="AA538" s="281">
        <f t="shared" si="712"/>
        <v>0</v>
      </c>
      <c r="AB538" s="403">
        <f t="shared" si="655"/>
        <v>1514607600.95</v>
      </c>
      <c r="AC538" s="326">
        <f t="shared" si="673"/>
        <v>1</v>
      </c>
    </row>
    <row r="539" spans="2:29" ht="14.25" x14ac:dyDescent="0.2">
      <c r="B539" s="323" t="s">
        <v>1511</v>
      </c>
      <c r="C539" s="206" t="s">
        <v>1510</v>
      </c>
      <c r="D539" s="277"/>
      <c r="E539" s="325">
        <f>SUM('ADICIONES  2021'!C539:N539)</f>
        <v>1514607600.95</v>
      </c>
      <c r="F539" s="277"/>
      <c r="G539" s="277"/>
      <c r="H539" s="277"/>
      <c r="I539" s="277"/>
      <c r="J539" s="277"/>
      <c r="K539" s="281">
        <f t="shared" si="650"/>
        <v>1514607600.95</v>
      </c>
      <c r="L539" s="277"/>
      <c r="M539" s="277"/>
      <c r="N539" s="277"/>
      <c r="O539" s="277"/>
      <c r="P539" s="277">
        <v>1514607600.95</v>
      </c>
      <c r="Q539" s="277"/>
      <c r="R539" s="281">
        <f t="shared" si="653"/>
        <v>1514607600.95</v>
      </c>
      <c r="S539" s="277"/>
      <c r="T539" s="277"/>
      <c r="U539" s="277"/>
      <c r="V539" s="277"/>
      <c r="W539" s="277"/>
      <c r="X539" s="277"/>
      <c r="Y539" s="277"/>
      <c r="Z539" s="277"/>
      <c r="AA539" s="281">
        <f t="shared" si="712"/>
        <v>0</v>
      </c>
      <c r="AB539" s="403">
        <f t="shared" si="655"/>
        <v>1514607600.95</v>
      </c>
      <c r="AC539" s="326">
        <f t="shared" si="673"/>
        <v>1</v>
      </c>
    </row>
    <row r="540" spans="2:29" ht="14.25" x14ac:dyDescent="0.2">
      <c r="B540" s="318" t="s">
        <v>1512</v>
      </c>
      <c r="C540" s="319" t="s">
        <v>1513</v>
      </c>
      <c r="D540" s="279">
        <f>+D541</f>
        <v>0</v>
      </c>
      <c r="E540" s="322">
        <f>SUM('ADICIONES  2021'!C540:N540)</f>
        <v>3000000000</v>
      </c>
      <c r="F540" s="279">
        <f>+F541</f>
        <v>0</v>
      </c>
      <c r="G540" s="279">
        <f>+G541</f>
        <v>0</v>
      </c>
      <c r="H540" s="279">
        <f>+H541</f>
        <v>0</v>
      </c>
      <c r="I540" s="279">
        <f>+I541</f>
        <v>0</v>
      </c>
      <c r="J540" s="279">
        <f>+J541</f>
        <v>0</v>
      </c>
      <c r="K540" s="281">
        <f t="shared" si="650"/>
        <v>3000000000</v>
      </c>
      <c r="L540" s="279">
        <f t="shared" ref="L540:Q540" si="750">+L541</f>
        <v>0</v>
      </c>
      <c r="M540" s="279">
        <f t="shared" si="750"/>
        <v>0</v>
      </c>
      <c r="N540" s="279">
        <f t="shared" si="750"/>
        <v>0</v>
      </c>
      <c r="O540" s="279">
        <f t="shared" si="750"/>
        <v>0</v>
      </c>
      <c r="P540" s="279">
        <f t="shared" si="750"/>
        <v>3000000000</v>
      </c>
      <c r="Q540" s="279">
        <f t="shared" si="750"/>
        <v>0</v>
      </c>
      <c r="R540" s="281">
        <f t="shared" si="653"/>
        <v>3000000000</v>
      </c>
      <c r="S540" s="279">
        <f t="shared" ref="S540:Z540" si="751">+S541</f>
        <v>0</v>
      </c>
      <c r="T540" s="279">
        <f t="shared" si="751"/>
        <v>0</v>
      </c>
      <c r="U540" s="279">
        <f t="shared" si="751"/>
        <v>0</v>
      </c>
      <c r="V540" s="279">
        <f t="shared" si="751"/>
        <v>0</v>
      </c>
      <c r="W540" s="279">
        <f t="shared" si="751"/>
        <v>0</v>
      </c>
      <c r="X540" s="279">
        <f t="shared" si="751"/>
        <v>0</v>
      </c>
      <c r="Y540" s="279">
        <f t="shared" si="751"/>
        <v>0</v>
      </c>
      <c r="Z540" s="279">
        <f t="shared" si="751"/>
        <v>0</v>
      </c>
      <c r="AA540" s="281">
        <f t="shared" si="712"/>
        <v>0</v>
      </c>
      <c r="AB540" s="403">
        <f t="shared" si="655"/>
        <v>3000000000</v>
      </c>
      <c r="AC540" s="326">
        <f t="shared" si="673"/>
        <v>1</v>
      </c>
    </row>
    <row r="541" spans="2:29" ht="14.25" x14ac:dyDescent="0.2">
      <c r="B541" s="323" t="s">
        <v>1514</v>
      </c>
      <c r="C541" s="206" t="s">
        <v>1513</v>
      </c>
      <c r="D541" s="277"/>
      <c r="E541" s="325">
        <f>SUM('ADICIONES  2021'!C541:N541)</f>
        <v>3000000000</v>
      </c>
      <c r="F541" s="277"/>
      <c r="G541" s="277"/>
      <c r="H541" s="277"/>
      <c r="I541" s="277"/>
      <c r="J541" s="277"/>
      <c r="K541" s="281">
        <f t="shared" si="650"/>
        <v>3000000000</v>
      </c>
      <c r="L541" s="277"/>
      <c r="M541" s="277"/>
      <c r="N541" s="277"/>
      <c r="O541" s="277"/>
      <c r="P541" s="277">
        <v>3000000000</v>
      </c>
      <c r="Q541" s="277"/>
      <c r="R541" s="281">
        <f t="shared" si="653"/>
        <v>3000000000</v>
      </c>
      <c r="S541" s="277"/>
      <c r="T541" s="277"/>
      <c r="U541" s="277"/>
      <c r="V541" s="277"/>
      <c r="W541" s="277"/>
      <c r="X541" s="277"/>
      <c r="Y541" s="277"/>
      <c r="Z541" s="277"/>
      <c r="AA541" s="281">
        <f t="shared" si="712"/>
        <v>0</v>
      </c>
      <c r="AB541" s="403">
        <f t="shared" si="655"/>
        <v>3000000000</v>
      </c>
      <c r="AC541" s="326">
        <f t="shared" si="673"/>
        <v>1</v>
      </c>
    </row>
    <row r="542" spans="2:29" ht="14.25" x14ac:dyDescent="0.2">
      <c r="B542" s="318" t="s">
        <v>1515</v>
      </c>
      <c r="C542" s="319" t="s">
        <v>1516</v>
      </c>
      <c r="D542" s="279">
        <f>+D543</f>
        <v>0</v>
      </c>
      <c r="E542" s="322">
        <f>SUM('ADICIONES  2021'!C542:N542)</f>
        <v>287868062</v>
      </c>
      <c r="F542" s="279">
        <f>+F543</f>
        <v>0</v>
      </c>
      <c r="G542" s="279">
        <f>+G543</f>
        <v>0</v>
      </c>
      <c r="H542" s="279">
        <f>+H543</f>
        <v>0</v>
      </c>
      <c r="I542" s="279">
        <f>+I543</f>
        <v>0</v>
      </c>
      <c r="J542" s="279">
        <f>+J543</f>
        <v>0</v>
      </c>
      <c r="K542" s="281">
        <f t="shared" si="650"/>
        <v>287868062</v>
      </c>
      <c r="L542" s="279">
        <f t="shared" ref="L542:Q542" si="752">+L543</f>
        <v>0</v>
      </c>
      <c r="M542" s="279">
        <f t="shared" si="752"/>
        <v>0</v>
      </c>
      <c r="N542" s="279">
        <f t="shared" si="752"/>
        <v>0</v>
      </c>
      <c r="O542" s="279">
        <f t="shared" si="752"/>
        <v>0</v>
      </c>
      <c r="P542" s="279">
        <f t="shared" si="752"/>
        <v>287868062</v>
      </c>
      <c r="Q542" s="279">
        <f t="shared" si="752"/>
        <v>0</v>
      </c>
      <c r="R542" s="281">
        <f t="shared" si="653"/>
        <v>287868062</v>
      </c>
      <c r="S542" s="279">
        <f t="shared" ref="S542:Z542" si="753">+S543</f>
        <v>0</v>
      </c>
      <c r="T542" s="279">
        <f t="shared" si="753"/>
        <v>0</v>
      </c>
      <c r="U542" s="279">
        <f t="shared" si="753"/>
        <v>0</v>
      </c>
      <c r="V542" s="279">
        <f t="shared" si="753"/>
        <v>0</v>
      </c>
      <c r="W542" s="279">
        <f t="shared" si="753"/>
        <v>0</v>
      </c>
      <c r="X542" s="279">
        <f t="shared" si="753"/>
        <v>0</v>
      </c>
      <c r="Y542" s="279">
        <f t="shared" si="753"/>
        <v>0</v>
      </c>
      <c r="Z542" s="279">
        <f t="shared" si="753"/>
        <v>0</v>
      </c>
      <c r="AA542" s="281">
        <f t="shared" si="712"/>
        <v>0</v>
      </c>
      <c r="AB542" s="403">
        <f t="shared" si="655"/>
        <v>287868062</v>
      </c>
      <c r="AC542" s="326">
        <f t="shared" si="673"/>
        <v>1</v>
      </c>
    </row>
    <row r="543" spans="2:29" ht="14.25" x14ac:dyDescent="0.2">
      <c r="B543" s="323" t="s">
        <v>1517</v>
      </c>
      <c r="C543" s="206" t="s">
        <v>1516</v>
      </c>
      <c r="D543" s="277"/>
      <c r="E543" s="325">
        <f>SUM('ADICIONES  2021'!C543:N543)</f>
        <v>287868062</v>
      </c>
      <c r="F543" s="277"/>
      <c r="G543" s="277"/>
      <c r="H543" s="277"/>
      <c r="I543" s="277"/>
      <c r="J543" s="277"/>
      <c r="K543" s="281">
        <f t="shared" si="650"/>
        <v>287868062</v>
      </c>
      <c r="L543" s="277"/>
      <c r="M543" s="277"/>
      <c r="N543" s="277"/>
      <c r="O543" s="277"/>
      <c r="P543" s="277">
        <v>287868062</v>
      </c>
      <c r="Q543" s="277"/>
      <c r="R543" s="281">
        <f t="shared" si="653"/>
        <v>287868062</v>
      </c>
      <c r="S543" s="277"/>
      <c r="T543" s="277"/>
      <c r="U543" s="277"/>
      <c r="V543" s="277"/>
      <c r="W543" s="277"/>
      <c r="X543" s="277"/>
      <c r="Y543" s="277"/>
      <c r="Z543" s="277"/>
      <c r="AA543" s="281">
        <f t="shared" si="712"/>
        <v>0</v>
      </c>
      <c r="AB543" s="403">
        <f t="shared" si="655"/>
        <v>287868062</v>
      </c>
      <c r="AC543" s="326">
        <f t="shared" si="673"/>
        <v>1</v>
      </c>
    </row>
    <row r="544" spans="2:29" ht="14.25" x14ac:dyDescent="0.2">
      <c r="B544" s="318" t="s">
        <v>1518</v>
      </c>
      <c r="C544" s="319" t="s">
        <v>1519</v>
      </c>
      <c r="D544" s="279">
        <f>+D545</f>
        <v>0</v>
      </c>
      <c r="E544" s="322">
        <f>SUM('ADICIONES  2021'!C544:N544)</f>
        <v>320982097</v>
      </c>
      <c r="F544" s="279">
        <f>+F545</f>
        <v>0</v>
      </c>
      <c r="G544" s="279">
        <f>+G545</f>
        <v>0</v>
      </c>
      <c r="H544" s="279">
        <f>+H545</f>
        <v>0</v>
      </c>
      <c r="I544" s="279">
        <f>+I545</f>
        <v>0</v>
      </c>
      <c r="J544" s="279">
        <f>+J545</f>
        <v>0</v>
      </c>
      <c r="K544" s="281">
        <f t="shared" si="650"/>
        <v>320982097</v>
      </c>
      <c r="L544" s="279">
        <f t="shared" ref="L544:Q544" si="754">+L545</f>
        <v>0</v>
      </c>
      <c r="M544" s="279">
        <f t="shared" si="754"/>
        <v>0</v>
      </c>
      <c r="N544" s="279">
        <f t="shared" si="754"/>
        <v>0</v>
      </c>
      <c r="O544" s="279">
        <f t="shared" si="754"/>
        <v>0</v>
      </c>
      <c r="P544" s="279">
        <f t="shared" si="754"/>
        <v>320982097</v>
      </c>
      <c r="Q544" s="279">
        <f t="shared" si="754"/>
        <v>0</v>
      </c>
      <c r="R544" s="281">
        <f t="shared" si="653"/>
        <v>320982097</v>
      </c>
      <c r="S544" s="279">
        <f t="shared" ref="S544:Z544" si="755">+S545</f>
        <v>0</v>
      </c>
      <c r="T544" s="279">
        <f t="shared" si="755"/>
        <v>0</v>
      </c>
      <c r="U544" s="279">
        <f t="shared" si="755"/>
        <v>0</v>
      </c>
      <c r="V544" s="279">
        <f t="shared" si="755"/>
        <v>0</v>
      </c>
      <c r="W544" s="279">
        <f t="shared" si="755"/>
        <v>0</v>
      </c>
      <c r="X544" s="279">
        <f t="shared" si="755"/>
        <v>0</v>
      </c>
      <c r="Y544" s="279">
        <f t="shared" si="755"/>
        <v>0</v>
      </c>
      <c r="Z544" s="279">
        <f t="shared" si="755"/>
        <v>0</v>
      </c>
      <c r="AA544" s="281">
        <f t="shared" si="712"/>
        <v>0</v>
      </c>
      <c r="AB544" s="403">
        <f t="shared" si="655"/>
        <v>320982097</v>
      </c>
      <c r="AC544" s="326">
        <f t="shared" si="673"/>
        <v>1</v>
      </c>
    </row>
    <row r="545" spans="1:29" ht="14.25" x14ac:dyDescent="0.2">
      <c r="B545" s="323" t="s">
        <v>1520</v>
      </c>
      <c r="C545" s="206" t="s">
        <v>1519</v>
      </c>
      <c r="D545" s="277"/>
      <c r="E545" s="325">
        <f>SUM('ADICIONES  2021'!C545:N545)</f>
        <v>320982097</v>
      </c>
      <c r="F545" s="277"/>
      <c r="G545" s="277"/>
      <c r="H545" s="277"/>
      <c r="I545" s="277"/>
      <c r="J545" s="277"/>
      <c r="K545" s="281">
        <f t="shared" si="650"/>
        <v>320982097</v>
      </c>
      <c r="L545" s="277"/>
      <c r="M545" s="277"/>
      <c r="N545" s="277"/>
      <c r="O545" s="277"/>
      <c r="P545" s="277">
        <v>320982097</v>
      </c>
      <c r="Q545" s="277"/>
      <c r="R545" s="281">
        <f t="shared" si="653"/>
        <v>320982097</v>
      </c>
      <c r="S545" s="277"/>
      <c r="T545" s="277"/>
      <c r="U545" s="277"/>
      <c r="V545" s="277"/>
      <c r="W545" s="277"/>
      <c r="X545" s="277"/>
      <c r="Y545" s="277"/>
      <c r="Z545" s="277"/>
      <c r="AA545" s="281">
        <f t="shared" si="712"/>
        <v>0</v>
      </c>
      <c r="AB545" s="403">
        <f t="shared" si="655"/>
        <v>320982097</v>
      </c>
      <c r="AC545" s="326">
        <f t="shared" si="673"/>
        <v>1</v>
      </c>
    </row>
    <row r="546" spans="1:29" s="61" customFormat="1" ht="38.25" x14ac:dyDescent="0.2">
      <c r="A546" s="421"/>
      <c r="B546" s="318" t="s">
        <v>1521</v>
      </c>
      <c r="C546" s="319" t="s">
        <v>1522</v>
      </c>
      <c r="D546" s="279">
        <f>SUM(D547:D548)</f>
        <v>0</v>
      </c>
      <c r="E546" s="322">
        <f>SUM('ADICIONES  2021'!C546:N546)</f>
        <v>746896120.75</v>
      </c>
      <c r="F546" s="279">
        <f t="shared" ref="F546:J546" si="756">SUM(F547:F548)</f>
        <v>0</v>
      </c>
      <c r="G546" s="279">
        <f t="shared" si="756"/>
        <v>0</v>
      </c>
      <c r="H546" s="279">
        <f t="shared" si="756"/>
        <v>0</v>
      </c>
      <c r="I546" s="279">
        <f t="shared" si="756"/>
        <v>0</v>
      </c>
      <c r="J546" s="279">
        <f t="shared" si="756"/>
        <v>0</v>
      </c>
      <c r="K546" s="276">
        <f t="shared" si="650"/>
        <v>746896120.75</v>
      </c>
      <c r="L546" s="279">
        <f t="shared" ref="L546:Q546" si="757">SUM(L547:L548)</f>
        <v>0</v>
      </c>
      <c r="M546" s="279">
        <f t="shared" si="757"/>
        <v>0</v>
      </c>
      <c r="N546" s="279">
        <f t="shared" si="757"/>
        <v>0</v>
      </c>
      <c r="O546" s="279">
        <f t="shared" si="757"/>
        <v>0</v>
      </c>
      <c r="P546" s="279">
        <f t="shared" si="757"/>
        <v>746887763.63</v>
      </c>
      <c r="Q546" s="279">
        <f t="shared" si="757"/>
        <v>0</v>
      </c>
      <c r="R546" s="276">
        <f t="shared" si="653"/>
        <v>746887763.63</v>
      </c>
      <c r="S546" s="279">
        <f t="shared" ref="S546:Z546" si="758">SUM(S547:S548)</f>
        <v>0</v>
      </c>
      <c r="T546" s="279">
        <f t="shared" si="758"/>
        <v>0</v>
      </c>
      <c r="U546" s="279">
        <f t="shared" si="758"/>
        <v>0</v>
      </c>
      <c r="V546" s="279">
        <f t="shared" si="758"/>
        <v>0</v>
      </c>
      <c r="W546" s="279">
        <f t="shared" si="758"/>
        <v>8357.1200000000008</v>
      </c>
      <c r="X546" s="279">
        <f t="shared" si="758"/>
        <v>0</v>
      </c>
      <c r="Y546" s="279">
        <f t="shared" si="758"/>
        <v>0</v>
      </c>
      <c r="Z546" s="279">
        <f t="shared" si="758"/>
        <v>0</v>
      </c>
      <c r="AA546" s="276">
        <f t="shared" si="712"/>
        <v>8357.1200000000008</v>
      </c>
      <c r="AB546" s="402">
        <f t="shared" si="655"/>
        <v>746896120.75</v>
      </c>
      <c r="AC546" s="321">
        <f t="shared" si="673"/>
        <v>1</v>
      </c>
    </row>
    <row r="547" spans="1:29" ht="38.25" x14ac:dyDescent="0.2">
      <c r="B547" s="323" t="s">
        <v>1523</v>
      </c>
      <c r="C547" s="206" t="s">
        <v>1522</v>
      </c>
      <c r="D547" s="277"/>
      <c r="E547" s="325">
        <f>SUM('ADICIONES  2021'!C547:N547)</f>
        <v>746887763.63</v>
      </c>
      <c r="F547" s="277"/>
      <c r="G547" s="277"/>
      <c r="H547" s="277"/>
      <c r="I547" s="277"/>
      <c r="J547" s="277"/>
      <c r="K547" s="281">
        <f t="shared" si="650"/>
        <v>746887763.63</v>
      </c>
      <c r="L547" s="277"/>
      <c r="M547" s="277"/>
      <c r="N547" s="277"/>
      <c r="O547" s="277"/>
      <c r="P547" s="277">
        <v>746887763.63</v>
      </c>
      <c r="Q547" s="277"/>
      <c r="R547" s="281">
        <f t="shared" si="653"/>
        <v>746887763.63</v>
      </c>
      <c r="S547" s="277"/>
      <c r="T547" s="277"/>
      <c r="U547" s="277"/>
      <c r="V547" s="277"/>
      <c r="W547" s="277"/>
      <c r="X547" s="277"/>
      <c r="Y547" s="277"/>
      <c r="Z547" s="277"/>
      <c r="AA547" s="281">
        <f t="shared" si="712"/>
        <v>0</v>
      </c>
      <c r="AB547" s="403">
        <f t="shared" si="655"/>
        <v>746887763.63</v>
      </c>
      <c r="AC547" s="326">
        <f t="shared" si="673"/>
        <v>1</v>
      </c>
    </row>
    <row r="548" spans="1:29" ht="38.25" x14ac:dyDescent="0.2">
      <c r="B548" s="323" t="s">
        <v>1523</v>
      </c>
      <c r="C548" s="206" t="s">
        <v>1522</v>
      </c>
      <c r="D548" s="277"/>
      <c r="E548" s="325">
        <f>SUM('ADICIONES  2021'!C548:N548)</f>
        <v>8357.1200000000008</v>
      </c>
      <c r="F548" s="277"/>
      <c r="G548" s="277"/>
      <c r="H548" s="277"/>
      <c r="I548" s="277"/>
      <c r="J548" s="277"/>
      <c r="K548" s="281">
        <f t="shared" si="650"/>
        <v>8357.1200000000008</v>
      </c>
      <c r="L548" s="277"/>
      <c r="M548" s="277"/>
      <c r="N548" s="277"/>
      <c r="O548" s="277"/>
      <c r="P548" s="277"/>
      <c r="Q548" s="277"/>
      <c r="R548" s="281">
        <f t="shared" ref="R548" si="759">SUM(L548:Q548)</f>
        <v>0</v>
      </c>
      <c r="S548" s="277"/>
      <c r="T548" s="277"/>
      <c r="U548" s="277"/>
      <c r="V548" s="277"/>
      <c r="W548" s="277">
        <v>8357.1200000000008</v>
      </c>
      <c r="X548" s="277"/>
      <c r="Y548" s="277"/>
      <c r="Z548" s="277"/>
      <c r="AA548" s="281">
        <f t="shared" ref="AA548" si="760">SUM(S548:Z548)</f>
        <v>8357.1200000000008</v>
      </c>
      <c r="AB548" s="403">
        <f t="shared" si="655"/>
        <v>8357.1200000000008</v>
      </c>
      <c r="AC548" s="326">
        <f t="shared" si="673"/>
        <v>1</v>
      </c>
    </row>
    <row r="549" spans="1:29" ht="14.25" x14ac:dyDescent="0.2">
      <c r="B549" s="318" t="s">
        <v>1524</v>
      </c>
      <c r="C549" s="319" t="s">
        <v>1525</v>
      </c>
      <c r="D549" s="279">
        <f>+D550</f>
        <v>0</v>
      </c>
      <c r="E549" s="322">
        <f>SUM('ADICIONES  2021'!C549:N549)</f>
        <v>493740289</v>
      </c>
      <c r="F549" s="279">
        <f>+F550</f>
        <v>0</v>
      </c>
      <c r="G549" s="279">
        <f>+G550</f>
        <v>0</v>
      </c>
      <c r="H549" s="279">
        <f>+H550</f>
        <v>0</v>
      </c>
      <c r="I549" s="279">
        <f>+I550</f>
        <v>0</v>
      </c>
      <c r="J549" s="279">
        <f>+J550</f>
        <v>0</v>
      </c>
      <c r="K549" s="281">
        <f t="shared" si="650"/>
        <v>493740289</v>
      </c>
      <c r="L549" s="279">
        <f t="shared" ref="L549:Q549" si="761">+L550</f>
        <v>0</v>
      </c>
      <c r="M549" s="279">
        <f t="shared" si="761"/>
        <v>0</v>
      </c>
      <c r="N549" s="279">
        <f t="shared" si="761"/>
        <v>0</v>
      </c>
      <c r="O549" s="279">
        <f t="shared" si="761"/>
        <v>0</v>
      </c>
      <c r="P549" s="279">
        <f t="shared" si="761"/>
        <v>493740289</v>
      </c>
      <c r="Q549" s="279">
        <f t="shared" si="761"/>
        <v>0</v>
      </c>
      <c r="R549" s="281">
        <f t="shared" si="653"/>
        <v>493740289</v>
      </c>
      <c r="S549" s="279">
        <f t="shared" ref="S549:Z549" si="762">+S550</f>
        <v>0</v>
      </c>
      <c r="T549" s="279">
        <f t="shared" si="762"/>
        <v>0</v>
      </c>
      <c r="U549" s="279">
        <f t="shared" si="762"/>
        <v>0</v>
      </c>
      <c r="V549" s="279">
        <f t="shared" si="762"/>
        <v>0</v>
      </c>
      <c r="W549" s="279">
        <f t="shared" si="762"/>
        <v>0</v>
      </c>
      <c r="X549" s="279">
        <f t="shared" si="762"/>
        <v>0</v>
      </c>
      <c r="Y549" s="279">
        <f t="shared" si="762"/>
        <v>0</v>
      </c>
      <c r="Z549" s="279">
        <f t="shared" si="762"/>
        <v>0</v>
      </c>
      <c r="AA549" s="281">
        <f t="shared" si="712"/>
        <v>0</v>
      </c>
      <c r="AB549" s="403">
        <f t="shared" si="655"/>
        <v>493740289</v>
      </c>
      <c r="AC549" s="326">
        <f t="shared" si="673"/>
        <v>1</v>
      </c>
    </row>
    <row r="550" spans="1:29" ht="14.25" x14ac:dyDescent="0.2">
      <c r="B550" s="323" t="s">
        <v>1526</v>
      </c>
      <c r="C550" s="206" t="s">
        <v>1525</v>
      </c>
      <c r="D550" s="277"/>
      <c r="E550" s="325">
        <f>SUM('ADICIONES  2021'!C550:N550)</f>
        <v>493740289</v>
      </c>
      <c r="F550" s="277"/>
      <c r="G550" s="277"/>
      <c r="H550" s="277"/>
      <c r="I550" s="277"/>
      <c r="J550" s="277"/>
      <c r="K550" s="281">
        <f t="shared" si="650"/>
        <v>493740289</v>
      </c>
      <c r="L550" s="277"/>
      <c r="M550" s="277"/>
      <c r="N550" s="277"/>
      <c r="O550" s="277"/>
      <c r="P550" s="277">
        <v>493740289</v>
      </c>
      <c r="Q550" s="277"/>
      <c r="R550" s="281">
        <f t="shared" si="653"/>
        <v>493740289</v>
      </c>
      <c r="S550" s="277"/>
      <c r="T550" s="277"/>
      <c r="U550" s="277"/>
      <c r="V550" s="277"/>
      <c r="W550" s="277"/>
      <c r="X550" s="277"/>
      <c r="Y550" s="277"/>
      <c r="Z550" s="277"/>
      <c r="AA550" s="281">
        <f t="shared" si="712"/>
        <v>0</v>
      </c>
      <c r="AB550" s="403">
        <f t="shared" si="655"/>
        <v>493740289</v>
      </c>
      <c r="AC550" s="326">
        <f t="shared" si="673"/>
        <v>1</v>
      </c>
    </row>
    <row r="551" spans="1:29" ht="14.25" x14ac:dyDescent="0.2">
      <c r="B551" s="318" t="s">
        <v>1527</v>
      </c>
      <c r="C551" s="319" t="s">
        <v>1528</v>
      </c>
      <c r="D551" s="279">
        <f>+D552</f>
        <v>0</v>
      </c>
      <c r="E551" s="322">
        <f>SUM('ADICIONES  2021'!C551:N551)</f>
        <v>91334526.659999996</v>
      </c>
      <c r="F551" s="279">
        <f>+F552</f>
        <v>0</v>
      </c>
      <c r="G551" s="279">
        <f>+G552</f>
        <v>0</v>
      </c>
      <c r="H551" s="279">
        <f>+H552</f>
        <v>0</v>
      </c>
      <c r="I551" s="279">
        <f>+I552</f>
        <v>0</v>
      </c>
      <c r="J551" s="279">
        <f>+J552</f>
        <v>0</v>
      </c>
      <c r="K551" s="281">
        <f t="shared" si="650"/>
        <v>91334526.659999996</v>
      </c>
      <c r="L551" s="279">
        <f t="shared" ref="L551:Q551" si="763">+L552</f>
        <v>0</v>
      </c>
      <c r="M551" s="279">
        <f t="shared" si="763"/>
        <v>0</v>
      </c>
      <c r="N551" s="279">
        <f t="shared" si="763"/>
        <v>0</v>
      </c>
      <c r="O551" s="279">
        <f t="shared" si="763"/>
        <v>0</v>
      </c>
      <c r="P551" s="279">
        <f t="shared" si="763"/>
        <v>91334526.659999996</v>
      </c>
      <c r="Q551" s="279">
        <f t="shared" si="763"/>
        <v>0</v>
      </c>
      <c r="R551" s="281">
        <f t="shared" si="653"/>
        <v>91334526.659999996</v>
      </c>
      <c r="S551" s="279">
        <f t="shared" ref="S551:Z551" si="764">+S552</f>
        <v>0</v>
      </c>
      <c r="T551" s="279">
        <f t="shared" si="764"/>
        <v>0</v>
      </c>
      <c r="U551" s="279">
        <f t="shared" si="764"/>
        <v>0</v>
      </c>
      <c r="V551" s="279">
        <f t="shared" si="764"/>
        <v>0</v>
      </c>
      <c r="W551" s="279">
        <f t="shared" si="764"/>
        <v>0</v>
      </c>
      <c r="X551" s="279">
        <f t="shared" si="764"/>
        <v>0</v>
      </c>
      <c r="Y551" s="279">
        <f t="shared" si="764"/>
        <v>0</v>
      </c>
      <c r="Z551" s="279">
        <f t="shared" si="764"/>
        <v>0</v>
      </c>
      <c r="AA551" s="281">
        <f t="shared" si="712"/>
        <v>0</v>
      </c>
      <c r="AB551" s="403">
        <f t="shared" si="655"/>
        <v>91334526.659999996</v>
      </c>
      <c r="AC551" s="326">
        <f t="shared" si="673"/>
        <v>1</v>
      </c>
    </row>
    <row r="552" spans="1:29" ht="14.25" x14ac:dyDescent="0.2">
      <c r="B552" s="323" t="s">
        <v>1529</v>
      </c>
      <c r="C552" s="206" t="s">
        <v>1528</v>
      </c>
      <c r="D552" s="277"/>
      <c r="E552" s="325">
        <f>SUM('ADICIONES  2021'!C552:N552)</f>
        <v>91334526.659999996</v>
      </c>
      <c r="F552" s="277"/>
      <c r="G552" s="277"/>
      <c r="H552" s="277"/>
      <c r="I552" s="277"/>
      <c r="J552" s="277"/>
      <c r="K552" s="281">
        <f t="shared" si="650"/>
        <v>91334526.659999996</v>
      </c>
      <c r="L552" s="277"/>
      <c r="M552" s="277"/>
      <c r="N552" s="277"/>
      <c r="O552" s="277"/>
      <c r="P552" s="277">
        <v>91334526.659999996</v>
      </c>
      <c r="Q552" s="277"/>
      <c r="R552" s="281">
        <f t="shared" si="653"/>
        <v>91334526.659999996</v>
      </c>
      <c r="S552" s="277"/>
      <c r="T552" s="277"/>
      <c r="U552" s="277"/>
      <c r="V552" s="277"/>
      <c r="W552" s="277"/>
      <c r="X552" s="277"/>
      <c r="Y552" s="277"/>
      <c r="Z552" s="277"/>
      <c r="AA552" s="281">
        <f t="shared" si="712"/>
        <v>0</v>
      </c>
      <c r="AB552" s="403">
        <f t="shared" si="655"/>
        <v>91334526.659999996</v>
      </c>
      <c r="AC552" s="326">
        <f t="shared" si="673"/>
        <v>1</v>
      </c>
    </row>
    <row r="553" spans="1:29" ht="14.25" x14ac:dyDescent="0.2">
      <c r="B553" s="318" t="s">
        <v>1530</v>
      </c>
      <c r="C553" s="319" t="s">
        <v>1531</v>
      </c>
      <c r="D553" s="279">
        <f>+D554</f>
        <v>0</v>
      </c>
      <c r="E553" s="322">
        <f>SUM('ADICIONES  2021'!C553:N553)</f>
        <v>336647722.75999999</v>
      </c>
      <c r="F553" s="279">
        <f>+F554</f>
        <v>0</v>
      </c>
      <c r="G553" s="279">
        <f>+G554</f>
        <v>0</v>
      </c>
      <c r="H553" s="279">
        <f>+H554</f>
        <v>0</v>
      </c>
      <c r="I553" s="279">
        <f>+I554</f>
        <v>0</v>
      </c>
      <c r="J553" s="279">
        <f>+J554</f>
        <v>0</v>
      </c>
      <c r="K553" s="281">
        <f t="shared" si="650"/>
        <v>336647722.75999999</v>
      </c>
      <c r="L553" s="279">
        <f t="shared" ref="L553:Q553" si="765">+L554</f>
        <v>0</v>
      </c>
      <c r="M553" s="279">
        <f t="shared" si="765"/>
        <v>0</v>
      </c>
      <c r="N553" s="279">
        <f t="shared" si="765"/>
        <v>0</v>
      </c>
      <c r="O553" s="279">
        <f t="shared" si="765"/>
        <v>0</v>
      </c>
      <c r="P553" s="279">
        <f t="shared" si="765"/>
        <v>336647722.75999999</v>
      </c>
      <c r="Q553" s="279">
        <f t="shared" si="765"/>
        <v>0</v>
      </c>
      <c r="R553" s="281">
        <f t="shared" si="653"/>
        <v>336647722.75999999</v>
      </c>
      <c r="S553" s="279">
        <f t="shared" ref="S553:Z553" si="766">+S554</f>
        <v>0</v>
      </c>
      <c r="T553" s="279">
        <f t="shared" si="766"/>
        <v>0</v>
      </c>
      <c r="U553" s="279">
        <f t="shared" si="766"/>
        <v>0</v>
      </c>
      <c r="V553" s="279">
        <f t="shared" si="766"/>
        <v>0</v>
      </c>
      <c r="W553" s="279">
        <f t="shared" si="766"/>
        <v>0</v>
      </c>
      <c r="X553" s="279">
        <f t="shared" si="766"/>
        <v>0</v>
      </c>
      <c r="Y553" s="279">
        <f t="shared" si="766"/>
        <v>0</v>
      </c>
      <c r="Z553" s="279">
        <f t="shared" si="766"/>
        <v>0</v>
      </c>
      <c r="AA553" s="281">
        <f t="shared" si="712"/>
        <v>0</v>
      </c>
      <c r="AB553" s="403">
        <f t="shared" si="655"/>
        <v>336647722.75999999</v>
      </c>
      <c r="AC553" s="326">
        <f t="shared" si="673"/>
        <v>1</v>
      </c>
    </row>
    <row r="554" spans="1:29" ht="14.25" x14ac:dyDescent="0.2">
      <c r="B554" s="323" t="s">
        <v>1532</v>
      </c>
      <c r="C554" s="206" t="s">
        <v>1531</v>
      </c>
      <c r="D554" s="277"/>
      <c r="E554" s="325">
        <f>SUM('ADICIONES  2021'!C554:N554)</f>
        <v>336647722.75999999</v>
      </c>
      <c r="F554" s="277"/>
      <c r="G554" s="277"/>
      <c r="H554" s="277"/>
      <c r="I554" s="277"/>
      <c r="J554" s="277"/>
      <c r="K554" s="281">
        <f t="shared" si="650"/>
        <v>336647722.75999999</v>
      </c>
      <c r="L554" s="277"/>
      <c r="M554" s="277"/>
      <c r="N554" s="277"/>
      <c r="O554" s="277"/>
      <c r="P554" s="277">
        <v>336647722.75999999</v>
      </c>
      <c r="Q554" s="277"/>
      <c r="R554" s="281">
        <f t="shared" si="653"/>
        <v>336647722.75999999</v>
      </c>
      <c r="S554" s="277"/>
      <c r="T554" s="277"/>
      <c r="U554" s="277"/>
      <c r="V554" s="277"/>
      <c r="W554" s="277"/>
      <c r="X554" s="277"/>
      <c r="Y554" s="277"/>
      <c r="Z554" s="277"/>
      <c r="AA554" s="281">
        <f t="shared" si="712"/>
        <v>0</v>
      </c>
      <c r="AB554" s="403">
        <f t="shared" si="655"/>
        <v>336647722.75999999</v>
      </c>
      <c r="AC554" s="326">
        <f t="shared" si="673"/>
        <v>1</v>
      </c>
    </row>
    <row r="555" spans="1:29" ht="14.25" x14ac:dyDescent="0.2">
      <c r="B555" s="318" t="s">
        <v>1533</v>
      </c>
      <c r="C555" s="319" t="s">
        <v>1534</v>
      </c>
      <c r="D555" s="279">
        <f>+D556</f>
        <v>0</v>
      </c>
      <c r="E555" s="322">
        <f>SUM('ADICIONES  2021'!C555:N555)</f>
        <v>4277916497.3200002</v>
      </c>
      <c r="F555" s="279">
        <f>+F556</f>
        <v>0</v>
      </c>
      <c r="G555" s="279">
        <f>+G556</f>
        <v>0</v>
      </c>
      <c r="H555" s="279">
        <f>+H556</f>
        <v>0</v>
      </c>
      <c r="I555" s="279">
        <f>+I556</f>
        <v>0</v>
      </c>
      <c r="J555" s="279">
        <f>+J556</f>
        <v>0</v>
      </c>
      <c r="K555" s="281">
        <f t="shared" si="650"/>
        <v>4277916497.3200002</v>
      </c>
      <c r="L555" s="279">
        <f t="shared" ref="L555:Q555" si="767">+L556</f>
        <v>0</v>
      </c>
      <c r="M555" s="279">
        <f t="shared" si="767"/>
        <v>0</v>
      </c>
      <c r="N555" s="279">
        <f t="shared" si="767"/>
        <v>0</v>
      </c>
      <c r="O555" s="279">
        <f t="shared" si="767"/>
        <v>0</v>
      </c>
      <c r="P555" s="279">
        <f t="shared" si="767"/>
        <v>4277916497.3200002</v>
      </c>
      <c r="Q555" s="279">
        <f t="shared" si="767"/>
        <v>0</v>
      </c>
      <c r="R555" s="281">
        <f t="shared" si="653"/>
        <v>4277916497.3200002</v>
      </c>
      <c r="S555" s="279">
        <f t="shared" ref="S555:Z555" si="768">+S556</f>
        <v>0</v>
      </c>
      <c r="T555" s="279">
        <f t="shared" si="768"/>
        <v>0</v>
      </c>
      <c r="U555" s="279">
        <f t="shared" si="768"/>
        <v>0</v>
      </c>
      <c r="V555" s="279">
        <f t="shared" si="768"/>
        <v>0</v>
      </c>
      <c r="W555" s="279">
        <f t="shared" si="768"/>
        <v>0</v>
      </c>
      <c r="X555" s="279">
        <f t="shared" si="768"/>
        <v>0</v>
      </c>
      <c r="Y555" s="279">
        <f t="shared" si="768"/>
        <v>0</v>
      </c>
      <c r="Z555" s="279">
        <f t="shared" si="768"/>
        <v>0</v>
      </c>
      <c r="AA555" s="281">
        <f t="shared" si="712"/>
        <v>0</v>
      </c>
      <c r="AB555" s="403">
        <f t="shared" si="655"/>
        <v>4277916497.3200002</v>
      </c>
      <c r="AC555" s="326">
        <f t="shared" si="673"/>
        <v>1</v>
      </c>
    </row>
    <row r="556" spans="1:29" ht="14.25" x14ac:dyDescent="0.2">
      <c r="B556" s="323" t="s">
        <v>1535</v>
      </c>
      <c r="C556" s="206" t="s">
        <v>1534</v>
      </c>
      <c r="D556" s="277"/>
      <c r="E556" s="325">
        <f>SUM('ADICIONES  2021'!C556:N556)</f>
        <v>4277916497.3200002</v>
      </c>
      <c r="F556" s="277"/>
      <c r="G556" s="277"/>
      <c r="H556" s="277"/>
      <c r="I556" s="277"/>
      <c r="J556" s="277"/>
      <c r="K556" s="281">
        <f t="shared" si="650"/>
        <v>4277916497.3200002</v>
      </c>
      <c r="L556" s="277"/>
      <c r="M556" s="277"/>
      <c r="N556" s="277"/>
      <c r="O556" s="277"/>
      <c r="P556" s="277">
        <v>4277916497.3200002</v>
      </c>
      <c r="Q556" s="277"/>
      <c r="R556" s="281">
        <f t="shared" si="653"/>
        <v>4277916497.3200002</v>
      </c>
      <c r="S556" s="277"/>
      <c r="T556" s="277"/>
      <c r="U556" s="277"/>
      <c r="V556" s="277"/>
      <c r="W556" s="277"/>
      <c r="X556" s="277"/>
      <c r="Y556" s="277"/>
      <c r="Z556" s="277"/>
      <c r="AA556" s="281">
        <f t="shared" si="712"/>
        <v>0</v>
      </c>
      <c r="AB556" s="403">
        <f t="shared" si="655"/>
        <v>4277916497.3200002</v>
      </c>
      <c r="AC556" s="326">
        <f t="shared" si="673"/>
        <v>1</v>
      </c>
    </row>
    <row r="557" spans="1:29" ht="14.25" x14ac:dyDescent="0.2">
      <c r="B557" s="318" t="s">
        <v>1536</v>
      </c>
      <c r="C557" s="319" t="s">
        <v>1537</v>
      </c>
      <c r="D557" s="279">
        <f>+D558</f>
        <v>0</v>
      </c>
      <c r="E557" s="322">
        <f>SUM('ADICIONES  2021'!C557:N557)</f>
        <v>14058954.529999999</v>
      </c>
      <c r="F557" s="279">
        <f>+F558</f>
        <v>0</v>
      </c>
      <c r="G557" s="279">
        <f>+G558</f>
        <v>0</v>
      </c>
      <c r="H557" s="279">
        <f>+H558</f>
        <v>0</v>
      </c>
      <c r="I557" s="279">
        <f>+I558</f>
        <v>0</v>
      </c>
      <c r="J557" s="279">
        <f>+J558</f>
        <v>0</v>
      </c>
      <c r="K557" s="281">
        <f t="shared" si="650"/>
        <v>14058954.529999999</v>
      </c>
      <c r="L557" s="279">
        <f t="shared" ref="L557:Q557" si="769">+L558</f>
        <v>0</v>
      </c>
      <c r="M557" s="279">
        <f t="shared" si="769"/>
        <v>0</v>
      </c>
      <c r="N557" s="279">
        <f t="shared" si="769"/>
        <v>0</v>
      </c>
      <c r="O557" s="279">
        <f t="shared" si="769"/>
        <v>0</v>
      </c>
      <c r="P557" s="279">
        <f t="shared" si="769"/>
        <v>14058954.529999999</v>
      </c>
      <c r="Q557" s="279">
        <f t="shared" si="769"/>
        <v>0</v>
      </c>
      <c r="R557" s="281">
        <f t="shared" si="653"/>
        <v>14058954.529999999</v>
      </c>
      <c r="S557" s="279">
        <f t="shared" ref="S557:Z557" si="770">+S558</f>
        <v>0</v>
      </c>
      <c r="T557" s="279">
        <f t="shared" si="770"/>
        <v>0</v>
      </c>
      <c r="U557" s="279">
        <f t="shared" si="770"/>
        <v>0</v>
      </c>
      <c r="V557" s="279">
        <f t="shared" si="770"/>
        <v>0</v>
      </c>
      <c r="W557" s="279">
        <f t="shared" si="770"/>
        <v>0</v>
      </c>
      <c r="X557" s="279">
        <f t="shared" si="770"/>
        <v>0</v>
      </c>
      <c r="Y557" s="279">
        <f t="shared" si="770"/>
        <v>0</v>
      </c>
      <c r="Z557" s="279">
        <f t="shared" si="770"/>
        <v>0</v>
      </c>
      <c r="AA557" s="281">
        <f t="shared" si="712"/>
        <v>0</v>
      </c>
      <c r="AB557" s="403">
        <f t="shared" si="655"/>
        <v>14058954.529999999</v>
      </c>
      <c r="AC557" s="326">
        <f t="shared" si="673"/>
        <v>1</v>
      </c>
    </row>
    <row r="558" spans="1:29" ht="14.25" x14ac:dyDescent="0.2">
      <c r="B558" s="323" t="s">
        <v>1538</v>
      </c>
      <c r="C558" s="206" t="s">
        <v>1537</v>
      </c>
      <c r="D558" s="277"/>
      <c r="E558" s="325">
        <f>SUM('ADICIONES  2021'!C558:N558)</f>
        <v>14058954.529999999</v>
      </c>
      <c r="F558" s="277"/>
      <c r="G558" s="277"/>
      <c r="H558" s="277"/>
      <c r="I558" s="277"/>
      <c r="J558" s="277"/>
      <c r="K558" s="281">
        <f t="shared" si="650"/>
        <v>14058954.529999999</v>
      </c>
      <c r="L558" s="277"/>
      <c r="M558" s="277"/>
      <c r="N558" s="277"/>
      <c r="O558" s="277"/>
      <c r="P558" s="277">
        <v>14058954.529999999</v>
      </c>
      <c r="Q558" s="277"/>
      <c r="R558" s="281">
        <f t="shared" si="653"/>
        <v>14058954.529999999</v>
      </c>
      <c r="S558" s="277"/>
      <c r="T558" s="277"/>
      <c r="U558" s="277"/>
      <c r="V558" s="277"/>
      <c r="W558" s="277"/>
      <c r="X558" s="277"/>
      <c r="Y558" s="277"/>
      <c r="Z558" s="277"/>
      <c r="AA558" s="281">
        <f t="shared" si="712"/>
        <v>0</v>
      </c>
      <c r="AB558" s="403">
        <f t="shared" si="655"/>
        <v>14058954.529999999</v>
      </c>
      <c r="AC558" s="326">
        <f t="shared" si="673"/>
        <v>1</v>
      </c>
    </row>
    <row r="559" spans="1:29" ht="14.25" x14ac:dyDescent="0.2">
      <c r="B559" s="318" t="s">
        <v>1539</v>
      </c>
      <c r="C559" s="319" t="s">
        <v>1540</v>
      </c>
      <c r="D559" s="279">
        <f>+D560</f>
        <v>0</v>
      </c>
      <c r="E559" s="322">
        <f>SUM('ADICIONES  2021'!C559:N559)</f>
        <v>234675</v>
      </c>
      <c r="F559" s="279">
        <f>+F560</f>
        <v>0</v>
      </c>
      <c r="G559" s="279">
        <f>+G560</f>
        <v>0</v>
      </c>
      <c r="H559" s="279">
        <f>+H560</f>
        <v>0</v>
      </c>
      <c r="I559" s="279">
        <f>+I560</f>
        <v>0</v>
      </c>
      <c r="J559" s="279">
        <f>+J560</f>
        <v>0</v>
      </c>
      <c r="K559" s="281">
        <f t="shared" si="650"/>
        <v>234675</v>
      </c>
      <c r="L559" s="279">
        <f t="shared" ref="L559:Q559" si="771">+L560</f>
        <v>0</v>
      </c>
      <c r="M559" s="279">
        <f t="shared" si="771"/>
        <v>0</v>
      </c>
      <c r="N559" s="279">
        <f t="shared" si="771"/>
        <v>0</v>
      </c>
      <c r="O559" s="279">
        <f t="shared" si="771"/>
        <v>0</v>
      </c>
      <c r="P559" s="279">
        <f t="shared" si="771"/>
        <v>234675</v>
      </c>
      <c r="Q559" s="279">
        <f t="shared" si="771"/>
        <v>0</v>
      </c>
      <c r="R559" s="281">
        <f t="shared" si="653"/>
        <v>234675</v>
      </c>
      <c r="S559" s="279">
        <f t="shared" ref="S559:Z559" si="772">+S560</f>
        <v>0</v>
      </c>
      <c r="T559" s="279">
        <f t="shared" si="772"/>
        <v>0</v>
      </c>
      <c r="U559" s="279">
        <f t="shared" si="772"/>
        <v>0</v>
      </c>
      <c r="V559" s="279">
        <f t="shared" si="772"/>
        <v>0</v>
      </c>
      <c r="W559" s="279">
        <f t="shared" si="772"/>
        <v>0</v>
      </c>
      <c r="X559" s="279">
        <f t="shared" si="772"/>
        <v>0</v>
      </c>
      <c r="Y559" s="279">
        <f t="shared" si="772"/>
        <v>0</v>
      </c>
      <c r="Z559" s="279">
        <f t="shared" si="772"/>
        <v>0</v>
      </c>
      <c r="AA559" s="281">
        <f t="shared" si="712"/>
        <v>0</v>
      </c>
      <c r="AB559" s="403">
        <f t="shared" si="655"/>
        <v>234675</v>
      </c>
      <c r="AC559" s="326">
        <f t="shared" si="673"/>
        <v>1</v>
      </c>
    </row>
    <row r="560" spans="1:29" ht="14.25" x14ac:dyDescent="0.2">
      <c r="B560" s="323" t="s">
        <v>1541</v>
      </c>
      <c r="C560" s="206" t="s">
        <v>1540</v>
      </c>
      <c r="D560" s="277"/>
      <c r="E560" s="325">
        <f>SUM('ADICIONES  2021'!C560:N560)</f>
        <v>234675</v>
      </c>
      <c r="F560" s="277"/>
      <c r="G560" s="277"/>
      <c r="H560" s="277"/>
      <c r="I560" s="277"/>
      <c r="J560" s="277"/>
      <c r="K560" s="281">
        <f t="shared" si="650"/>
        <v>234675</v>
      </c>
      <c r="L560" s="277"/>
      <c r="M560" s="277"/>
      <c r="N560" s="277"/>
      <c r="O560" s="277"/>
      <c r="P560" s="277">
        <v>234675</v>
      </c>
      <c r="Q560" s="277"/>
      <c r="R560" s="281">
        <f t="shared" ref="R560:R604" si="773">SUM(L560:Q560)</f>
        <v>234675</v>
      </c>
      <c r="S560" s="277"/>
      <c r="T560" s="277"/>
      <c r="U560" s="277"/>
      <c r="V560" s="277"/>
      <c r="W560" s="277"/>
      <c r="X560" s="277"/>
      <c r="Y560" s="277"/>
      <c r="Z560" s="277"/>
      <c r="AA560" s="281">
        <f t="shared" si="712"/>
        <v>0</v>
      </c>
      <c r="AB560" s="403">
        <f t="shared" si="655"/>
        <v>234675</v>
      </c>
      <c r="AC560" s="326">
        <f t="shared" si="673"/>
        <v>1</v>
      </c>
    </row>
    <row r="561" spans="2:29" ht="14.25" x14ac:dyDescent="0.2">
      <c r="B561" s="318" t="s">
        <v>1542</v>
      </c>
      <c r="C561" s="319" t="s">
        <v>1543</v>
      </c>
      <c r="D561" s="279">
        <f>+D562</f>
        <v>0</v>
      </c>
      <c r="E561" s="322">
        <f>SUM('ADICIONES  2021'!C561:N561)</f>
        <v>6828499.0099999998</v>
      </c>
      <c r="F561" s="279">
        <f>+F562</f>
        <v>0</v>
      </c>
      <c r="G561" s="279">
        <f>+G562</f>
        <v>0</v>
      </c>
      <c r="H561" s="279">
        <f>+H562</f>
        <v>0</v>
      </c>
      <c r="I561" s="279">
        <f>+I562</f>
        <v>0</v>
      </c>
      <c r="J561" s="279">
        <f>+J562</f>
        <v>0</v>
      </c>
      <c r="K561" s="281">
        <f t="shared" si="650"/>
        <v>6828499.0099999998</v>
      </c>
      <c r="L561" s="279">
        <f t="shared" ref="L561:Q561" si="774">+L562</f>
        <v>0</v>
      </c>
      <c r="M561" s="279">
        <f t="shared" si="774"/>
        <v>0</v>
      </c>
      <c r="N561" s="279">
        <f t="shared" si="774"/>
        <v>0</v>
      </c>
      <c r="O561" s="279">
        <f t="shared" si="774"/>
        <v>0</v>
      </c>
      <c r="P561" s="279">
        <f t="shared" si="774"/>
        <v>6828499.0099999998</v>
      </c>
      <c r="Q561" s="279">
        <f t="shared" si="774"/>
        <v>0</v>
      </c>
      <c r="R561" s="281">
        <f t="shared" si="773"/>
        <v>6828499.0099999998</v>
      </c>
      <c r="S561" s="279">
        <f t="shared" ref="S561:Z561" si="775">+S562</f>
        <v>0</v>
      </c>
      <c r="T561" s="279">
        <f t="shared" si="775"/>
        <v>0</v>
      </c>
      <c r="U561" s="279">
        <f t="shared" si="775"/>
        <v>0</v>
      </c>
      <c r="V561" s="279">
        <f t="shared" si="775"/>
        <v>0</v>
      </c>
      <c r="W561" s="279">
        <f t="shared" si="775"/>
        <v>0</v>
      </c>
      <c r="X561" s="279">
        <f t="shared" si="775"/>
        <v>0</v>
      </c>
      <c r="Y561" s="279">
        <f t="shared" si="775"/>
        <v>0</v>
      </c>
      <c r="Z561" s="279">
        <f t="shared" si="775"/>
        <v>0</v>
      </c>
      <c r="AA561" s="281">
        <f t="shared" si="712"/>
        <v>0</v>
      </c>
      <c r="AB561" s="403">
        <f t="shared" si="655"/>
        <v>6828499.0099999998</v>
      </c>
      <c r="AC561" s="326">
        <f t="shared" si="673"/>
        <v>1</v>
      </c>
    </row>
    <row r="562" spans="2:29" ht="14.25" x14ac:dyDescent="0.2">
      <c r="B562" s="323" t="s">
        <v>1544</v>
      </c>
      <c r="C562" s="206" t="s">
        <v>1543</v>
      </c>
      <c r="D562" s="277"/>
      <c r="E562" s="325">
        <f>SUM('ADICIONES  2021'!C562:N562)</f>
        <v>6828499.0099999998</v>
      </c>
      <c r="F562" s="277"/>
      <c r="G562" s="277"/>
      <c r="H562" s="277"/>
      <c r="I562" s="277"/>
      <c r="J562" s="277"/>
      <c r="K562" s="281">
        <f t="shared" si="650"/>
        <v>6828499.0099999998</v>
      </c>
      <c r="L562" s="277"/>
      <c r="M562" s="277"/>
      <c r="N562" s="277"/>
      <c r="O562" s="277"/>
      <c r="P562" s="277">
        <v>6828499.0099999998</v>
      </c>
      <c r="Q562" s="277"/>
      <c r="R562" s="281">
        <f t="shared" si="773"/>
        <v>6828499.0099999998</v>
      </c>
      <c r="S562" s="277"/>
      <c r="T562" s="277"/>
      <c r="U562" s="277"/>
      <c r="V562" s="277"/>
      <c r="W562" s="277"/>
      <c r="X562" s="277"/>
      <c r="Y562" s="277"/>
      <c r="Z562" s="277"/>
      <c r="AA562" s="281">
        <f t="shared" si="712"/>
        <v>0</v>
      </c>
      <c r="AB562" s="403">
        <f t="shared" si="655"/>
        <v>6828499.0099999998</v>
      </c>
      <c r="AC562" s="326">
        <f t="shared" si="673"/>
        <v>1</v>
      </c>
    </row>
    <row r="563" spans="2:29" ht="25.5" x14ac:dyDescent="0.2">
      <c r="B563" s="318" t="s">
        <v>1545</v>
      </c>
      <c r="C563" s="319" t="s">
        <v>1546</v>
      </c>
      <c r="D563" s="279">
        <f>+D564</f>
        <v>0</v>
      </c>
      <c r="E563" s="322">
        <f>SUM('ADICIONES  2021'!C563:N563)</f>
        <v>302919</v>
      </c>
      <c r="F563" s="279">
        <f>+F564</f>
        <v>0</v>
      </c>
      <c r="G563" s="279">
        <f>+G564</f>
        <v>0</v>
      </c>
      <c r="H563" s="279">
        <f>+H564</f>
        <v>0</v>
      </c>
      <c r="I563" s="279">
        <f>+I564</f>
        <v>0</v>
      </c>
      <c r="J563" s="279">
        <f>+J564</f>
        <v>0</v>
      </c>
      <c r="K563" s="281">
        <f t="shared" si="650"/>
        <v>302919</v>
      </c>
      <c r="L563" s="279">
        <f t="shared" ref="L563:Q563" si="776">+L564</f>
        <v>0</v>
      </c>
      <c r="M563" s="279">
        <f t="shared" si="776"/>
        <v>0</v>
      </c>
      <c r="N563" s="279">
        <f t="shared" si="776"/>
        <v>0</v>
      </c>
      <c r="O563" s="279">
        <f t="shared" si="776"/>
        <v>0</v>
      </c>
      <c r="P563" s="279">
        <f t="shared" si="776"/>
        <v>302919</v>
      </c>
      <c r="Q563" s="279">
        <f t="shared" si="776"/>
        <v>0</v>
      </c>
      <c r="R563" s="281">
        <f t="shared" si="773"/>
        <v>302919</v>
      </c>
      <c r="S563" s="279">
        <f t="shared" ref="S563:Z563" si="777">+S564</f>
        <v>0</v>
      </c>
      <c r="T563" s="279">
        <f t="shared" si="777"/>
        <v>0</v>
      </c>
      <c r="U563" s="279">
        <f t="shared" si="777"/>
        <v>0</v>
      </c>
      <c r="V563" s="279">
        <f t="shared" si="777"/>
        <v>0</v>
      </c>
      <c r="W563" s="279">
        <f t="shared" si="777"/>
        <v>0</v>
      </c>
      <c r="X563" s="279">
        <f t="shared" si="777"/>
        <v>0</v>
      </c>
      <c r="Y563" s="279">
        <f t="shared" si="777"/>
        <v>0</v>
      </c>
      <c r="Z563" s="279">
        <f t="shared" si="777"/>
        <v>0</v>
      </c>
      <c r="AA563" s="281">
        <f t="shared" si="712"/>
        <v>0</v>
      </c>
      <c r="AB563" s="403">
        <f t="shared" si="655"/>
        <v>302919</v>
      </c>
      <c r="AC563" s="326">
        <f t="shared" si="673"/>
        <v>1</v>
      </c>
    </row>
    <row r="564" spans="2:29" ht="25.5" x14ac:dyDescent="0.2">
      <c r="B564" s="323" t="s">
        <v>1547</v>
      </c>
      <c r="C564" s="206" t="s">
        <v>1546</v>
      </c>
      <c r="D564" s="277"/>
      <c r="E564" s="325">
        <f>SUM('ADICIONES  2021'!C564:N564)</f>
        <v>302919</v>
      </c>
      <c r="F564" s="277"/>
      <c r="G564" s="277"/>
      <c r="H564" s="277"/>
      <c r="I564" s="277"/>
      <c r="J564" s="277"/>
      <c r="K564" s="281">
        <f t="shared" si="650"/>
        <v>302919</v>
      </c>
      <c r="L564" s="277"/>
      <c r="M564" s="277"/>
      <c r="N564" s="277"/>
      <c r="O564" s="277"/>
      <c r="P564" s="277">
        <v>302919</v>
      </c>
      <c r="Q564" s="277"/>
      <c r="R564" s="281">
        <f t="shared" si="773"/>
        <v>302919</v>
      </c>
      <c r="S564" s="277"/>
      <c r="T564" s="277"/>
      <c r="U564" s="277"/>
      <c r="V564" s="277"/>
      <c r="W564" s="277"/>
      <c r="X564" s="277"/>
      <c r="Y564" s="277"/>
      <c r="Z564" s="277"/>
      <c r="AA564" s="281">
        <f t="shared" si="712"/>
        <v>0</v>
      </c>
      <c r="AB564" s="403">
        <f t="shared" si="655"/>
        <v>302919</v>
      </c>
      <c r="AC564" s="326">
        <f t="shared" si="673"/>
        <v>1</v>
      </c>
    </row>
    <row r="565" spans="2:29" ht="25.5" x14ac:dyDescent="0.2">
      <c r="B565" s="318" t="s">
        <v>1548</v>
      </c>
      <c r="C565" s="319" t="s">
        <v>1549</v>
      </c>
      <c r="D565" s="279">
        <f>+D566</f>
        <v>0</v>
      </c>
      <c r="E565" s="322">
        <f>SUM('ADICIONES  2021'!C565:N565)</f>
        <v>1000000</v>
      </c>
      <c r="F565" s="279">
        <f>+F566</f>
        <v>0</v>
      </c>
      <c r="G565" s="279">
        <f>+G566</f>
        <v>0</v>
      </c>
      <c r="H565" s="279">
        <f>+H566</f>
        <v>0</v>
      </c>
      <c r="I565" s="279">
        <f>+I566</f>
        <v>0</v>
      </c>
      <c r="J565" s="279">
        <f>+J566</f>
        <v>0</v>
      </c>
      <c r="K565" s="281">
        <f t="shared" si="650"/>
        <v>1000000</v>
      </c>
      <c r="L565" s="279">
        <f t="shared" ref="L565:Q565" si="778">+L566</f>
        <v>0</v>
      </c>
      <c r="M565" s="279">
        <f t="shared" si="778"/>
        <v>0</v>
      </c>
      <c r="N565" s="279">
        <f t="shared" si="778"/>
        <v>0</v>
      </c>
      <c r="O565" s="279">
        <f t="shared" si="778"/>
        <v>0</v>
      </c>
      <c r="P565" s="279">
        <f t="shared" si="778"/>
        <v>1000000</v>
      </c>
      <c r="Q565" s="279">
        <f t="shared" si="778"/>
        <v>0</v>
      </c>
      <c r="R565" s="281">
        <f t="shared" si="773"/>
        <v>1000000</v>
      </c>
      <c r="S565" s="279">
        <f t="shared" ref="S565:Z565" si="779">+S566</f>
        <v>0</v>
      </c>
      <c r="T565" s="279">
        <f t="shared" si="779"/>
        <v>0</v>
      </c>
      <c r="U565" s="279">
        <f t="shared" si="779"/>
        <v>0</v>
      </c>
      <c r="V565" s="279">
        <f t="shared" si="779"/>
        <v>0</v>
      </c>
      <c r="W565" s="279">
        <f t="shared" si="779"/>
        <v>0</v>
      </c>
      <c r="X565" s="279">
        <f t="shared" si="779"/>
        <v>0</v>
      </c>
      <c r="Y565" s="279">
        <f t="shared" si="779"/>
        <v>0</v>
      </c>
      <c r="Z565" s="279">
        <f t="shared" si="779"/>
        <v>0</v>
      </c>
      <c r="AA565" s="281">
        <f t="shared" si="712"/>
        <v>0</v>
      </c>
      <c r="AB565" s="403">
        <f t="shared" si="655"/>
        <v>1000000</v>
      </c>
      <c r="AC565" s="326">
        <f t="shared" si="673"/>
        <v>1</v>
      </c>
    </row>
    <row r="566" spans="2:29" ht="25.5" x14ac:dyDescent="0.2">
      <c r="B566" s="323" t="s">
        <v>1550</v>
      </c>
      <c r="C566" s="206" t="s">
        <v>1549</v>
      </c>
      <c r="D566" s="277"/>
      <c r="E566" s="325">
        <f>SUM('ADICIONES  2021'!C566:N566)</f>
        <v>1000000</v>
      </c>
      <c r="F566" s="277"/>
      <c r="G566" s="277"/>
      <c r="H566" s="277"/>
      <c r="I566" s="277"/>
      <c r="J566" s="277"/>
      <c r="K566" s="281">
        <f t="shared" si="650"/>
        <v>1000000</v>
      </c>
      <c r="L566" s="277"/>
      <c r="M566" s="277"/>
      <c r="N566" s="277"/>
      <c r="O566" s="277"/>
      <c r="P566" s="277">
        <v>1000000</v>
      </c>
      <c r="Q566" s="277"/>
      <c r="R566" s="281">
        <f t="shared" si="773"/>
        <v>1000000</v>
      </c>
      <c r="S566" s="277"/>
      <c r="T566" s="277"/>
      <c r="U566" s="277"/>
      <c r="V566" s="277"/>
      <c r="W566" s="277"/>
      <c r="X566" s="277"/>
      <c r="Y566" s="277"/>
      <c r="Z566" s="277"/>
      <c r="AA566" s="281">
        <f t="shared" ref="AA566:AA593" si="780">SUM(S566:Z566)</f>
        <v>0</v>
      </c>
      <c r="AB566" s="403">
        <f t="shared" si="655"/>
        <v>1000000</v>
      </c>
      <c r="AC566" s="326">
        <f t="shared" si="673"/>
        <v>1</v>
      </c>
    </row>
    <row r="567" spans="2:29" ht="14.25" x14ac:dyDescent="0.2">
      <c r="B567" s="318" t="s">
        <v>1551</v>
      </c>
      <c r="C567" s="319" t="s">
        <v>1552</v>
      </c>
      <c r="D567" s="279">
        <f>+D568</f>
        <v>0</v>
      </c>
      <c r="E567" s="322">
        <f>SUM('ADICIONES  2021'!C567:N567)</f>
        <v>30926960</v>
      </c>
      <c r="F567" s="279">
        <f>+F568</f>
        <v>0</v>
      </c>
      <c r="G567" s="279">
        <f>+G568</f>
        <v>0</v>
      </c>
      <c r="H567" s="279">
        <f>+H568</f>
        <v>0</v>
      </c>
      <c r="I567" s="279">
        <f>+I568</f>
        <v>0</v>
      </c>
      <c r="J567" s="279">
        <f>+J568</f>
        <v>0</v>
      </c>
      <c r="K567" s="281">
        <f t="shared" si="650"/>
        <v>30926960</v>
      </c>
      <c r="L567" s="279">
        <f t="shared" ref="L567:Q567" si="781">+L568</f>
        <v>0</v>
      </c>
      <c r="M567" s="279">
        <f t="shared" si="781"/>
        <v>0</v>
      </c>
      <c r="N567" s="279">
        <f t="shared" si="781"/>
        <v>0</v>
      </c>
      <c r="O567" s="279">
        <f t="shared" si="781"/>
        <v>0</v>
      </c>
      <c r="P567" s="279">
        <f t="shared" si="781"/>
        <v>30926960</v>
      </c>
      <c r="Q567" s="279">
        <f t="shared" si="781"/>
        <v>0</v>
      </c>
      <c r="R567" s="281">
        <f t="shared" si="773"/>
        <v>30926960</v>
      </c>
      <c r="S567" s="279">
        <f t="shared" ref="S567:Z567" si="782">+S568</f>
        <v>0</v>
      </c>
      <c r="T567" s="279">
        <f t="shared" si="782"/>
        <v>0</v>
      </c>
      <c r="U567" s="279">
        <f t="shared" si="782"/>
        <v>0</v>
      </c>
      <c r="V567" s="279">
        <f t="shared" si="782"/>
        <v>0</v>
      </c>
      <c r="W567" s="279">
        <f t="shared" si="782"/>
        <v>0</v>
      </c>
      <c r="X567" s="279">
        <f t="shared" si="782"/>
        <v>0</v>
      </c>
      <c r="Y567" s="279">
        <f t="shared" si="782"/>
        <v>0</v>
      </c>
      <c r="Z567" s="279">
        <f t="shared" si="782"/>
        <v>0</v>
      </c>
      <c r="AA567" s="281">
        <f t="shared" si="780"/>
        <v>0</v>
      </c>
      <c r="AB567" s="403">
        <f t="shared" si="655"/>
        <v>30926960</v>
      </c>
      <c r="AC567" s="326">
        <f t="shared" si="673"/>
        <v>1</v>
      </c>
    </row>
    <row r="568" spans="2:29" ht="14.25" x14ac:dyDescent="0.2">
      <c r="B568" s="323" t="s">
        <v>1553</v>
      </c>
      <c r="C568" s="206" t="s">
        <v>1552</v>
      </c>
      <c r="D568" s="277"/>
      <c r="E568" s="325">
        <f>SUM('ADICIONES  2021'!C568:N568)</f>
        <v>30926960</v>
      </c>
      <c r="F568" s="277"/>
      <c r="G568" s="277"/>
      <c r="H568" s="277"/>
      <c r="I568" s="277"/>
      <c r="J568" s="277"/>
      <c r="K568" s="281">
        <f t="shared" si="650"/>
        <v>30926960</v>
      </c>
      <c r="L568" s="277"/>
      <c r="M568" s="277"/>
      <c r="N568" s="277"/>
      <c r="O568" s="277"/>
      <c r="P568" s="277">
        <v>30926960</v>
      </c>
      <c r="Q568" s="277"/>
      <c r="R568" s="281">
        <f t="shared" si="773"/>
        <v>30926960</v>
      </c>
      <c r="S568" s="277"/>
      <c r="T568" s="277"/>
      <c r="U568" s="277"/>
      <c r="V568" s="277"/>
      <c r="W568" s="277"/>
      <c r="X568" s="277"/>
      <c r="Y568" s="277"/>
      <c r="Z568" s="277"/>
      <c r="AA568" s="281">
        <f t="shared" si="780"/>
        <v>0</v>
      </c>
      <c r="AB568" s="403">
        <f t="shared" si="655"/>
        <v>30926960</v>
      </c>
      <c r="AC568" s="326">
        <f t="shared" si="673"/>
        <v>1</v>
      </c>
    </row>
    <row r="569" spans="2:29" ht="14.25" x14ac:dyDescent="0.2">
      <c r="B569" s="318" t="s">
        <v>1554</v>
      </c>
      <c r="C569" s="319" t="s">
        <v>1555</v>
      </c>
      <c r="D569" s="279">
        <f>+D570</f>
        <v>0</v>
      </c>
      <c r="E569" s="322">
        <f>SUM('ADICIONES  2021'!C569:N569)</f>
        <v>1820196924.4300001</v>
      </c>
      <c r="F569" s="279">
        <f>+F570</f>
        <v>0</v>
      </c>
      <c r="G569" s="279">
        <f>+G570</f>
        <v>0</v>
      </c>
      <c r="H569" s="279">
        <f>+H570</f>
        <v>0</v>
      </c>
      <c r="I569" s="279">
        <f>+I570</f>
        <v>0</v>
      </c>
      <c r="J569" s="279">
        <f>+J570</f>
        <v>0</v>
      </c>
      <c r="K569" s="281">
        <f t="shared" si="650"/>
        <v>1820196924.4300001</v>
      </c>
      <c r="L569" s="279">
        <f t="shared" ref="L569:Q569" si="783">+L570</f>
        <v>0</v>
      </c>
      <c r="M569" s="279">
        <f t="shared" si="783"/>
        <v>0</v>
      </c>
      <c r="N569" s="279">
        <f t="shared" si="783"/>
        <v>0</v>
      </c>
      <c r="O569" s="279">
        <f t="shared" si="783"/>
        <v>0</v>
      </c>
      <c r="P569" s="279">
        <f t="shared" si="783"/>
        <v>1820196924.4300001</v>
      </c>
      <c r="Q569" s="279">
        <f t="shared" si="783"/>
        <v>0</v>
      </c>
      <c r="R569" s="281">
        <f t="shared" si="773"/>
        <v>1820196924.4300001</v>
      </c>
      <c r="S569" s="279">
        <f t="shared" ref="S569:Z569" si="784">+S570</f>
        <v>0</v>
      </c>
      <c r="T569" s="279">
        <f t="shared" si="784"/>
        <v>0</v>
      </c>
      <c r="U569" s="279">
        <f t="shared" si="784"/>
        <v>0</v>
      </c>
      <c r="V569" s="279">
        <f t="shared" si="784"/>
        <v>0</v>
      </c>
      <c r="W569" s="279">
        <f t="shared" si="784"/>
        <v>0</v>
      </c>
      <c r="X569" s="279">
        <f t="shared" si="784"/>
        <v>0</v>
      </c>
      <c r="Y569" s="279">
        <f t="shared" si="784"/>
        <v>0</v>
      </c>
      <c r="Z569" s="279">
        <f t="shared" si="784"/>
        <v>0</v>
      </c>
      <c r="AA569" s="281">
        <f t="shared" si="780"/>
        <v>0</v>
      </c>
      <c r="AB569" s="403">
        <f t="shared" si="655"/>
        <v>1820196924.4300001</v>
      </c>
      <c r="AC569" s="326">
        <f t="shared" si="673"/>
        <v>1</v>
      </c>
    </row>
    <row r="570" spans="2:29" ht="14.25" x14ac:dyDescent="0.2">
      <c r="B570" s="323" t="s">
        <v>1556</v>
      </c>
      <c r="C570" s="206" t="s">
        <v>1555</v>
      </c>
      <c r="D570" s="277"/>
      <c r="E570" s="325">
        <f>SUM('ADICIONES  2021'!C570:N570)</f>
        <v>1820196924.4300001</v>
      </c>
      <c r="F570" s="277"/>
      <c r="G570" s="277"/>
      <c r="H570" s="277"/>
      <c r="I570" s="277"/>
      <c r="J570" s="277"/>
      <c r="K570" s="281">
        <f t="shared" si="650"/>
        <v>1820196924.4300001</v>
      </c>
      <c r="L570" s="277"/>
      <c r="M570" s="277"/>
      <c r="N570" s="277"/>
      <c r="O570" s="277"/>
      <c r="P570" s="277">
        <v>1820196924.4300001</v>
      </c>
      <c r="Q570" s="277"/>
      <c r="R570" s="281">
        <f t="shared" si="773"/>
        <v>1820196924.4300001</v>
      </c>
      <c r="S570" s="277"/>
      <c r="T570" s="277"/>
      <c r="U570" s="277"/>
      <c r="V570" s="277"/>
      <c r="W570" s="277"/>
      <c r="X570" s="277"/>
      <c r="Y570" s="277"/>
      <c r="Z570" s="277"/>
      <c r="AA570" s="281">
        <f t="shared" si="780"/>
        <v>0</v>
      </c>
      <c r="AB570" s="403">
        <f t="shared" si="655"/>
        <v>1820196924.4300001</v>
      </c>
      <c r="AC570" s="326">
        <f t="shared" si="673"/>
        <v>1</v>
      </c>
    </row>
    <row r="571" spans="2:29" ht="25.5" x14ac:dyDescent="0.2">
      <c r="B571" s="318" t="s">
        <v>1557</v>
      </c>
      <c r="C571" s="319" t="s">
        <v>1558</v>
      </c>
      <c r="D571" s="279">
        <f>+D572</f>
        <v>0</v>
      </c>
      <c r="E571" s="322">
        <f>SUM('ADICIONES  2021'!C571:N571)</f>
        <v>26914974.489999998</v>
      </c>
      <c r="F571" s="279">
        <f>+F572</f>
        <v>0</v>
      </c>
      <c r="G571" s="279">
        <f>+G572</f>
        <v>0</v>
      </c>
      <c r="H571" s="279">
        <f>+H572</f>
        <v>0</v>
      </c>
      <c r="I571" s="279">
        <f>+I572</f>
        <v>0</v>
      </c>
      <c r="J571" s="279">
        <f>+J572</f>
        <v>0</v>
      </c>
      <c r="K571" s="281">
        <f t="shared" si="650"/>
        <v>26914974.489999998</v>
      </c>
      <c r="L571" s="279">
        <f t="shared" ref="L571:Q571" si="785">+L572</f>
        <v>0</v>
      </c>
      <c r="M571" s="279">
        <f t="shared" si="785"/>
        <v>0</v>
      </c>
      <c r="N571" s="279">
        <f t="shared" si="785"/>
        <v>0</v>
      </c>
      <c r="O571" s="279">
        <f t="shared" si="785"/>
        <v>0</v>
      </c>
      <c r="P571" s="279">
        <f t="shared" si="785"/>
        <v>26914974.489999998</v>
      </c>
      <c r="Q571" s="279">
        <f t="shared" si="785"/>
        <v>0</v>
      </c>
      <c r="R571" s="281">
        <f t="shared" si="773"/>
        <v>26914974.489999998</v>
      </c>
      <c r="S571" s="279">
        <f t="shared" ref="S571:Z571" si="786">+S572</f>
        <v>0</v>
      </c>
      <c r="T571" s="279">
        <f t="shared" si="786"/>
        <v>0</v>
      </c>
      <c r="U571" s="279">
        <f t="shared" si="786"/>
        <v>0</v>
      </c>
      <c r="V571" s="279">
        <f t="shared" si="786"/>
        <v>0</v>
      </c>
      <c r="W571" s="279">
        <f t="shared" si="786"/>
        <v>0</v>
      </c>
      <c r="X571" s="279">
        <f t="shared" si="786"/>
        <v>0</v>
      </c>
      <c r="Y571" s="279">
        <f t="shared" si="786"/>
        <v>0</v>
      </c>
      <c r="Z571" s="279">
        <f t="shared" si="786"/>
        <v>0</v>
      </c>
      <c r="AA571" s="281">
        <f t="shared" si="780"/>
        <v>0</v>
      </c>
      <c r="AB571" s="403">
        <f t="shared" si="655"/>
        <v>26914974.489999998</v>
      </c>
      <c r="AC571" s="326">
        <f t="shared" si="673"/>
        <v>1</v>
      </c>
    </row>
    <row r="572" spans="2:29" ht="14.25" x14ac:dyDescent="0.2">
      <c r="B572" s="323" t="s">
        <v>1559</v>
      </c>
      <c r="C572" s="206" t="s">
        <v>1558</v>
      </c>
      <c r="D572" s="277"/>
      <c r="E572" s="325">
        <f>SUM('ADICIONES  2021'!C572:N572)</f>
        <v>26914974.489999998</v>
      </c>
      <c r="F572" s="277"/>
      <c r="G572" s="277"/>
      <c r="H572" s="277"/>
      <c r="I572" s="277"/>
      <c r="J572" s="277"/>
      <c r="K572" s="281">
        <f t="shared" si="650"/>
        <v>26914974.489999998</v>
      </c>
      <c r="L572" s="277"/>
      <c r="M572" s="277"/>
      <c r="N572" s="277"/>
      <c r="O572" s="277"/>
      <c r="P572" s="277">
        <v>26914974.489999998</v>
      </c>
      <c r="Q572" s="277"/>
      <c r="R572" s="281">
        <f t="shared" si="773"/>
        <v>26914974.489999998</v>
      </c>
      <c r="S572" s="277"/>
      <c r="T572" s="277"/>
      <c r="U572" s="277"/>
      <c r="V572" s="277"/>
      <c r="W572" s="277"/>
      <c r="X572" s="277"/>
      <c r="Y572" s="277"/>
      <c r="Z572" s="277"/>
      <c r="AA572" s="281">
        <f t="shared" si="780"/>
        <v>0</v>
      </c>
      <c r="AB572" s="403">
        <f t="shared" si="655"/>
        <v>26914974.489999998</v>
      </c>
      <c r="AC572" s="326">
        <f t="shared" si="673"/>
        <v>1</v>
      </c>
    </row>
    <row r="573" spans="2:29" ht="14.25" x14ac:dyDescent="0.2">
      <c r="B573" s="318" t="s">
        <v>1560</v>
      </c>
      <c r="C573" s="319" t="s">
        <v>1561</v>
      </c>
      <c r="D573" s="279">
        <f>+D574</f>
        <v>0</v>
      </c>
      <c r="E573" s="322">
        <f>SUM('ADICIONES  2021'!C573:N573)</f>
        <v>64231303.409999996</v>
      </c>
      <c r="F573" s="279">
        <f>+F574</f>
        <v>0</v>
      </c>
      <c r="G573" s="279">
        <f>+G574</f>
        <v>0</v>
      </c>
      <c r="H573" s="279">
        <f>+H574</f>
        <v>0</v>
      </c>
      <c r="I573" s="279">
        <f>+I574</f>
        <v>0</v>
      </c>
      <c r="J573" s="279">
        <f>+J574</f>
        <v>0</v>
      </c>
      <c r="K573" s="281">
        <f t="shared" si="650"/>
        <v>64231303.409999996</v>
      </c>
      <c r="L573" s="279">
        <f t="shared" ref="L573:Q573" si="787">+L574</f>
        <v>0</v>
      </c>
      <c r="M573" s="279">
        <f t="shared" si="787"/>
        <v>0</v>
      </c>
      <c r="N573" s="279">
        <f t="shared" si="787"/>
        <v>0</v>
      </c>
      <c r="O573" s="279">
        <f t="shared" si="787"/>
        <v>0</v>
      </c>
      <c r="P573" s="279">
        <f t="shared" si="787"/>
        <v>64231303.409999996</v>
      </c>
      <c r="Q573" s="279">
        <f t="shared" si="787"/>
        <v>0</v>
      </c>
      <c r="R573" s="281">
        <f t="shared" si="773"/>
        <v>64231303.409999996</v>
      </c>
      <c r="S573" s="279">
        <f t="shared" ref="S573:Z573" si="788">+S574</f>
        <v>0</v>
      </c>
      <c r="T573" s="279">
        <f t="shared" si="788"/>
        <v>0</v>
      </c>
      <c r="U573" s="279">
        <f t="shared" si="788"/>
        <v>0</v>
      </c>
      <c r="V573" s="279">
        <f t="shared" si="788"/>
        <v>0</v>
      </c>
      <c r="W573" s="279">
        <f t="shared" si="788"/>
        <v>0</v>
      </c>
      <c r="X573" s="279">
        <f t="shared" si="788"/>
        <v>0</v>
      </c>
      <c r="Y573" s="279">
        <f t="shared" si="788"/>
        <v>0</v>
      </c>
      <c r="Z573" s="279">
        <f t="shared" si="788"/>
        <v>0</v>
      </c>
      <c r="AA573" s="281">
        <f t="shared" si="780"/>
        <v>0</v>
      </c>
      <c r="AB573" s="403">
        <f t="shared" si="655"/>
        <v>64231303.409999996</v>
      </c>
      <c r="AC573" s="326">
        <f t="shared" si="673"/>
        <v>1</v>
      </c>
    </row>
    <row r="574" spans="2:29" ht="14.25" x14ac:dyDescent="0.2">
      <c r="B574" s="323" t="s">
        <v>1562</v>
      </c>
      <c r="C574" s="206" t="s">
        <v>1561</v>
      </c>
      <c r="D574" s="277"/>
      <c r="E574" s="325">
        <f>SUM('ADICIONES  2021'!C574:N574)</f>
        <v>64231303.409999996</v>
      </c>
      <c r="F574" s="277"/>
      <c r="G574" s="277"/>
      <c r="H574" s="277"/>
      <c r="I574" s="277"/>
      <c r="J574" s="277"/>
      <c r="K574" s="281">
        <f t="shared" si="650"/>
        <v>64231303.409999996</v>
      </c>
      <c r="L574" s="277"/>
      <c r="M574" s="277"/>
      <c r="N574" s="277"/>
      <c r="O574" s="277"/>
      <c r="P574" s="277">
        <v>64231303.409999996</v>
      </c>
      <c r="Q574" s="277"/>
      <c r="R574" s="281">
        <f t="shared" si="773"/>
        <v>64231303.409999996</v>
      </c>
      <c r="S574" s="277"/>
      <c r="T574" s="277"/>
      <c r="U574" s="277"/>
      <c r="V574" s="277"/>
      <c r="W574" s="277"/>
      <c r="X574" s="277"/>
      <c r="Y574" s="277"/>
      <c r="Z574" s="277"/>
      <c r="AA574" s="281">
        <f t="shared" si="780"/>
        <v>0</v>
      </c>
      <c r="AB574" s="403">
        <f t="shared" si="655"/>
        <v>64231303.409999996</v>
      </c>
      <c r="AC574" s="326">
        <f t="shared" si="673"/>
        <v>1</v>
      </c>
    </row>
    <row r="575" spans="2:29" ht="14.25" x14ac:dyDescent="0.2">
      <c r="B575" s="318" t="s">
        <v>1563</v>
      </c>
      <c r="C575" s="319" t="s">
        <v>1561</v>
      </c>
      <c r="D575" s="279">
        <f>+D576</f>
        <v>0</v>
      </c>
      <c r="E575" s="322">
        <f>SUM('ADICIONES  2021'!C575:N575)</f>
        <v>18464558</v>
      </c>
      <c r="F575" s="279">
        <f>+F576</f>
        <v>0</v>
      </c>
      <c r="G575" s="279">
        <f>+G576</f>
        <v>0</v>
      </c>
      <c r="H575" s="279">
        <f>+H576</f>
        <v>0</v>
      </c>
      <c r="I575" s="279">
        <f>+I576</f>
        <v>0</v>
      </c>
      <c r="J575" s="279">
        <f>+J576</f>
        <v>0</v>
      </c>
      <c r="K575" s="281">
        <f t="shared" si="650"/>
        <v>18464558</v>
      </c>
      <c r="L575" s="279">
        <f t="shared" ref="L575:Q575" si="789">+L576</f>
        <v>0</v>
      </c>
      <c r="M575" s="279">
        <f t="shared" si="789"/>
        <v>0</v>
      </c>
      <c r="N575" s="279">
        <f t="shared" si="789"/>
        <v>0</v>
      </c>
      <c r="O575" s="279">
        <f t="shared" si="789"/>
        <v>0</v>
      </c>
      <c r="P575" s="279">
        <f t="shared" si="789"/>
        <v>18464558</v>
      </c>
      <c r="Q575" s="279">
        <f t="shared" si="789"/>
        <v>0</v>
      </c>
      <c r="R575" s="281">
        <f t="shared" si="773"/>
        <v>18464558</v>
      </c>
      <c r="S575" s="279">
        <f t="shared" ref="S575:Z575" si="790">+S576</f>
        <v>0</v>
      </c>
      <c r="T575" s="279">
        <f t="shared" si="790"/>
        <v>0</v>
      </c>
      <c r="U575" s="279">
        <f t="shared" si="790"/>
        <v>0</v>
      </c>
      <c r="V575" s="279">
        <f t="shared" si="790"/>
        <v>0</v>
      </c>
      <c r="W575" s="279">
        <f t="shared" si="790"/>
        <v>0</v>
      </c>
      <c r="X575" s="279">
        <f t="shared" si="790"/>
        <v>0</v>
      </c>
      <c r="Y575" s="279">
        <f t="shared" si="790"/>
        <v>0</v>
      </c>
      <c r="Z575" s="279">
        <f t="shared" si="790"/>
        <v>0</v>
      </c>
      <c r="AA575" s="281">
        <f t="shared" si="780"/>
        <v>0</v>
      </c>
      <c r="AB575" s="403">
        <f t="shared" si="655"/>
        <v>18464558</v>
      </c>
      <c r="AC575" s="326">
        <f t="shared" si="673"/>
        <v>1</v>
      </c>
    </row>
    <row r="576" spans="2:29" ht="14.25" x14ac:dyDescent="0.2">
      <c r="B576" s="323" t="s">
        <v>1564</v>
      </c>
      <c r="C576" s="206" t="s">
        <v>1565</v>
      </c>
      <c r="D576" s="277"/>
      <c r="E576" s="325">
        <f>SUM('ADICIONES  2021'!C576:N576)</f>
        <v>18464558</v>
      </c>
      <c r="F576" s="277"/>
      <c r="G576" s="277"/>
      <c r="H576" s="277"/>
      <c r="I576" s="277"/>
      <c r="J576" s="277"/>
      <c r="K576" s="281">
        <f t="shared" si="650"/>
        <v>18464558</v>
      </c>
      <c r="L576" s="277"/>
      <c r="M576" s="277"/>
      <c r="N576" s="277"/>
      <c r="O576" s="277"/>
      <c r="P576" s="277">
        <v>18464558</v>
      </c>
      <c r="Q576" s="277"/>
      <c r="R576" s="281">
        <f t="shared" si="773"/>
        <v>18464558</v>
      </c>
      <c r="S576" s="277"/>
      <c r="T576" s="277"/>
      <c r="U576" s="277"/>
      <c r="V576" s="277"/>
      <c r="W576" s="277"/>
      <c r="X576" s="277"/>
      <c r="Y576" s="277"/>
      <c r="Z576" s="277"/>
      <c r="AA576" s="281">
        <f t="shared" si="780"/>
        <v>0</v>
      </c>
      <c r="AB576" s="403">
        <f t="shared" si="655"/>
        <v>18464558</v>
      </c>
      <c r="AC576" s="326">
        <f t="shared" si="673"/>
        <v>1</v>
      </c>
    </row>
    <row r="577" spans="1:29" ht="14.25" x14ac:dyDescent="0.2">
      <c r="B577" s="318" t="s">
        <v>1566</v>
      </c>
      <c r="C577" s="319" t="s">
        <v>1567</v>
      </c>
      <c r="D577" s="279">
        <f>+D578+D580+D582+D584</f>
        <v>0</v>
      </c>
      <c r="E577" s="322">
        <f>SUM('ADICIONES  2021'!C577:N577)</f>
        <v>594811949.25</v>
      </c>
      <c r="F577" s="279">
        <f t="shared" ref="F577:J577" si="791">+F578+F580+F582+F584</f>
        <v>0</v>
      </c>
      <c r="G577" s="279">
        <f t="shared" si="791"/>
        <v>0</v>
      </c>
      <c r="H577" s="279">
        <f t="shared" si="791"/>
        <v>0</v>
      </c>
      <c r="I577" s="279">
        <f t="shared" si="791"/>
        <v>0</v>
      </c>
      <c r="J577" s="279">
        <f t="shared" si="791"/>
        <v>0</v>
      </c>
      <c r="K577" s="281">
        <f t="shared" si="650"/>
        <v>594811949.25</v>
      </c>
      <c r="L577" s="279">
        <f t="shared" ref="L577:Q577" si="792">+L578+L580+L582+L584</f>
        <v>0</v>
      </c>
      <c r="M577" s="279">
        <f t="shared" si="792"/>
        <v>0</v>
      </c>
      <c r="N577" s="279">
        <f t="shared" si="792"/>
        <v>0</v>
      </c>
      <c r="O577" s="279">
        <f t="shared" si="792"/>
        <v>0</v>
      </c>
      <c r="P577" s="279">
        <f t="shared" si="792"/>
        <v>575059092</v>
      </c>
      <c r="Q577" s="279">
        <f t="shared" si="792"/>
        <v>0</v>
      </c>
      <c r="R577" s="281">
        <f t="shared" si="773"/>
        <v>575059092</v>
      </c>
      <c r="S577" s="279">
        <f t="shared" ref="S577:Z577" si="793">+S578+S580+S582+S584</f>
        <v>0</v>
      </c>
      <c r="T577" s="279">
        <f t="shared" si="793"/>
        <v>0</v>
      </c>
      <c r="U577" s="279">
        <f t="shared" si="793"/>
        <v>0</v>
      </c>
      <c r="V577" s="279">
        <f t="shared" si="793"/>
        <v>0</v>
      </c>
      <c r="W577" s="279">
        <f t="shared" si="793"/>
        <v>39462018.25</v>
      </c>
      <c r="X577" s="279">
        <f t="shared" si="793"/>
        <v>-19709161</v>
      </c>
      <c r="Y577" s="279">
        <f t="shared" si="793"/>
        <v>0</v>
      </c>
      <c r="Z577" s="279">
        <f t="shared" si="793"/>
        <v>0</v>
      </c>
      <c r="AA577" s="281">
        <f t="shared" si="780"/>
        <v>19752857.25</v>
      </c>
      <c r="AB577" s="403">
        <f t="shared" si="655"/>
        <v>594811949.25</v>
      </c>
      <c r="AC577" s="326">
        <f t="shared" si="673"/>
        <v>1</v>
      </c>
    </row>
    <row r="578" spans="1:29" ht="14.25" x14ac:dyDescent="0.2">
      <c r="B578" s="318" t="s">
        <v>1568</v>
      </c>
      <c r="C578" s="319" t="s">
        <v>1569</v>
      </c>
      <c r="D578" s="279">
        <f>+D579</f>
        <v>0</v>
      </c>
      <c r="E578" s="322">
        <f>SUM('ADICIONES  2021'!C578:N578)</f>
        <v>516752058</v>
      </c>
      <c r="F578" s="279">
        <f>+F579</f>
        <v>0</v>
      </c>
      <c r="G578" s="279">
        <f>+G579</f>
        <v>0</v>
      </c>
      <c r="H578" s="279">
        <f>+H579</f>
        <v>0</v>
      </c>
      <c r="I578" s="279">
        <f>+I579</f>
        <v>0</v>
      </c>
      <c r="J578" s="279">
        <f>+J579</f>
        <v>0</v>
      </c>
      <c r="K578" s="281">
        <f t="shared" si="650"/>
        <v>516752058</v>
      </c>
      <c r="L578" s="279">
        <f t="shared" ref="L578:Q578" si="794">+L579</f>
        <v>0</v>
      </c>
      <c r="M578" s="279">
        <f t="shared" si="794"/>
        <v>0</v>
      </c>
      <c r="N578" s="279">
        <f t="shared" si="794"/>
        <v>0</v>
      </c>
      <c r="O578" s="279">
        <f t="shared" si="794"/>
        <v>0</v>
      </c>
      <c r="P578" s="279">
        <f t="shared" si="794"/>
        <v>516752058</v>
      </c>
      <c r="Q578" s="279">
        <f t="shared" si="794"/>
        <v>0</v>
      </c>
      <c r="R578" s="281">
        <f t="shared" si="773"/>
        <v>516752058</v>
      </c>
      <c r="S578" s="279">
        <f t="shared" ref="S578:Z578" si="795">+S579</f>
        <v>0</v>
      </c>
      <c r="T578" s="279">
        <f t="shared" si="795"/>
        <v>0</v>
      </c>
      <c r="U578" s="279">
        <f t="shared" si="795"/>
        <v>0</v>
      </c>
      <c r="V578" s="279">
        <f t="shared" si="795"/>
        <v>0</v>
      </c>
      <c r="W578" s="279">
        <f t="shared" si="795"/>
        <v>0</v>
      </c>
      <c r="X578" s="279">
        <f t="shared" si="795"/>
        <v>0</v>
      </c>
      <c r="Y578" s="279">
        <f t="shared" si="795"/>
        <v>0</v>
      </c>
      <c r="Z578" s="279">
        <f t="shared" si="795"/>
        <v>0</v>
      </c>
      <c r="AA578" s="281">
        <f t="shared" si="780"/>
        <v>0</v>
      </c>
      <c r="AB578" s="403">
        <f t="shared" si="655"/>
        <v>516752058</v>
      </c>
      <c r="AC578" s="326">
        <f t="shared" si="673"/>
        <v>1</v>
      </c>
    </row>
    <row r="579" spans="1:29" ht="14.25" x14ac:dyDescent="0.2">
      <c r="B579" s="323" t="s">
        <v>1570</v>
      </c>
      <c r="C579" s="206" t="s">
        <v>1571</v>
      </c>
      <c r="D579" s="277"/>
      <c r="E579" s="325">
        <f>SUM('ADICIONES  2021'!C579:N579)</f>
        <v>516752058</v>
      </c>
      <c r="F579" s="277"/>
      <c r="G579" s="277"/>
      <c r="H579" s="277"/>
      <c r="I579" s="277"/>
      <c r="J579" s="277"/>
      <c r="K579" s="281">
        <f t="shared" si="650"/>
        <v>516752058</v>
      </c>
      <c r="L579" s="277"/>
      <c r="M579" s="277"/>
      <c r="N579" s="277"/>
      <c r="O579" s="277"/>
      <c r="P579" s="277">
        <v>516752058</v>
      </c>
      <c r="Q579" s="277"/>
      <c r="R579" s="281">
        <f t="shared" si="773"/>
        <v>516752058</v>
      </c>
      <c r="S579" s="277"/>
      <c r="T579" s="277"/>
      <c r="U579" s="277"/>
      <c r="V579" s="277"/>
      <c r="W579" s="277"/>
      <c r="X579" s="277"/>
      <c r="Y579" s="277"/>
      <c r="Z579" s="277"/>
      <c r="AA579" s="281">
        <f t="shared" si="780"/>
        <v>0</v>
      </c>
      <c r="AB579" s="403">
        <f t="shared" si="655"/>
        <v>516752058</v>
      </c>
      <c r="AC579" s="326">
        <f t="shared" si="673"/>
        <v>1</v>
      </c>
    </row>
    <row r="580" spans="1:29" ht="14.25" x14ac:dyDescent="0.2">
      <c r="B580" s="318" t="s">
        <v>1572</v>
      </c>
      <c r="C580" s="319" t="s">
        <v>1573</v>
      </c>
      <c r="D580" s="279">
        <f>+D581</f>
        <v>0</v>
      </c>
      <c r="E580" s="322">
        <f>SUM('ADICIONES  2021'!C580:N580)</f>
        <v>58307034</v>
      </c>
      <c r="F580" s="279">
        <f>+F581</f>
        <v>0</v>
      </c>
      <c r="G580" s="279">
        <f>+G581</f>
        <v>0</v>
      </c>
      <c r="H580" s="279">
        <f>+H581</f>
        <v>0</v>
      </c>
      <c r="I580" s="279">
        <f>+I581</f>
        <v>0</v>
      </c>
      <c r="J580" s="279">
        <f>+J581</f>
        <v>0</v>
      </c>
      <c r="K580" s="281">
        <f t="shared" si="650"/>
        <v>58307034</v>
      </c>
      <c r="L580" s="279">
        <f t="shared" ref="L580:Q580" si="796">+L581</f>
        <v>0</v>
      </c>
      <c r="M580" s="279">
        <f t="shared" si="796"/>
        <v>0</v>
      </c>
      <c r="N580" s="279">
        <f t="shared" si="796"/>
        <v>0</v>
      </c>
      <c r="O580" s="279">
        <f t="shared" si="796"/>
        <v>0</v>
      </c>
      <c r="P580" s="279">
        <f t="shared" si="796"/>
        <v>58307034</v>
      </c>
      <c r="Q580" s="279">
        <f t="shared" si="796"/>
        <v>0</v>
      </c>
      <c r="R580" s="281">
        <f t="shared" si="773"/>
        <v>58307034</v>
      </c>
      <c r="S580" s="279">
        <f t="shared" ref="S580:Z580" si="797">+S581</f>
        <v>0</v>
      </c>
      <c r="T580" s="279">
        <f t="shared" si="797"/>
        <v>0</v>
      </c>
      <c r="U580" s="279">
        <f t="shared" si="797"/>
        <v>0</v>
      </c>
      <c r="V580" s="279">
        <f t="shared" si="797"/>
        <v>0</v>
      </c>
      <c r="W580" s="279">
        <f t="shared" si="797"/>
        <v>0</v>
      </c>
      <c r="X580" s="279">
        <f t="shared" si="797"/>
        <v>0</v>
      </c>
      <c r="Y580" s="279">
        <f t="shared" si="797"/>
        <v>0</v>
      </c>
      <c r="Z580" s="279">
        <f t="shared" si="797"/>
        <v>0</v>
      </c>
      <c r="AA580" s="281">
        <f t="shared" si="780"/>
        <v>0</v>
      </c>
      <c r="AB580" s="403">
        <f t="shared" si="655"/>
        <v>58307034</v>
      </c>
      <c r="AC580" s="326">
        <f t="shared" si="673"/>
        <v>1</v>
      </c>
    </row>
    <row r="581" spans="1:29" ht="14.25" x14ac:dyDescent="0.2">
      <c r="B581" s="323" t="s">
        <v>1574</v>
      </c>
      <c r="C581" s="206" t="s">
        <v>1573</v>
      </c>
      <c r="D581" s="277"/>
      <c r="E581" s="325">
        <f>SUM('ADICIONES  2021'!C581:N581)</f>
        <v>58307034</v>
      </c>
      <c r="F581" s="277"/>
      <c r="G581" s="277"/>
      <c r="H581" s="277"/>
      <c r="I581" s="277"/>
      <c r="J581" s="277"/>
      <c r="K581" s="281">
        <f t="shared" si="650"/>
        <v>58307034</v>
      </c>
      <c r="L581" s="277"/>
      <c r="M581" s="277"/>
      <c r="N581" s="277"/>
      <c r="O581" s="277"/>
      <c r="P581" s="277">
        <v>58307034</v>
      </c>
      <c r="Q581" s="277"/>
      <c r="R581" s="281">
        <f t="shared" si="773"/>
        <v>58307034</v>
      </c>
      <c r="S581" s="277"/>
      <c r="T581" s="277"/>
      <c r="U581" s="277"/>
      <c r="V581" s="277"/>
      <c r="W581" s="277"/>
      <c r="X581" s="277"/>
      <c r="Y581" s="277"/>
      <c r="Z581" s="277"/>
      <c r="AA581" s="281">
        <f t="shared" si="780"/>
        <v>0</v>
      </c>
      <c r="AB581" s="403">
        <f t="shared" si="655"/>
        <v>58307034</v>
      </c>
      <c r="AC581" s="326">
        <f t="shared" si="673"/>
        <v>1</v>
      </c>
    </row>
    <row r="582" spans="1:29" s="61" customFormat="1" ht="15.75" x14ac:dyDescent="0.2">
      <c r="A582" s="421"/>
      <c r="B582" s="318" t="s">
        <v>1879</v>
      </c>
      <c r="C582" s="319" t="s">
        <v>1880</v>
      </c>
      <c r="D582" s="279">
        <f>+D583</f>
        <v>0</v>
      </c>
      <c r="E582" s="322">
        <f>SUM('ADICIONES  2021'!C582:N582)</f>
        <v>43696.25</v>
      </c>
      <c r="F582" s="279">
        <f t="shared" ref="F582:J582" si="798">+F583</f>
        <v>0</v>
      </c>
      <c r="G582" s="279">
        <f t="shared" si="798"/>
        <v>0</v>
      </c>
      <c r="H582" s="279">
        <f t="shared" si="798"/>
        <v>0</v>
      </c>
      <c r="I582" s="279">
        <f t="shared" si="798"/>
        <v>0</v>
      </c>
      <c r="J582" s="279">
        <f t="shared" si="798"/>
        <v>0</v>
      </c>
      <c r="K582" s="276">
        <f t="shared" si="650"/>
        <v>43696.25</v>
      </c>
      <c r="L582" s="279">
        <f t="shared" ref="L582:Q582" si="799">+L583</f>
        <v>0</v>
      </c>
      <c r="M582" s="279">
        <f t="shared" si="799"/>
        <v>0</v>
      </c>
      <c r="N582" s="279">
        <f t="shared" si="799"/>
        <v>0</v>
      </c>
      <c r="O582" s="279">
        <f t="shared" si="799"/>
        <v>0</v>
      </c>
      <c r="P582" s="279">
        <f t="shared" si="799"/>
        <v>0</v>
      </c>
      <c r="Q582" s="279">
        <f t="shared" si="799"/>
        <v>0</v>
      </c>
      <c r="R582" s="276">
        <f t="shared" si="773"/>
        <v>0</v>
      </c>
      <c r="S582" s="279">
        <f t="shared" ref="S582:Z582" si="800">+S583</f>
        <v>0</v>
      </c>
      <c r="T582" s="279">
        <f t="shared" si="800"/>
        <v>0</v>
      </c>
      <c r="U582" s="279">
        <f t="shared" si="800"/>
        <v>0</v>
      </c>
      <c r="V582" s="279">
        <f t="shared" si="800"/>
        <v>0</v>
      </c>
      <c r="W582" s="279">
        <f t="shared" si="800"/>
        <v>43696.25</v>
      </c>
      <c r="X582" s="279">
        <f t="shared" si="800"/>
        <v>0</v>
      </c>
      <c r="Y582" s="279">
        <f t="shared" si="800"/>
        <v>0</v>
      </c>
      <c r="Z582" s="279">
        <f t="shared" si="800"/>
        <v>0</v>
      </c>
      <c r="AA582" s="276">
        <f t="shared" si="780"/>
        <v>43696.25</v>
      </c>
      <c r="AB582" s="402">
        <f t="shared" si="655"/>
        <v>43696.25</v>
      </c>
      <c r="AC582" s="321">
        <f t="shared" si="673"/>
        <v>1</v>
      </c>
    </row>
    <row r="583" spans="1:29" ht="14.25" x14ac:dyDescent="0.2">
      <c r="B583" s="323" t="s">
        <v>1881</v>
      </c>
      <c r="C583" s="206" t="s">
        <v>1880</v>
      </c>
      <c r="D583" s="277"/>
      <c r="E583" s="325">
        <f>SUM('ADICIONES  2021'!C583:N583)</f>
        <v>43696.25</v>
      </c>
      <c r="F583" s="277"/>
      <c r="G583" s="277"/>
      <c r="H583" s="277"/>
      <c r="I583" s="277"/>
      <c r="J583" s="277"/>
      <c r="K583" s="281">
        <f t="shared" si="650"/>
        <v>43696.25</v>
      </c>
      <c r="L583" s="277"/>
      <c r="M583" s="277"/>
      <c r="N583" s="277"/>
      <c r="O583" s="277"/>
      <c r="P583" s="277"/>
      <c r="Q583" s="277"/>
      <c r="R583" s="281">
        <f t="shared" si="773"/>
        <v>0</v>
      </c>
      <c r="S583" s="277"/>
      <c r="T583" s="277"/>
      <c r="U583" s="277"/>
      <c r="V583" s="277"/>
      <c r="W583" s="277">
        <v>43696.25</v>
      </c>
      <c r="X583" s="277"/>
      <c r="Y583" s="277"/>
      <c r="Z583" s="277"/>
      <c r="AA583" s="281">
        <f t="shared" si="780"/>
        <v>43696.25</v>
      </c>
      <c r="AB583" s="403">
        <f t="shared" si="655"/>
        <v>43696.25</v>
      </c>
      <c r="AC583" s="326">
        <f t="shared" si="673"/>
        <v>1</v>
      </c>
    </row>
    <row r="584" spans="1:29" s="61" customFormat="1" ht="15.75" x14ac:dyDescent="0.2">
      <c r="A584" s="421"/>
      <c r="B584" s="318" t="s">
        <v>1892</v>
      </c>
      <c r="C584" s="319" t="s">
        <v>1893</v>
      </c>
      <c r="D584" s="279">
        <f>+D585</f>
        <v>0</v>
      </c>
      <c r="E584" s="322">
        <f>SUM('ADICIONES  2021'!C584:N584)</f>
        <v>19709161</v>
      </c>
      <c r="F584" s="279">
        <f>+F585</f>
        <v>0</v>
      </c>
      <c r="G584" s="279">
        <f t="shared" ref="G584:J584" si="801">+G585</f>
        <v>0</v>
      </c>
      <c r="H584" s="279">
        <f t="shared" si="801"/>
        <v>0</v>
      </c>
      <c r="I584" s="279">
        <f t="shared" si="801"/>
        <v>0</v>
      </c>
      <c r="J584" s="279">
        <f t="shared" si="801"/>
        <v>0</v>
      </c>
      <c r="K584" s="276">
        <f t="shared" si="650"/>
        <v>19709161</v>
      </c>
      <c r="L584" s="279">
        <f>+L585</f>
        <v>0</v>
      </c>
      <c r="M584" s="279">
        <f t="shared" ref="M584:Q584" si="802">+M585</f>
        <v>0</v>
      </c>
      <c r="N584" s="279">
        <f t="shared" si="802"/>
        <v>0</v>
      </c>
      <c r="O584" s="279">
        <f t="shared" si="802"/>
        <v>0</v>
      </c>
      <c r="P584" s="279">
        <f t="shared" si="802"/>
        <v>0</v>
      </c>
      <c r="Q584" s="279">
        <f t="shared" si="802"/>
        <v>0</v>
      </c>
      <c r="R584" s="276">
        <f t="shared" si="773"/>
        <v>0</v>
      </c>
      <c r="S584" s="279">
        <f>+S585</f>
        <v>0</v>
      </c>
      <c r="T584" s="279">
        <f t="shared" ref="T584:Z584" si="803">+T585</f>
        <v>0</v>
      </c>
      <c r="U584" s="279">
        <f t="shared" si="803"/>
        <v>0</v>
      </c>
      <c r="V584" s="279">
        <f t="shared" si="803"/>
        <v>0</v>
      </c>
      <c r="W584" s="279">
        <f t="shared" si="803"/>
        <v>39418322</v>
      </c>
      <c r="X584" s="279">
        <f t="shared" si="803"/>
        <v>-19709161</v>
      </c>
      <c r="Y584" s="279">
        <f t="shared" si="803"/>
        <v>0</v>
      </c>
      <c r="Z584" s="279">
        <f t="shared" si="803"/>
        <v>0</v>
      </c>
      <c r="AA584" s="276">
        <f t="shared" ref="AA584:AA585" si="804">SUM(S584:Z584)</f>
        <v>19709161</v>
      </c>
      <c r="AB584" s="402">
        <f t="shared" si="655"/>
        <v>19709161</v>
      </c>
      <c r="AC584" s="321">
        <f t="shared" si="673"/>
        <v>1</v>
      </c>
    </row>
    <row r="585" spans="1:29" ht="25.5" x14ac:dyDescent="0.2">
      <c r="B585" s="323" t="s">
        <v>1894</v>
      </c>
      <c r="C585" s="206" t="s">
        <v>1895</v>
      </c>
      <c r="D585" s="277"/>
      <c r="E585" s="325">
        <f>SUM('ADICIONES  2021'!C585:N585)</f>
        <v>19709161</v>
      </c>
      <c r="F585" s="277"/>
      <c r="G585" s="277"/>
      <c r="H585" s="277"/>
      <c r="I585" s="277"/>
      <c r="J585" s="277"/>
      <c r="K585" s="281">
        <f t="shared" si="650"/>
        <v>19709161</v>
      </c>
      <c r="L585" s="277"/>
      <c r="M585" s="277"/>
      <c r="N585" s="277"/>
      <c r="O585" s="277"/>
      <c r="P585" s="277"/>
      <c r="Q585" s="277"/>
      <c r="R585" s="281">
        <f t="shared" si="773"/>
        <v>0</v>
      </c>
      <c r="S585" s="277"/>
      <c r="T585" s="277"/>
      <c r="U585" s="277"/>
      <c r="V585" s="277"/>
      <c r="W585" s="277">
        <v>39418322</v>
      </c>
      <c r="X585" s="277">
        <v>-19709161</v>
      </c>
      <c r="Y585" s="277"/>
      <c r="Z585" s="277"/>
      <c r="AA585" s="281">
        <f t="shared" si="804"/>
        <v>19709161</v>
      </c>
      <c r="AB585" s="403">
        <f t="shared" si="655"/>
        <v>19709161</v>
      </c>
      <c r="AC585" s="326">
        <f t="shared" si="673"/>
        <v>1</v>
      </c>
    </row>
    <row r="586" spans="1:29" ht="14.25" x14ac:dyDescent="0.2">
      <c r="B586" s="318" t="s">
        <v>1575</v>
      </c>
      <c r="C586" s="319" t="s">
        <v>1576</v>
      </c>
      <c r="D586" s="279">
        <f>+D587</f>
        <v>0</v>
      </c>
      <c r="E586" s="322">
        <f>SUM('ADICIONES  2021'!C586:N586)</f>
        <v>40452895.149999999</v>
      </c>
      <c r="F586" s="279">
        <f t="shared" ref="F586:J587" si="805">+F587</f>
        <v>0</v>
      </c>
      <c r="G586" s="279">
        <f t="shared" si="805"/>
        <v>0</v>
      </c>
      <c r="H586" s="279">
        <f t="shared" si="805"/>
        <v>0</v>
      </c>
      <c r="I586" s="279">
        <f t="shared" si="805"/>
        <v>0</v>
      </c>
      <c r="J586" s="279">
        <f t="shared" si="805"/>
        <v>0</v>
      </c>
      <c r="K586" s="276">
        <f t="shared" si="650"/>
        <v>40452895.149999999</v>
      </c>
      <c r="L586" s="279">
        <f t="shared" ref="L586:Q587" si="806">+L587</f>
        <v>0</v>
      </c>
      <c r="M586" s="279">
        <f t="shared" si="806"/>
        <v>0</v>
      </c>
      <c r="N586" s="279">
        <f t="shared" si="806"/>
        <v>0</v>
      </c>
      <c r="O586" s="279">
        <f t="shared" si="806"/>
        <v>0</v>
      </c>
      <c r="P586" s="279">
        <f t="shared" si="806"/>
        <v>40452895.149999999</v>
      </c>
      <c r="Q586" s="279">
        <f t="shared" si="806"/>
        <v>0</v>
      </c>
      <c r="R586" s="276">
        <f t="shared" si="773"/>
        <v>40452895.149999999</v>
      </c>
      <c r="S586" s="279">
        <f t="shared" ref="S586:Z587" si="807">+S587</f>
        <v>0</v>
      </c>
      <c r="T586" s="279">
        <f t="shared" si="807"/>
        <v>0</v>
      </c>
      <c r="U586" s="279">
        <f t="shared" si="807"/>
        <v>0</v>
      </c>
      <c r="V586" s="279">
        <f t="shared" si="807"/>
        <v>0</v>
      </c>
      <c r="W586" s="279">
        <f t="shared" si="807"/>
        <v>0</v>
      </c>
      <c r="X586" s="279">
        <f t="shared" si="807"/>
        <v>0</v>
      </c>
      <c r="Y586" s="279">
        <f t="shared" si="807"/>
        <v>0</v>
      </c>
      <c r="Z586" s="279">
        <f t="shared" si="807"/>
        <v>0</v>
      </c>
      <c r="AA586" s="276">
        <f t="shared" si="780"/>
        <v>0</v>
      </c>
      <c r="AB586" s="402">
        <f t="shared" si="655"/>
        <v>40452895.149999999</v>
      </c>
      <c r="AC586" s="321">
        <f t="shared" si="673"/>
        <v>1</v>
      </c>
    </row>
    <row r="587" spans="1:29" ht="25.5" x14ac:dyDescent="0.2">
      <c r="B587" s="318" t="s">
        <v>1577</v>
      </c>
      <c r="C587" s="319" t="s">
        <v>1578</v>
      </c>
      <c r="D587" s="279">
        <f>+D588</f>
        <v>0</v>
      </c>
      <c r="E587" s="322">
        <f>SUM('ADICIONES  2021'!C587:N587)</f>
        <v>40452895.149999999</v>
      </c>
      <c r="F587" s="279">
        <f t="shared" si="805"/>
        <v>0</v>
      </c>
      <c r="G587" s="279">
        <f t="shared" si="805"/>
        <v>0</v>
      </c>
      <c r="H587" s="279">
        <f t="shared" si="805"/>
        <v>0</v>
      </c>
      <c r="I587" s="279">
        <f t="shared" si="805"/>
        <v>0</v>
      </c>
      <c r="J587" s="279">
        <f t="shared" si="805"/>
        <v>0</v>
      </c>
      <c r="K587" s="281">
        <f t="shared" si="650"/>
        <v>40452895.149999999</v>
      </c>
      <c r="L587" s="279">
        <f t="shared" si="806"/>
        <v>0</v>
      </c>
      <c r="M587" s="279">
        <f t="shared" si="806"/>
        <v>0</v>
      </c>
      <c r="N587" s="279">
        <f t="shared" si="806"/>
        <v>0</v>
      </c>
      <c r="O587" s="279">
        <f t="shared" si="806"/>
        <v>0</v>
      </c>
      <c r="P587" s="279">
        <f t="shared" si="806"/>
        <v>40452895.149999999</v>
      </c>
      <c r="Q587" s="279">
        <f t="shared" si="806"/>
        <v>0</v>
      </c>
      <c r="R587" s="281">
        <f t="shared" si="773"/>
        <v>40452895.149999999</v>
      </c>
      <c r="S587" s="279">
        <f t="shared" si="807"/>
        <v>0</v>
      </c>
      <c r="T587" s="279">
        <f t="shared" si="807"/>
        <v>0</v>
      </c>
      <c r="U587" s="279">
        <f t="shared" si="807"/>
        <v>0</v>
      </c>
      <c r="V587" s="279">
        <f t="shared" si="807"/>
        <v>0</v>
      </c>
      <c r="W587" s="279">
        <f t="shared" si="807"/>
        <v>0</v>
      </c>
      <c r="X587" s="279">
        <f t="shared" si="807"/>
        <v>0</v>
      </c>
      <c r="Y587" s="279">
        <f t="shared" si="807"/>
        <v>0</v>
      </c>
      <c r="Z587" s="279">
        <f t="shared" si="807"/>
        <v>0</v>
      </c>
      <c r="AA587" s="276">
        <f t="shared" si="780"/>
        <v>0</v>
      </c>
      <c r="AB587" s="402">
        <f t="shared" si="655"/>
        <v>40452895.149999999</v>
      </c>
      <c r="AC587" s="321">
        <f t="shared" si="673"/>
        <v>1</v>
      </c>
    </row>
    <row r="588" spans="1:29" ht="25.5" x14ac:dyDescent="0.2">
      <c r="B588" s="323" t="s">
        <v>1579</v>
      </c>
      <c r="C588" s="206" t="s">
        <v>1578</v>
      </c>
      <c r="D588" s="277"/>
      <c r="E588" s="325">
        <f>SUM('ADICIONES  2021'!C588:N588)</f>
        <v>40452895.149999999</v>
      </c>
      <c r="F588" s="277"/>
      <c r="G588" s="277"/>
      <c r="H588" s="277"/>
      <c r="I588" s="277"/>
      <c r="J588" s="277"/>
      <c r="K588" s="281">
        <f t="shared" si="650"/>
        <v>40452895.149999999</v>
      </c>
      <c r="L588" s="277"/>
      <c r="M588" s="277"/>
      <c r="N588" s="277"/>
      <c r="O588" s="277"/>
      <c r="P588" s="277">
        <v>40452895.149999999</v>
      </c>
      <c r="Q588" s="277"/>
      <c r="R588" s="281">
        <f t="shared" si="773"/>
        <v>40452895.149999999</v>
      </c>
      <c r="S588" s="277"/>
      <c r="T588" s="277"/>
      <c r="U588" s="277"/>
      <c r="V588" s="277"/>
      <c r="W588" s="277"/>
      <c r="X588" s="277"/>
      <c r="Y588" s="277"/>
      <c r="Z588" s="277"/>
      <c r="AA588" s="281">
        <f t="shared" si="780"/>
        <v>0</v>
      </c>
      <c r="AB588" s="403">
        <f t="shared" si="655"/>
        <v>40452895.149999999</v>
      </c>
      <c r="AC588" s="326">
        <f t="shared" si="673"/>
        <v>1</v>
      </c>
    </row>
    <row r="589" spans="1:29" ht="14.25" x14ac:dyDescent="0.2">
      <c r="B589" s="318" t="s">
        <v>1580</v>
      </c>
      <c r="C589" s="319" t="s">
        <v>1581</v>
      </c>
      <c r="D589" s="279">
        <f>SUM(D590:D591)</f>
        <v>0</v>
      </c>
      <c r="E589" s="322">
        <f>SUM('ADICIONES  2021'!C589:N589)</f>
        <v>1688537021.8899999</v>
      </c>
      <c r="F589" s="279">
        <f>SUM(F590:F591)</f>
        <v>0</v>
      </c>
      <c r="G589" s="279">
        <f>SUM(G590:G591)</f>
        <v>0</v>
      </c>
      <c r="H589" s="279">
        <f>SUM(H590:H591)</f>
        <v>0</v>
      </c>
      <c r="I589" s="279">
        <f>SUM(I590:I591)</f>
        <v>0</v>
      </c>
      <c r="J589" s="279">
        <f>SUM(J590:J591)</f>
        <v>0</v>
      </c>
      <c r="K589" s="281">
        <f t="shared" si="650"/>
        <v>1688537021.8899999</v>
      </c>
      <c r="L589" s="279">
        <f t="shared" ref="L589:Q589" si="808">SUM(L590:L591)</f>
        <v>0</v>
      </c>
      <c r="M589" s="279">
        <f t="shared" si="808"/>
        <v>0</v>
      </c>
      <c r="N589" s="279">
        <f t="shared" si="808"/>
        <v>0</v>
      </c>
      <c r="O589" s="279">
        <f t="shared" si="808"/>
        <v>0</v>
      </c>
      <c r="P589" s="279">
        <f t="shared" si="808"/>
        <v>0</v>
      </c>
      <c r="Q589" s="279">
        <f t="shared" si="808"/>
        <v>0</v>
      </c>
      <c r="R589" s="281">
        <f t="shared" si="773"/>
        <v>0</v>
      </c>
      <c r="S589" s="279">
        <f t="shared" ref="S589:Z589" si="809">SUM(S590:S591)</f>
        <v>0</v>
      </c>
      <c r="T589" s="279">
        <f t="shared" si="809"/>
        <v>0</v>
      </c>
      <c r="U589" s="279">
        <f t="shared" si="809"/>
        <v>0</v>
      </c>
      <c r="V589" s="279">
        <f t="shared" si="809"/>
        <v>0</v>
      </c>
      <c r="W589" s="279">
        <f t="shared" si="809"/>
        <v>731924064</v>
      </c>
      <c r="X589" s="279">
        <f t="shared" si="809"/>
        <v>956612957.88999999</v>
      </c>
      <c r="Y589" s="279">
        <f t="shared" si="809"/>
        <v>0</v>
      </c>
      <c r="Z589" s="279">
        <f t="shared" si="809"/>
        <v>0</v>
      </c>
      <c r="AA589" s="281">
        <f t="shared" si="780"/>
        <v>1688537021.8899999</v>
      </c>
      <c r="AB589" s="403">
        <f t="shared" si="655"/>
        <v>1688537021.8899999</v>
      </c>
      <c r="AC589" s="326">
        <f t="shared" si="673"/>
        <v>1</v>
      </c>
    </row>
    <row r="590" spans="1:29" ht="38.25" x14ac:dyDescent="0.2">
      <c r="B590" s="323" t="s">
        <v>1582</v>
      </c>
      <c r="C590" s="206" t="s">
        <v>1583</v>
      </c>
      <c r="D590" s="277"/>
      <c r="E590" s="325">
        <f>SUM('ADICIONES  2021'!C590:N590)</f>
        <v>619767114</v>
      </c>
      <c r="F590" s="277"/>
      <c r="G590" s="277"/>
      <c r="H590" s="277"/>
      <c r="I590" s="277"/>
      <c r="J590" s="277"/>
      <c r="K590" s="281">
        <f t="shared" si="650"/>
        <v>619767114</v>
      </c>
      <c r="L590" s="277"/>
      <c r="M590" s="277"/>
      <c r="N590" s="277"/>
      <c r="O590" s="277"/>
      <c r="P590" s="277"/>
      <c r="Q590" s="277"/>
      <c r="R590" s="281">
        <f t="shared" si="773"/>
        <v>0</v>
      </c>
      <c r="S590" s="277"/>
      <c r="T590" s="277"/>
      <c r="U590" s="277"/>
      <c r="V590" s="277"/>
      <c r="W590" s="277">
        <v>619767114</v>
      </c>
      <c r="X590" s="277"/>
      <c r="Y590" s="277"/>
      <c r="Z590" s="277"/>
      <c r="AA590" s="281">
        <f t="shared" si="780"/>
        <v>619767114</v>
      </c>
      <c r="AB590" s="403">
        <f t="shared" si="655"/>
        <v>619767114</v>
      </c>
      <c r="AC590" s="326">
        <f t="shared" si="673"/>
        <v>1</v>
      </c>
    </row>
    <row r="591" spans="1:29" ht="25.5" x14ac:dyDescent="0.2">
      <c r="B591" s="323" t="s">
        <v>1584</v>
      </c>
      <c r="C591" s="206" t="s">
        <v>1585</v>
      </c>
      <c r="D591" s="277"/>
      <c r="E591" s="325">
        <f>SUM('ADICIONES  2021'!C591:N591)</f>
        <v>1068769907.89</v>
      </c>
      <c r="F591" s="277"/>
      <c r="G591" s="277"/>
      <c r="H591" s="277"/>
      <c r="I591" s="277"/>
      <c r="J591" s="277"/>
      <c r="K591" s="281">
        <f t="shared" si="650"/>
        <v>1068769907.89</v>
      </c>
      <c r="L591" s="277"/>
      <c r="M591" s="277"/>
      <c r="N591" s="277"/>
      <c r="O591" s="277"/>
      <c r="P591" s="277"/>
      <c r="Q591" s="277"/>
      <c r="R591" s="281">
        <f t="shared" si="773"/>
        <v>0</v>
      </c>
      <c r="S591" s="277"/>
      <c r="T591" s="277"/>
      <c r="U591" s="277"/>
      <c r="V591" s="277"/>
      <c r="W591" s="277">
        <v>112156950</v>
      </c>
      <c r="X591" s="277">
        <v>956612957.88999999</v>
      </c>
      <c r="Y591" s="277"/>
      <c r="Z591" s="277"/>
      <c r="AA591" s="281">
        <f t="shared" si="780"/>
        <v>1068769907.89</v>
      </c>
      <c r="AB591" s="403">
        <f t="shared" si="655"/>
        <v>1068769907.89</v>
      </c>
      <c r="AC591" s="326">
        <f t="shared" si="673"/>
        <v>1</v>
      </c>
    </row>
    <row r="592" spans="1:29" s="61" customFormat="1" ht="25.5" x14ac:dyDescent="0.2">
      <c r="A592" s="421"/>
      <c r="B592" s="318" t="s">
        <v>1858</v>
      </c>
      <c r="C592" s="319" t="s">
        <v>1859</v>
      </c>
      <c r="D592" s="279">
        <f>+D593</f>
        <v>0</v>
      </c>
      <c r="E592" s="322">
        <f>SUM('ADICIONES  2021'!C592:N592)</f>
        <v>369302179</v>
      </c>
      <c r="F592" s="279">
        <f t="shared" ref="F592:J592" si="810">+F593</f>
        <v>0</v>
      </c>
      <c r="G592" s="279">
        <f t="shared" si="810"/>
        <v>0</v>
      </c>
      <c r="H592" s="279">
        <f t="shared" si="810"/>
        <v>0</v>
      </c>
      <c r="I592" s="279">
        <f t="shared" si="810"/>
        <v>0</v>
      </c>
      <c r="J592" s="279">
        <f t="shared" si="810"/>
        <v>0</v>
      </c>
      <c r="K592" s="281">
        <f t="shared" si="650"/>
        <v>369302179</v>
      </c>
      <c r="L592" s="279">
        <f t="shared" ref="L592:Q592" si="811">+L593</f>
        <v>0</v>
      </c>
      <c r="M592" s="279">
        <f t="shared" si="811"/>
        <v>0</v>
      </c>
      <c r="N592" s="279">
        <f t="shared" si="811"/>
        <v>0</v>
      </c>
      <c r="O592" s="279">
        <f t="shared" si="811"/>
        <v>0</v>
      </c>
      <c r="P592" s="279">
        <f t="shared" si="811"/>
        <v>0</v>
      </c>
      <c r="Q592" s="279">
        <f t="shared" si="811"/>
        <v>0</v>
      </c>
      <c r="R592" s="281">
        <f t="shared" si="773"/>
        <v>0</v>
      </c>
      <c r="S592" s="279">
        <f t="shared" ref="S592:Z592" si="812">+S593</f>
        <v>0</v>
      </c>
      <c r="T592" s="279">
        <f t="shared" si="812"/>
        <v>369302179</v>
      </c>
      <c r="U592" s="279">
        <f t="shared" si="812"/>
        <v>0</v>
      </c>
      <c r="V592" s="279">
        <f t="shared" si="812"/>
        <v>0</v>
      </c>
      <c r="W592" s="279">
        <f t="shared" si="812"/>
        <v>0</v>
      </c>
      <c r="X592" s="279">
        <f t="shared" si="812"/>
        <v>0</v>
      </c>
      <c r="Y592" s="279">
        <f t="shared" si="812"/>
        <v>0</v>
      </c>
      <c r="Z592" s="279">
        <f t="shared" si="812"/>
        <v>0</v>
      </c>
      <c r="AA592" s="281">
        <f t="shared" si="780"/>
        <v>369302179</v>
      </c>
      <c r="AB592" s="403">
        <f t="shared" si="655"/>
        <v>369302179</v>
      </c>
      <c r="AC592" s="326">
        <f t="shared" si="673"/>
        <v>1</v>
      </c>
    </row>
    <row r="593" spans="1:29" ht="14.25" x14ac:dyDescent="0.2">
      <c r="B593" s="323" t="s">
        <v>1860</v>
      </c>
      <c r="C593" s="206" t="s">
        <v>1861</v>
      </c>
      <c r="D593" s="277"/>
      <c r="E593" s="325">
        <f>SUM('ADICIONES  2021'!C593:N593)</f>
        <v>369302179</v>
      </c>
      <c r="F593" s="277"/>
      <c r="G593" s="277"/>
      <c r="H593" s="277"/>
      <c r="I593" s="277"/>
      <c r="J593" s="277"/>
      <c r="K593" s="281">
        <f t="shared" si="650"/>
        <v>369302179</v>
      </c>
      <c r="L593" s="277"/>
      <c r="M593" s="277"/>
      <c r="N593" s="277"/>
      <c r="O593" s="277"/>
      <c r="P593" s="277"/>
      <c r="Q593" s="277"/>
      <c r="R593" s="281">
        <f t="shared" si="773"/>
        <v>0</v>
      </c>
      <c r="S593" s="277"/>
      <c r="T593" s="277">
        <v>369302179</v>
      </c>
      <c r="U593" s="277"/>
      <c r="V593" s="277"/>
      <c r="W593" s="277"/>
      <c r="X593" s="277"/>
      <c r="Y593" s="277"/>
      <c r="Z593" s="277"/>
      <c r="AA593" s="281">
        <f t="shared" si="780"/>
        <v>369302179</v>
      </c>
      <c r="AB593" s="403">
        <f t="shared" si="655"/>
        <v>369302179</v>
      </c>
      <c r="AC593" s="326">
        <f t="shared" si="673"/>
        <v>1</v>
      </c>
    </row>
    <row r="594" spans="1:29" s="61" customFormat="1" ht="25.5" x14ac:dyDescent="0.2">
      <c r="A594" s="421"/>
      <c r="B594" s="318" t="s">
        <v>1882</v>
      </c>
      <c r="C594" s="319" t="s">
        <v>1883</v>
      </c>
      <c r="D594" s="279">
        <f>SUM(D595:D596)</f>
        <v>0</v>
      </c>
      <c r="E594" s="322">
        <f>SUM('ADICIONES  2021'!C594:N594)</f>
        <v>966792170.46000004</v>
      </c>
      <c r="F594" s="279">
        <f t="shared" ref="F594:J594" si="813">SUM(F595:F596)</f>
        <v>0</v>
      </c>
      <c r="G594" s="279">
        <f t="shared" si="813"/>
        <v>0</v>
      </c>
      <c r="H594" s="279">
        <f t="shared" si="813"/>
        <v>0</v>
      </c>
      <c r="I594" s="279">
        <f t="shared" si="813"/>
        <v>0</v>
      </c>
      <c r="J594" s="279">
        <f t="shared" si="813"/>
        <v>0</v>
      </c>
      <c r="K594" s="276">
        <f t="shared" si="650"/>
        <v>966792170.46000004</v>
      </c>
      <c r="L594" s="279">
        <f t="shared" ref="L594:Q594" si="814">SUM(L595:L596)</f>
        <v>0</v>
      </c>
      <c r="M594" s="279">
        <f t="shared" si="814"/>
        <v>0</v>
      </c>
      <c r="N594" s="279">
        <f t="shared" si="814"/>
        <v>0</v>
      </c>
      <c r="O594" s="279">
        <f t="shared" si="814"/>
        <v>0</v>
      </c>
      <c r="P594" s="279">
        <f t="shared" si="814"/>
        <v>0</v>
      </c>
      <c r="Q594" s="279">
        <f t="shared" si="814"/>
        <v>0</v>
      </c>
      <c r="R594" s="276">
        <f t="shared" si="773"/>
        <v>0</v>
      </c>
      <c r="S594" s="279">
        <f t="shared" ref="S594:Z594" si="815">SUM(S595:S596)</f>
        <v>0</v>
      </c>
      <c r="T594" s="279">
        <f t="shared" si="815"/>
        <v>0</v>
      </c>
      <c r="U594" s="279">
        <f t="shared" si="815"/>
        <v>0</v>
      </c>
      <c r="V594" s="279">
        <f t="shared" si="815"/>
        <v>0</v>
      </c>
      <c r="W594" s="279">
        <f t="shared" si="815"/>
        <v>966792170.46000004</v>
      </c>
      <c r="X594" s="279">
        <f t="shared" si="815"/>
        <v>0</v>
      </c>
      <c r="Y594" s="279">
        <f t="shared" si="815"/>
        <v>0</v>
      </c>
      <c r="Z594" s="279">
        <f t="shared" si="815"/>
        <v>0</v>
      </c>
      <c r="AA594" s="276">
        <f t="shared" ref="AA594:AA604" si="816">SUM(S594:Z594)</f>
        <v>966792170.46000004</v>
      </c>
      <c r="AB594" s="402">
        <f t="shared" si="655"/>
        <v>966792170.46000004</v>
      </c>
      <c r="AC594" s="321">
        <f t="shared" si="673"/>
        <v>1</v>
      </c>
    </row>
    <row r="595" spans="1:29" ht="25.5" x14ac:dyDescent="0.2">
      <c r="B595" s="323" t="s">
        <v>1862</v>
      </c>
      <c r="C595" s="206" t="s">
        <v>1863</v>
      </c>
      <c r="D595" s="277"/>
      <c r="E595" s="325">
        <f>SUM('ADICIONES  2021'!C595:N595)</f>
        <v>966707087.46000004</v>
      </c>
      <c r="F595" s="277"/>
      <c r="G595" s="277"/>
      <c r="H595" s="277"/>
      <c r="I595" s="277"/>
      <c r="J595" s="277"/>
      <c r="K595" s="281">
        <f t="shared" si="650"/>
        <v>966707087.46000004</v>
      </c>
      <c r="L595" s="277"/>
      <c r="M595" s="277"/>
      <c r="N595" s="277"/>
      <c r="O595" s="277"/>
      <c r="P595" s="277"/>
      <c r="Q595" s="277"/>
      <c r="R595" s="281">
        <f t="shared" si="773"/>
        <v>0</v>
      </c>
      <c r="S595" s="277"/>
      <c r="T595" s="277"/>
      <c r="U595" s="277"/>
      <c r="V595" s="277"/>
      <c r="W595" s="277">
        <v>966707087.46000004</v>
      </c>
      <c r="X595" s="277"/>
      <c r="Y595" s="277"/>
      <c r="Z595" s="277"/>
      <c r="AA595" s="281">
        <f t="shared" si="816"/>
        <v>966707087.46000004</v>
      </c>
      <c r="AB595" s="403">
        <f t="shared" si="655"/>
        <v>966707087.46000004</v>
      </c>
      <c r="AC595" s="326">
        <f t="shared" si="673"/>
        <v>1</v>
      </c>
    </row>
    <row r="596" spans="1:29" ht="25.5" x14ac:dyDescent="0.2">
      <c r="B596" s="323" t="s">
        <v>1864</v>
      </c>
      <c r="C596" s="206" t="s">
        <v>1865</v>
      </c>
      <c r="D596" s="277"/>
      <c r="E596" s="325">
        <f>SUM('ADICIONES  2021'!C596:N596)</f>
        <v>85083</v>
      </c>
      <c r="F596" s="277"/>
      <c r="G596" s="277"/>
      <c r="H596" s="277"/>
      <c r="I596" s="277"/>
      <c r="J596" s="277"/>
      <c r="K596" s="281">
        <f t="shared" si="650"/>
        <v>85083</v>
      </c>
      <c r="L596" s="277"/>
      <c r="M596" s="277"/>
      <c r="N596" s="277"/>
      <c r="O596" s="277"/>
      <c r="P596" s="277"/>
      <c r="Q596" s="277"/>
      <c r="R596" s="281">
        <f t="shared" si="773"/>
        <v>0</v>
      </c>
      <c r="S596" s="277"/>
      <c r="T596" s="277"/>
      <c r="U596" s="277"/>
      <c r="V596" s="277"/>
      <c r="W596" s="277">
        <v>85083</v>
      </c>
      <c r="X596" s="277"/>
      <c r="Y596" s="277"/>
      <c r="Z596" s="277"/>
      <c r="AA596" s="281">
        <f t="shared" si="816"/>
        <v>85083</v>
      </c>
      <c r="AB596" s="403">
        <f t="shared" si="655"/>
        <v>85083</v>
      </c>
      <c r="AC596" s="326">
        <f t="shared" si="673"/>
        <v>1</v>
      </c>
    </row>
    <row r="597" spans="1:29" s="61" customFormat="1" ht="25.5" x14ac:dyDescent="0.2">
      <c r="A597" s="421"/>
      <c r="B597" s="318" t="s">
        <v>1884</v>
      </c>
      <c r="C597" s="319" t="s">
        <v>1867</v>
      </c>
      <c r="D597" s="279">
        <f>SUM(D598)</f>
        <v>0</v>
      </c>
      <c r="E597" s="322">
        <f>SUM('ADICIONES  2021'!C597:N597)</f>
        <v>59424.45</v>
      </c>
      <c r="F597" s="279">
        <f t="shared" ref="F597:J597" si="817">SUM(F598)</f>
        <v>0</v>
      </c>
      <c r="G597" s="279">
        <f t="shared" si="817"/>
        <v>0</v>
      </c>
      <c r="H597" s="279">
        <f t="shared" si="817"/>
        <v>0</v>
      </c>
      <c r="I597" s="279">
        <f t="shared" si="817"/>
        <v>0</v>
      </c>
      <c r="J597" s="279">
        <f t="shared" si="817"/>
        <v>0</v>
      </c>
      <c r="K597" s="276">
        <f t="shared" si="650"/>
        <v>59424.45</v>
      </c>
      <c r="L597" s="279">
        <f t="shared" ref="L597:Q597" si="818">SUM(L598)</f>
        <v>0</v>
      </c>
      <c r="M597" s="279">
        <f t="shared" si="818"/>
        <v>0</v>
      </c>
      <c r="N597" s="279">
        <f t="shared" si="818"/>
        <v>0</v>
      </c>
      <c r="O597" s="279">
        <f t="shared" si="818"/>
        <v>0</v>
      </c>
      <c r="P597" s="279">
        <f t="shared" si="818"/>
        <v>0</v>
      </c>
      <c r="Q597" s="279">
        <f t="shared" si="818"/>
        <v>0</v>
      </c>
      <c r="R597" s="276">
        <f t="shared" si="773"/>
        <v>0</v>
      </c>
      <c r="S597" s="279">
        <f t="shared" ref="S597:Z597" si="819">SUM(S598)</f>
        <v>0</v>
      </c>
      <c r="T597" s="279">
        <f t="shared" si="819"/>
        <v>0</v>
      </c>
      <c r="U597" s="279">
        <f t="shared" si="819"/>
        <v>0</v>
      </c>
      <c r="V597" s="279">
        <f t="shared" si="819"/>
        <v>0</v>
      </c>
      <c r="W597" s="279">
        <f t="shared" si="819"/>
        <v>59424.45</v>
      </c>
      <c r="X597" s="279">
        <f t="shared" si="819"/>
        <v>0</v>
      </c>
      <c r="Y597" s="279">
        <f t="shared" si="819"/>
        <v>0</v>
      </c>
      <c r="Z597" s="279">
        <f t="shared" si="819"/>
        <v>0</v>
      </c>
      <c r="AA597" s="276">
        <f t="shared" si="816"/>
        <v>59424.45</v>
      </c>
      <c r="AB597" s="402">
        <f t="shared" si="655"/>
        <v>59424.45</v>
      </c>
      <c r="AC597" s="321">
        <f t="shared" si="673"/>
        <v>1</v>
      </c>
    </row>
    <row r="598" spans="1:29" ht="25.5" x14ac:dyDescent="0.2">
      <c r="B598" s="323" t="s">
        <v>1866</v>
      </c>
      <c r="C598" s="206" t="s">
        <v>1867</v>
      </c>
      <c r="D598" s="277"/>
      <c r="E598" s="325">
        <f>SUM('ADICIONES  2021'!C598:N598)</f>
        <v>59424.45</v>
      </c>
      <c r="F598" s="277"/>
      <c r="G598" s="277"/>
      <c r="H598" s="277"/>
      <c r="I598" s="277"/>
      <c r="J598" s="277"/>
      <c r="K598" s="281">
        <f t="shared" si="650"/>
        <v>59424.45</v>
      </c>
      <c r="L598" s="277"/>
      <c r="M598" s="277"/>
      <c r="N598" s="277"/>
      <c r="O598" s="277"/>
      <c r="P598" s="277"/>
      <c r="Q598" s="277"/>
      <c r="R598" s="281">
        <f t="shared" si="773"/>
        <v>0</v>
      </c>
      <c r="S598" s="277"/>
      <c r="T598" s="277"/>
      <c r="U598" s="277"/>
      <c r="V598" s="277"/>
      <c r="W598" s="277">
        <v>59424.45</v>
      </c>
      <c r="X598" s="277"/>
      <c r="Y598" s="277"/>
      <c r="Z598" s="277"/>
      <c r="AA598" s="281">
        <f t="shared" si="816"/>
        <v>59424.45</v>
      </c>
      <c r="AB598" s="403">
        <f t="shared" si="655"/>
        <v>59424.45</v>
      </c>
      <c r="AC598" s="326">
        <f t="shared" si="673"/>
        <v>1</v>
      </c>
    </row>
    <row r="599" spans="1:29" s="61" customFormat="1" ht="25.5" x14ac:dyDescent="0.2">
      <c r="A599" s="421"/>
      <c r="B599" s="318" t="s">
        <v>1885</v>
      </c>
      <c r="C599" s="319" t="s">
        <v>1867</v>
      </c>
      <c r="D599" s="279">
        <f>SUM(D600)</f>
        <v>0</v>
      </c>
      <c r="E599" s="322">
        <f>SUM('ADICIONES  2021'!C599:N599)</f>
        <v>18213</v>
      </c>
      <c r="F599" s="279">
        <f t="shared" ref="F599:J599" si="820">SUM(F600)</f>
        <v>0</v>
      </c>
      <c r="G599" s="279">
        <f t="shared" si="820"/>
        <v>0</v>
      </c>
      <c r="H599" s="279">
        <f t="shared" si="820"/>
        <v>0</v>
      </c>
      <c r="I599" s="279">
        <f t="shared" si="820"/>
        <v>0</v>
      </c>
      <c r="J599" s="279">
        <f t="shared" si="820"/>
        <v>0</v>
      </c>
      <c r="K599" s="276">
        <f t="shared" si="650"/>
        <v>18213</v>
      </c>
      <c r="L599" s="279">
        <f t="shared" ref="L599:Q599" si="821">SUM(L600)</f>
        <v>0</v>
      </c>
      <c r="M599" s="279">
        <f t="shared" si="821"/>
        <v>0</v>
      </c>
      <c r="N599" s="279">
        <f t="shared" si="821"/>
        <v>0</v>
      </c>
      <c r="O599" s="279">
        <f t="shared" si="821"/>
        <v>0</v>
      </c>
      <c r="P599" s="279">
        <f t="shared" si="821"/>
        <v>0</v>
      </c>
      <c r="Q599" s="279">
        <f t="shared" si="821"/>
        <v>0</v>
      </c>
      <c r="R599" s="276">
        <f t="shared" si="773"/>
        <v>0</v>
      </c>
      <c r="S599" s="279">
        <f t="shared" ref="S599:Z599" si="822">SUM(S600)</f>
        <v>0</v>
      </c>
      <c r="T599" s="279">
        <f t="shared" si="822"/>
        <v>0</v>
      </c>
      <c r="U599" s="279">
        <f t="shared" si="822"/>
        <v>0</v>
      </c>
      <c r="V599" s="279">
        <f t="shared" si="822"/>
        <v>0</v>
      </c>
      <c r="W599" s="279">
        <f t="shared" si="822"/>
        <v>18213</v>
      </c>
      <c r="X599" s="279">
        <f t="shared" si="822"/>
        <v>0</v>
      </c>
      <c r="Y599" s="279">
        <f t="shared" si="822"/>
        <v>0</v>
      </c>
      <c r="Z599" s="279">
        <f t="shared" si="822"/>
        <v>0</v>
      </c>
      <c r="AA599" s="276">
        <f t="shared" si="816"/>
        <v>18213</v>
      </c>
      <c r="AB599" s="402">
        <f t="shared" si="655"/>
        <v>18213</v>
      </c>
      <c r="AC599" s="321">
        <f t="shared" si="673"/>
        <v>1</v>
      </c>
    </row>
    <row r="600" spans="1:29" ht="25.5" x14ac:dyDescent="0.2">
      <c r="B600" s="323" t="s">
        <v>1868</v>
      </c>
      <c r="C600" s="206" t="s">
        <v>1869</v>
      </c>
      <c r="D600" s="277"/>
      <c r="E600" s="325">
        <f>SUM('ADICIONES  2021'!C600:N600)</f>
        <v>18213</v>
      </c>
      <c r="F600" s="277"/>
      <c r="G600" s="277"/>
      <c r="H600" s="277"/>
      <c r="I600" s="277"/>
      <c r="J600" s="277"/>
      <c r="K600" s="281">
        <f t="shared" si="650"/>
        <v>18213</v>
      </c>
      <c r="L600" s="277"/>
      <c r="M600" s="277"/>
      <c r="N600" s="277"/>
      <c r="O600" s="277"/>
      <c r="P600" s="277"/>
      <c r="Q600" s="277"/>
      <c r="R600" s="281">
        <f t="shared" si="773"/>
        <v>0</v>
      </c>
      <c r="S600" s="277"/>
      <c r="T600" s="277"/>
      <c r="U600" s="277"/>
      <c r="V600" s="277"/>
      <c r="W600" s="277">
        <v>18213</v>
      </c>
      <c r="X600" s="277"/>
      <c r="Y600" s="277"/>
      <c r="Z600" s="277"/>
      <c r="AA600" s="281">
        <f t="shared" si="816"/>
        <v>18213</v>
      </c>
      <c r="AB600" s="403">
        <f t="shared" si="655"/>
        <v>18213</v>
      </c>
      <c r="AC600" s="326">
        <f t="shared" si="673"/>
        <v>1</v>
      </c>
    </row>
    <row r="601" spans="1:29" s="61" customFormat="1" ht="25.5" x14ac:dyDescent="0.2">
      <c r="A601" s="421"/>
      <c r="B601" s="318" t="s">
        <v>1886</v>
      </c>
      <c r="C601" s="319" t="s">
        <v>1871</v>
      </c>
      <c r="D601" s="279">
        <f>SUM(D602)</f>
        <v>0</v>
      </c>
      <c r="E601" s="322">
        <f>SUM('ADICIONES  2021'!C601:N601)</f>
        <v>53228.82</v>
      </c>
      <c r="F601" s="279">
        <f t="shared" ref="F601:J601" si="823">SUM(F602)</f>
        <v>0</v>
      </c>
      <c r="G601" s="279">
        <f t="shared" si="823"/>
        <v>0</v>
      </c>
      <c r="H601" s="279">
        <f t="shared" si="823"/>
        <v>0</v>
      </c>
      <c r="I601" s="279">
        <f t="shared" si="823"/>
        <v>0</v>
      </c>
      <c r="J601" s="279">
        <f t="shared" si="823"/>
        <v>0</v>
      </c>
      <c r="K601" s="276">
        <f t="shared" si="650"/>
        <v>53228.82</v>
      </c>
      <c r="L601" s="279">
        <f t="shared" ref="L601:Q601" si="824">SUM(L602)</f>
        <v>0</v>
      </c>
      <c r="M601" s="279">
        <f t="shared" si="824"/>
        <v>0</v>
      </c>
      <c r="N601" s="279">
        <f t="shared" si="824"/>
        <v>0</v>
      </c>
      <c r="O601" s="279">
        <f t="shared" si="824"/>
        <v>0</v>
      </c>
      <c r="P601" s="279">
        <f t="shared" si="824"/>
        <v>0</v>
      </c>
      <c r="Q601" s="279">
        <f t="shared" si="824"/>
        <v>0</v>
      </c>
      <c r="R601" s="276">
        <f t="shared" si="773"/>
        <v>0</v>
      </c>
      <c r="S601" s="279">
        <f t="shared" ref="S601:Z601" si="825">SUM(S602)</f>
        <v>0</v>
      </c>
      <c r="T601" s="279">
        <f t="shared" si="825"/>
        <v>0</v>
      </c>
      <c r="U601" s="279">
        <f t="shared" si="825"/>
        <v>0</v>
      </c>
      <c r="V601" s="279">
        <f t="shared" si="825"/>
        <v>0</v>
      </c>
      <c r="W601" s="279">
        <f t="shared" si="825"/>
        <v>53228.82</v>
      </c>
      <c r="X601" s="279">
        <f t="shared" si="825"/>
        <v>0</v>
      </c>
      <c r="Y601" s="279">
        <f t="shared" si="825"/>
        <v>0</v>
      </c>
      <c r="Z601" s="279">
        <f t="shared" si="825"/>
        <v>0</v>
      </c>
      <c r="AA601" s="276">
        <f t="shared" si="816"/>
        <v>53228.82</v>
      </c>
      <c r="AB601" s="402">
        <f t="shared" si="655"/>
        <v>53228.82</v>
      </c>
      <c r="AC601" s="321">
        <f t="shared" si="673"/>
        <v>1</v>
      </c>
    </row>
    <row r="602" spans="1:29" ht="25.5" x14ac:dyDescent="0.2">
      <c r="B602" s="323" t="s">
        <v>1870</v>
      </c>
      <c r="C602" s="206" t="s">
        <v>1871</v>
      </c>
      <c r="D602" s="277"/>
      <c r="E602" s="325">
        <f>SUM('ADICIONES  2021'!C602:N602)</f>
        <v>53228.82</v>
      </c>
      <c r="F602" s="277"/>
      <c r="G602" s="277"/>
      <c r="H602" s="277"/>
      <c r="I602" s="277"/>
      <c r="J602" s="277"/>
      <c r="K602" s="281">
        <f t="shared" si="650"/>
        <v>53228.82</v>
      </c>
      <c r="L602" s="277"/>
      <c r="M602" s="277"/>
      <c r="N602" s="277"/>
      <c r="O602" s="277"/>
      <c r="P602" s="277"/>
      <c r="Q602" s="277"/>
      <c r="R602" s="281">
        <f t="shared" si="773"/>
        <v>0</v>
      </c>
      <c r="S602" s="277"/>
      <c r="T602" s="277"/>
      <c r="U602" s="277"/>
      <c r="V602" s="277"/>
      <c r="W602" s="277">
        <v>53228.82</v>
      </c>
      <c r="X602" s="277"/>
      <c r="Y602" s="277"/>
      <c r="Z602" s="277"/>
      <c r="AA602" s="281">
        <f t="shared" si="816"/>
        <v>53228.82</v>
      </c>
      <c r="AB602" s="403">
        <f t="shared" si="655"/>
        <v>53228.82</v>
      </c>
      <c r="AC602" s="326">
        <f t="shared" si="673"/>
        <v>1</v>
      </c>
    </row>
    <row r="603" spans="1:29" s="61" customFormat="1" ht="38.25" x14ac:dyDescent="0.2">
      <c r="A603" s="421"/>
      <c r="B603" s="318" t="s">
        <v>1887</v>
      </c>
      <c r="C603" s="319" t="s">
        <v>1873</v>
      </c>
      <c r="D603" s="279">
        <f>SUM(D604)</f>
        <v>0</v>
      </c>
      <c r="E603" s="322">
        <f>SUM('ADICIONES  2021'!C603:N603)</f>
        <v>2883</v>
      </c>
      <c r="F603" s="279">
        <f t="shared" ref="F603:J603" si="826">SUM(F604)</f>
        <v>0</v>
      </c>
      <c r="G603" s="279">
        <f t="shared" si="826"/>
        <v>0</v>
      </c>
      <c r="H603" s="279">
        <f t="shared" si="826"/>
        <v>0</v>
      </c>
      <c r="I603" s="279">
        <f t="shared" si="826"/>
        <v>0</v>
      </c>
      <c r="J603" s="279">
        <f t="shared" si="826"/>
        <v>0</v>
      </c>
      <c r="K603" s="276">
        <f t="shared" si="650"/>
        <v>2883</v>
      </c>
      <c r="L603" s="279">
        <f t="shared" ref="L603:Q603" si="827">SUM(L604)</f>
        <v>0</v>
      </c>
      <c r="M603" s="279">
        <f t="shared" si="827"/>
        <v>0</v>
      </c>
      <c r="N603" s="279">
        <f t="shared" si="827"/>
        <v>0</v>
      </c>
      <c r="O603" s="279">
        <f t="shared" si="827"/>
        <v>0</v>
      </c>
      <c r="P603" s="279">
        <f t="shared" si="827"/>
        <v>0</v>
      </c>
      <c r="Q603" s="279">
        <f t="shared" si="827"/>
        <v>0</v>
      </c>
      <c r="R603" s="276">
        <f t="shared" si="773"/>
        <v>0</v>
      </c>
      <c r="S603" s="279">
        <f t="shared" ref="S603:Z603" si="828">SUM(S604)</f>
        <v>0</v>
      </c>
      <c r="T603" s="279">
        <f t="shared" si="828"/>
        <v>0</v>
      </c>
      <c r="U603" s="279">
        <f t="shared" si="828"/>
        <v>0</v>
      </c>
      <c r="V603" s="279">
        <f t="shared" si="828"/>
        <v>0</v>
      </c>
      <c r="W603" s="279">
        <f t="shared" si="828"/>
        <v>2883</v>
      </c>
      <c r="X603" s="279">
        <f t="shared" si="828"/>
        <v>0</v>
      </c>
      <c r="Y603" s="279">
        <f t="shared" si="828"/>
        <v>0</v>
      </c>
      <c r="Z603" s="279">
        <f t="shared" si="828"/>
        <v>0</v>
      </c>
      <c r="AA603" s="276">
        <f t="shared" si="816"/>
        <v>2883</v>
      </c>
      <c r="AB603" s="402">
        <f t="shared" si="655"/>
        <v>2883</v>
      </c>
      <c r="AC603" s="321">
        <f t="shared" si="673"/>
        <v>1</v>
      </c>
    </row>
    <row r="604" spans="1:29" ht="38.25" x14ac:dyDescent="0.2">
      <c r="B604" s="323" t="s">
        <v>1872</v>
      </c>
      <c r="C604" s="206" t="s">
        <v>1873</v>
      </c>
      <c r="D604" s="277"/>
      <c r="E604" s="325">
        <f>SUM('ADICIONES  2021'!C604:N604)</f>
        <v>2883</v>
      </c>
      <c r="F604" s="277"/>
      <c r="G604" s="277"/>
      <c r="H604" s="277"/>
      <c r="I604" s="277"/>
      <c r="J604" s="277"/>
      <c r="K604" s="281">
        <f t="shared" si="650"/>
        <v>2883</v>
      </c>
      <c r="L604" s="277"/>
      <c r="M604" s="277"/>
      <c r="N604" s="277"/>
      <c r="O604" s="277"/>
      <c r="P604" s="277"/>
      <c r="Q604" s="277"/>
      <c r="R604" s="281">
        <f t="shared" si="773"/>
        <v>0</v>
      </c>
      <c r="S604" s="277"/>
      <c r="T604" s="277"/>
      <c r="U604" s="277"/>
      <c r="V604" s="277"/>
      <c r="W604" s="277">
        <v>2883</v>
      </c>
      <c r="X604" s="277"/>
      <c r="Y604" s="277"/>
      <c r="Z604" s="277"/>
      <c r="AA604" s="281">
        <f t="shared" si="816"/>
        <v>2883</v>
      </c>
      <c r="AB604" s="403">
        <f t="shared" si="655"/>
        <v>2883</v>
      </c>
      <c r="AC604" s="326">
        <f t="shared" si="673"/>
        <v>1</v>
      </c>
    </row>
    <row r="605" spans="1:29" s="61" customFormat="1" ht="15.75" x14ac:dyDescent="0.2">
      <c r="A605" s="421">
        <v>1</v>
      </c>
      <c r="B605" s="318" t="s">
        <v>837</v>
      </c>
      <c r="C605" s="319" t="s">
        <v>838</v>
      </c>
      <c r="D605" s="283">
        <f>+D606+D609</f>
        <v>87617897000</v>
      </c>
      <c r="E605" s="322">
        <f>SUM('ADICIONES  2021'!C605:N605)</f>
        <v>0</v>
      </c>
      <c r="F605" s="275">
        <f t="shared" ref="F605:J605" si="829">+F606+F609</f>
        <v>0</v>
      </c>
      <c r="G605" s="275">
        <f t="shared" si="829"/>
        <v>0</v>
      </c>
      <c r="H605" s="275">
        <f t="shared" si="829"/>
        <v>0</v>
      </c>
      <c r="I605" s="275">
        <f t="shared" si="829"/>
        <v>0</v>
      </c>
      <c r="J605" s="275">
        <f t="shared" si="829"/>
        <v>0</v>
      </c>
      <c r="K605" s="276">
        <f t="shared" si="650"/>
        <v>87617897000</v>
      </c>
      <c r="L605" s="275">
        <f t="shared" ref="L605:Q605" si="830">+L606+L609</f>
        <v>0</v>
      </c>
      <c r="M605" s="275">
        <f t="shared" si="830"/>
        <v>0</v>
      </c>
      <c r="N605" s="275">
        <f t="shared" si="830"/>
        <v>0</v>
      </c>
      <c r="O605" s="275">
        <f t="shared" si="830"/>
        <v>0</v>
      </c>
      <c r="P605" s="275">
        <f t="shared" si="830"/>
        <v>0</v>
      </c>
      <c r="Q605" s="275">
        <f t="shared" si="830"/>
        <v>0</v>
      </c>
      <c r="R605" s="276">
        <f t="shared" si="653"/>
        <v>0</v>
      </c>
      <c r="S605" s="275">
        <f t="shared" ref="S605:Z605" si="831">+S606+S609</f>
        <v>0</v>
      </c>
      <c r="T605" s="275">
        <f t="shared" si="831"/>
        <v>0</v>
      </c>
      <c r="U605" s="275">
        <f t="shared" si="831"/>
        <v>24459095082.849998</v>
      </c>
      <c r="V605" s="275">
        <f t="shared" si="831"/>
        <v>0</v>
      </c>
      <c r="W605" s="275">
        <f t="shared" si="831"/>
        <v>13528682000</v>
      </c>
      <c r="X605" s="275">
        <f t="shared" si="831"/>
        <v>40754426958</v>
      </c>
      <c r="Y605" s="275">
        <f t="shared" si="831"/>
        <v>0</v>
      </c>
      <c r="Z605" s="275">
        <f t="shared" si="831"/>
        <v>0</v>
      </c>
      <c r="AA605" s="276">
        <f t="shared" si="600"/>
        <v>78742204040.850006</v>
      </c>
      <c r="AB605" s="402">
        <f t="shared" si="655"/>
        <v>78742204040.850006</v>
      </c>
      <c r="AC605" s="321">
        <f t="shared" si="673"/>
        <v>0.89870000007932171</v>
      </c>
    </row>
    <row r="606" spans="1:29" s="61" customFormat="1" ht="38.25" x14ac:dyDescent="0.2">
      <c r="A606" s="421"/>
      <c r="B606" s="318" t="s">
        <v>839</v>
      </c>
      <c r="C606" s="319" t="s">
        <v>840</v>
      </c>
      <c r="D606" s="283">
        <f>SUM(D607:D608)</f>
        <v>33000000000</v>
      </c>
      <c r="E606" s="322">
        <f>SUM('ADICIONES  2021'!C606:N606)</f>
        <v>0</v>
      </c>
      <c r="F606" s="275">
        <f t="shared" ref="F606:J606" si="832">SUM(F607:F608)</f>
        <v>0</v>
      </c>
      <c r="G606" s="275">
        <f t="shared" si="832"/>
        <v>0</v>
      </c>
      <c r="H606" s="275">
        <f t="shared" si="832"/>
        <v>0</v>
      </c>
      <c r="I606" s="275">
        <f t="shared" si="832"/>
        <v>0</v>
      </c>
      <c r="J606" s="275">
        <f t="shared" si="832"/>
        <v>0</v>
      </c>
      <c r="K606" s="276">
        <f t="shared" si="650"/>
        <v>33000000000</v>
      </c>
      <c r="L606" s="275">
        <f t="shared" ref="L606:Q606" si="833">SUM(L607:L608)</f>
        <v>0</v>
      </c>
      <c r="M606" s="275">
        <f t="shared" si="833"/>
        <v>0</v>
      </c>
      <c r="N606" s="275">
        <f t="shared" si="833"/>
        <v>0</v>
      </c>
      <c r="O606" s="275">
        <f t="shared" si="833"/>
        <v>0</v>
      </c>
      <c r="P606" s="275">
        <f t="shared" si="833"/>
        <v>0</v>
      </c>
      <c r="Q606" s="275">
        <f t="shared" si="833"/>
        <v>0</v>
      </c>
      <c r="R606" s="276">
        <f t="shared" si="653"/>
        <v>0</v>
      </c>
      <c r="S606" s="275">
        <f t="shared" ref="S606:Z606" si="834">SUM(S607:S608)</f>
        <v>0</v>
      </c>
      <c r="T606" s="275">
        <f t="shared" si="834"/>
        <v>0</v>
      </c>
      <c r="U606" s="275">
        <f t="shared" si="834"/>
        <v>0</v>
      </c>
      <c r="V606" s="275">
        <f t="shared" si="834"/>
        <v>0</v>
      </c>
      <c r="W606" s="275">
        <f t="shared" si="834"/>
        <v>13528682000</v>
      </c>
      <c r="X606" s="275">
        <f t="shared" si="834"/>
        <v>0</v>
      </c>
      <c r="Y606" s="275">
        <f t="shared" si="834"/>
        <v>0</v>
      </c>
      <c r="Z606" s="275">
        <f t="shared" si="834"/>
        <v>0</v>
      </c>
      <c r="AA606" s="276">
        <f t="shared" si="600"/>
        <v>13528682000</v>
      </c>
      <c r="AB606" s="402">
        <f t="shared" si="655"/>
        <v>13528682000</v>
      </c>
      <c r="AC606" s="321">
        <f t="shared" si="673"/>
        <v>0.40996006060606061</v>
      </c>
    </row>
    <row r="607" spans="1:29" ht="25.5" x14ac:dyDescent="0.2">
      <c r="B607" s="323" t="s">
        <v>841</v>
      </c>
      <c r="C607" s="206" t="s">
        <v>842</v>
      </c>
      <c r="D607" s="328">
        <v>30000000000</v>
      </c>
      <c r="E607" s="325">
        <f>SUM('ADICIONES  2021'!C607:N607)</f>
        <v>0</v>
      </c>
      <c r="F607" s="277"/>
      <c r="G607" s="277"/>
      <c r="H607" s="277"/>
      <c r="I607" s="277"/>
      <c r="J607" s="277"/>
      <c r="K607" s="281">
        <f t="shared" ref="K607:K816" si="835">+D607+E607-F607+G607-H607</f>
        <v>30000000000</v>
      </c>
      <c r="L607" s="277"/>
      <c r="M607" s="277"/>
      <c r="N607" s="277"/>
      <c r="O607" s="277"/>
      <c r="P607" s="277"/>
      <c r="Q607" s="277"/>
      <c r="R607" s="281">
        <f t="shared" si="653"/>
        <v>0</v>
      </c>
      <c r="S607" s="277"/>
      <c r="T607" s="277"/>
      <c r="U607" s="277"/>
      <c r="V607" s="277"/>
      <c r="W607" s="277">
        <v>13528682000</v>
      </c>
      <c r="X607" s="277"/>
      <c r="Y607" s="277"/>
      <c r="Z607" s="277"/>
      <c r="AA607" s="281">
        <f t="shared" ref="AA607:AA677" si="836">SUM(S607:Z607)</f>
        <v>13528682000</v>
      </c>
      <c r="AB607" s="403">
        <f t="shared" si="655"/>
        <v>13528682000</v>
      </c>
      <c r="AC607" s="326">
        <f t="shared" si="673"/>
        <v>0.45095606666666666</v>
      </c>
    </row>
    <row r="608" spans="1:29" ht="25.5" x14ac:dyDescent="0.2">
      <c r="B608" s="323" t="s">
        <v>843</v>
      </c>
      <c r="C608" s="206" t="s">
        <v>844</v>
      </c>
      <c r="D608" s="328">
        <v>3000000000</v>
      </c>
      <c r="E608" s="325">
        <f>SUM('ADICIONES  2021'!C608:N608)</f>
        <v>0</v>
      </c>
      <c r="F608" s="281"/>
      <c r="G608" s="281"/>
      <c r="H608" s="281"/>
      <c r="I608" s="281"/>
      <c r="J608" s="281"/>
      <c r="K608" s="281">
        <f t="shared" si="835"/>
        <v>3000000000</v>
      </c>
      <c r="L608" s="281"/>
      <c r="M608" s="281"/>
      <c r="N608" s="281"/>
      <c r="O608" s="281"/>
      <c r="P608" s="281"/>
      <c r="Q608" s="281"/>
      <c r="R608" s="281">
        <f t="shared" si="653"/>
        <v>0</v>
      </c>
      <c r="S608" s="281"/>
      <c r="T608" s="281"/>
      <c r="U608" s="281"/>
      <c r="V608" s="281"/>
      <c r="W608" s="281"/>
      <c r="X608" s="281"/>
      <c r="Y608" s="281"/>
      <c r="Z608" s="281"/>
      <c r="AA608" s="281">
        <f t="shared" si="836"/>
        <v>0</v>
      </c>
      <c r="AB608" s="403">
        <f t="shared" si="655"/>
        <v>0</v>
      </c>
      <c r="AC608" s="326">
        <v>0</v>
      </c>
    </row>
    <row r="609" spans="1:29" s="61" customFormat="1" ht="38.25" x14ac:dyDescent="0.2">
      <c r="A609" s="421"/>
      <c r="B609" s="318" t="s">
        <v>845</v>
      </c>
      <c r="C609" s="319" t="s">
        <v>846</v>
      </c>
      <c r="D609" s="283">
        <f>+D610</f>
        <v>54617897000</v>
      </c>
      <c r="E609" s="322">
        <f>SUM('ADICIONES  2021'!C609:N609)</f>
        <v>0</v>
      </c>
      <c r="F609" s="275">
        <f t="shared" ref="F609:J609" si="837">+F610</f>
        <v>0</v>
      </c>
      <c r="G609" s="275">
        <f t="shared" si="837"/>
        <v>0</v>
      </c>
      <c r="H609" s="275">
        <f t="shared" si="837"/>
        <v>0</v>
      </c>
      <c r="I609" s="275">
        <f t="shared" si="837"/>
        <v>0</v>
      </c>
      <c r="J609" s="275">
        <f t="shared" si="837"/>
        <v>0</v>
      </c>
      <c r="K609" s="276">
        <f t="shared" si="835"/>
        <v>54617897000</v>
      </c>
      <c r="L609" s="275">
        <f t="shared" ref="L609:Q609" si="838">+L610</f>
        <v>0</v>
      </c>
      <c r="M609" s="275">
        <f t="shared" si="838"/>
        <v>0</v>
      </c>
      <c r="N609" s="275">
        <f t="shared" si="838"/>
        <v>0</v>
      </c>
      <c r="O609" s="275">
        <f t="shared" si="838"/>
        <v>0</v>
      </c>
      <c r="P609" s="275">
        <f t="shared" si="838"/>
        <v>0</v>
      </c>
      <c r="Q609" s="275">
        <f t="shared" si="838"/>
        <v>0</v>
      </c>
      <c r="R609" s="276">
        <f t="shared" si="653"/>
        <v>0</v>
      </c>
      <c r="S609" s="275">
        <f t="shared" ref="S609:Z609" si="839">+S610</f>
        <v>0</v>
      </c>
      <c r="T609" s="275">
        <f t="shared" si="839"/>
        <v>0</v>
      </c>
      <c r="U609" s="275">
        <f t="shared" si="839"/>
        <v>24459095082.849998</v>
      </c>
      <c r="V609" s="275">
        <f t="shared" si="839"/>
        <v>0</v>
      </c>
      <c r="W609" s="275">
        <f t="shared" si="839"/>
        <v>0</v>
      </c>
      <c r="X609" s="275">
        <f t="shared" si="839"/>
        <v>40754426958</v>
      </c>
      <c r="Y609" s="275">
        <f t="shared" si="839"/>
        <v>0</v>
      </c>
      <c r="Z609" s="275">
        <f t="shared" si="839"/>
        <v>0</v>
      </c>
      <c r="AA609" s="276">
        <f t="shared" si="836"/>
        <v>65213522040.849998</v>
      </c>
      <c r="AB609" s="402">
        <f t="shared" ref="AB609:AB816" si="840">+R609+AA609</f>
        <v>65213522040.849998</v>
      </c>
      <c r="AC609" s="321">
        <v>0</v>
      </c>
    </row>
    <row r="610" spans="1:29" ht="14.25" x14ac:dyDescent="0.2">
      <c r="B610" s="323" t="s">
        <v>847</v>
      </c>
      <c r="C610" s="206" t="s">
        <v>848</v>
      </c>
      <c r="D610" s="332">
        <v>54617897000</v>
      </c>
      <c r="E610" s="325">
        <f>SUM('ADICIONES  2021'!C610:N610)</f>
        <v>0</v>
      </c>
      <c r="F610" s="277"/>
      <c r="G610" s="277"/>
      <c r="H610" s="277"/>
      <c r="I610" s="277"/>
      <c r="J610" s="277"/>
      <c r="K610" s="281">
        <f t="shared" si="835"/>
        <v>54617897000</v>
      </c>
      <c r="L610" s="277"/>
      <c r="M610" s="277"/>
      <c r="N610" s="277"/>
      <c r="O610" s="277"/>
      <c r="P610" s="277"/>
      <c r="Q610" s="277"/>
      <c r="R610" s="281">
        <f t="shared" si="653"/>
        <v>0</v>
      </c>
      <c r="S610" s="277"/>
      <c r="T610" s="277"/>
      <c r="U610" s="277">
        <v>24459095082.849998</v>
      </c>
      <c r="V610" s="277"/>
      <c r="W610" s="277"/>
      <c r="X610" s="277">
        <v>40754426958</v>
      </c>
      <c r="Y610" s="277"/>
      <c r="Z610" s="277"/>
      <c r="AA610" s="281">
        <f t="shared" si="836"/>
        <v>65213522040.849998</v>
      </c>
      <c r="AB610" s="403">
        <f t="shared" si="840"/>
        <v>65213522040.849998</v>
      </c>
      <c r="AC610" s="326">
        <f t="shared" si="673"/>
        <v>1.1939954780911832</v>
      </c>
    </row>
    <row r="611" spans="1:29" s="61" customFormat="1" ht="15.75" x14ac:dyDescent="0.2">
      <c r="A611" s="421">
        <v>1</v>
      </c>
      <c r="B611" s="318" t="s">
        <v>849</v>
      </c>
      <c r="C611" s="319" t="s">
        <v>850</v>
      </c>
      <c r="D611" s="283">
        <f>+D612</f>
        <v>0</v>
      </c>
      <c r="E611" s="322">
        <f>SUM('ADICIONES  2021'!C611:N611)</f>
        <v>12104278467.360001</v>
      </c>
      <c r="F611" s="283">
        <f t="shared" ref="F611:J611" si="841">+F612</f>
        <v>0</v>
      </c>
      <c r="G611" s="283">
        <f t="shared" si="841"/>
        <v>0</v>
      </c>
      <c r="H611" s="283">
        <f t="shared" si="841"/>
        <v>0</v>
      </c>
      <c r="I611" s="283">
        <f t="shared" si="841"/>
        <v>0</v>
      </c>
      <c r="J611" s="283">
        <f t="shared" si="841"/>
        <v>0</v>
      </c>
      <c r="K611" s="276">
        <f t="shared" si="835"/>
        <v>12104278467.360001</v>
      </c>
      <c r="L611" s="283">
        <f t="shared" ref="L611:Q611" si="842">+L612</f>
        <v>0</v>
      </c>
      <c r="M611" s="283">
        <f t="shared" si="842"/>
        <v>1918229.27</v>
      </c>
      <c r="N611" s="283">
        <f t="shared" si="842"/>
        <v>7687727647.8199997</v>
      </c>
      <c r="O611" s="283">
        <f t="shared" si="842"/>
        <v>444797404.14999992</v>
      </c>
      <c r="P611" s="283">
        <f t="shared" si="842"/>
        <v>1029998416.52</v>
      </c>
      <c r="Q611" s="283">
        <f t="shared" si="842"/>
        <v>29323357.130000003</v>
      </c>
      <c r="R611" s="276">
        <f>SUM(L611:Q611)</f>
        <v>9193765054.8899994</v>
      </c>
      <c r="S611" s="283">
        <f t="shared" ref="S611:Z611" si="843">+S612</f>
        <v>135777600.78999999</v>
      </c>
      <c r="T611" s="283">
        <f t="shared" si="843"/>
        <v>296300430.87</v>
      </c>
      <c r="U611" s="283">
        <f t="shared" si="843"/>
        <v>2008884259.5700002</v>
      </c>
      <c r="V611" s="283">
        <f t="shared" si="843"/>
        <v>15863625.25</v>
      </c>
      <c r="W611" s="283">
        <f t="shared" si="843"/>
        <v>3522185097.6900001</v>
      </c>
      <c r="X611" s="283">
        <f t="shared" si="843"/>
        <v>53299311.880000114</v>
      </c>
      <c r="Y611" s="283">
        <f t="shared" si="843"/>
        <v>0</v>
      </c>
      <c r="Z611" s="283">
        <f t="shared" si="843"/>
        <v>0</v>
      </c>
      <c r="AA611" s="276">
        <f t="shared" si="836"/>
        <v>6032310326.0500002</v>
      </c>
      <c r="AB611" s="402">
        <f t="shared" si="840"/>
        <v>15226075380.939999</v>
      </c>
      <c r="AC611" s="321">
        <v>0</v>
      </c>
    </row>
    <row r="612" spans="1:29" s="61" customFormat="1" ht="15.75" x14ac:dyDescent="0.2">
      <c r="A612" s="421"/>
      <c r="B612" s="318" t="s">
        <v>851</v>
      </c>
      <c r="C612" s="319" t="s">
        <v>852</v>
      </c>
      <c r="D612" s="283">
        <f>+D613+D614+D617+D637+D638+D639+D640+D641+D643+D644+D645+D646+D647+D648+D649+D650+D651+D652+D653+D654+D655+D658+D659+D660+D662+D663+D665+D666+D667+D668+D669+D670+D671+D672+D673+D674+D675+D676+D677+D679+D680+D681+D682+D683+D684+D685+D687+D688+D689+D690+D691+D692+D693+D694+D695+D642+D664+D615+D616+D656+D657+D661+D678+D686</f>
        <v>0</v>
      </c>
      <c r="E612" s="322">
        <f>SUM('ADICIONES  2021'!C612:N612)</f>
        <v>12104278467.360001</v>
      </c>
      <c r="F612" s="283">
        <f t="shared" ref="F612:J612" si="844">+F613+F614+F617+F637+F638+F639+F640+F641+F643+F644+F645+F646+F647+F648+F649+F650+F651+F652+F653+F654+F655+F658+F659+F660+F662+F663+F665+F666+F667+F668+F669+F670+F671+F672+F673+F674+F675+F676+F677+F679+F680+F681+F682+F683+F684+F685+F687+F688+F689+F690+F691+F692+F693+F694+F695+F642+F664+F615+F616+F656+F657+F661+F678+F686</f>
        <v>0</v>
      </c>
      <c r="G612" s="283">
        <f t="shared" si="844"/>
        <v>0</v>
      </c>
      <c r="H612" s="283">
        <f t="shared" si="844"/>
        <v>0</v>
      </c>
      <c r="I612" s="283">
        <f t="shared" si="844"/>
        <v>0</v>
      </c>
      <c r="J612" s="283">
        <f t="shared" si="844"/>
        <v>0</v>
      </c>
      <c r="K612" s="276">
        <f t="shared" si="835"/>
        <v>12104278467.360001</v>
      </c>
      <c r="L612" s="283">
        <f t="shared" ref="L612:Q612" si="845">+L613+L614+L617+L637+L638+L639+L640+L641+L643+L644+L645+L646+L647+L648+L649+L650+L651+L652+L653+L654+L655+L658+L659+L660+L662+L663+L665+L666+L667+L668+L669+L670+L671+L672+L673+L674+L675+L676+L677+L679+L680+L681+L682+L683+L684+L685+L687+L688+L689+L690+L691+L692+L693+L694+L695+L642+L664+L615+L616+L656+L657+L661+L678+L686</f>
        <v>0</v>
      </c>
      <c r="M612" s="283">
        <f t="shared" si="845"/>
        <v>1918229.27</v>
      </c>
      <c r="N612" s="283">
        <f t="shared" si="845"/>
        <v>7687727647.8199997</v>
      </c>
      <c r="O612" s="283">
        <f t="shared" si="845"/>
        <v>444797404.14999992</v>
      </c>
      <c r="P612" s="283">
        <f t="shared" si="845"/>
        <v>1029998416.52</v>
      </c>
      <c r="Q612" s="283">
        <f t="shared" si="845"/>
        <v>29323357.130000003</v>
      </c>
      <c r="R612" s="276">
        <f>SUM(L612:Q612)</f>
        <v>9193765054.8899994</v>
      </c>
      <c r="S612" s="283">
        <f t="shared" ref="S612:Z612" si="846">+S613+S614+S617+S637+S638+S639+S640+S641+S643+S644+S645+S646+S647+S648+S649+S650+S651+S652+S653+S654+S655+S658+S659+S660+S662+S663+S665+S666+S667+S668+S669+S670+S671+S672+S673+S674+S675+S676+S677+S679+S680+S681+S682+S683+S684+S685+S687+S688+S689+S690+S691+S692+S693+S694+S695+S642+S664+S615+S616+S656+S657+S661+S678+S686</f>
        <v>135777600.78999999</v>
      </c>
      <c r="T612" s="283">
        <f t="shared" si="846"/>
        <v>296300430.87</v>
      </c>
      <c r="U612" s="283">
        <f t="shared" si="846"/>
        <v>2008884259.5700002</v>
      </c>
      <c r="V612" s="283">
        <f t="shared" si="846"/>
        <v>15863625.25</v>
      </c>
      <c r="W612" s="283">
        <f t="shared" si="846"/>
        <v>3522185097.6900001</v>
      </c>
      <c r="X612" s="283">
        <f t="shared" si="846"/>
        <v>53299311.880000114</v>
      </c>
      <c r="Y612" s="283">
        <f t="shared" si="846"/>
        <v>0</v>
      </c>
      <c r="Z612" s="283">
        <f t="shared" si="846"/>
        <v>0</v>
      </c>
      <c r="AA612" s="276">
        <f t="shared" si="836"/>
        <v>6032310326.0500002</v>
      </c>
      <c r="AB612" s="402">
        <f t="shared" si="840"/>
        <v>15226075380.939999</v>
      </c>
      <c r="AC612" s="321">
        <v>0</v>
      </c>
    </row>
    <row r="613" spans="1:29" ht="14.25" hidden="1" x14ac:dyDescent="0.2">
      <c r="B613" s="323" t="s">
        <v>853</v>
      </c>
      <c r="C613" s="206" t="s">
        <v>284</v>
      </c>
      <c r="D613" s="332"/>
      <c r="E613" s="325">
        <f>SUM('ADICIONES  2021'!C613:N613)</f>
        <v>0</v>
      </c>
      <c r="F613" s="281"/>
      <c r="G613" s="281"/>
      <c r="H613" s="281"/>
      <c r="I613" s="281"/>
      <c r="J613" s="281"/>
      <c r="K613" s="281">
        <f t="shared" si="835"/>
        <v>0</v>
      </c>
      <c r="L613" s="281"/>
      <c r="M613" s="281"/>
      <c r="N613" s="281">
        <v>0</v>
      </c>
      <c r="O613" s="281">
        <v>0</v>
      </c>
      <c r="P613" s="281"/>
      <c r="Q613" s="281"/>
      <c r="R613" s="281">
        <f t="shared" si="653"/>
        <v>0</v>
      </c>
      <c r="S613" s="281">
        <v>0</v>
      </c>
      <c r="T613" s="281"/>
      <c r="U613" s="281">
        <v>0</v>
      </c>
      <c r="V613" s="281"/>
      <c r="W613" s="281"/>
      <c r="X613" s="281">
        <v>0</v>
      </c>
      <c r="Y613" s="281"/>
      <c r="Z613" s="281"/>
      <c r="AA613" s="281">
        <f t="shared" si="836"/>
        <v>0</v>
      </c>
      <c r="AB613" s="403">
        <f t="shared" si="840"/>
        <v>0</v>
      </c>
      <c r="AC613" s="326" t="e">
        <f t="shared" si="673"/>
        <v>#DIV/0!</v>
      </c>
    </row>
    <row r="614" spans="1:29" ht="14.25" x14ac:dyDescent="0.2">
      <c r="B614" s="323" t="s">
        <v>854</v>
      </c>
      <c r="C614" s="206" t="s">
        <v>285</v>
      </c>
      <c r="D614" s="332"/>
      <c r="E614" s="325">
        <f>SUM('ADICIONES  2021'!C614:N614)</f>
        <v>0</v>
      </c>
      <c r="F614" s="281"/>
      <c r="G614" s="281"/>
      <c r="H614" s="281"/>
      <c r="I614" s="281"/>
      <c r="J614" s="281"/>
      <c r="K614" s="281">
        <f t="shared" si="835"/>
        <v>0</v>
      </c>
      <c r="L614" s="281"/>
      <c r="M614" s="281"/>
      <c r="N614" s="281">
        <v>768917292</v>
      </c>
      <c r="O614" s="281">
        <v>437763467.76999998</v>
      </c>
      <c r="P614" s="281"/>
      <c r="Q614" s="281"/>
      <c r="R614" s="281">
        <f t="shared" si="653"/>
        <v>1206680759.77</v>
      </c>
      <c r="S614" s="281">
        <v>12664945.039999999</v>
      </c>
      <c r="T614" s="281">
        <v>75421961.400000006</v>
      </c>
      <c r="U614" s="281">
        <v>7184674.1200000001</v>
      </c>
      <c r="V614" s="281"/>
      <c r="W614" s="281"/>
      <c r="X614" s="281">
        <v>-1267936017.3299999</v>
      </c>
      <c r="Y614" s="281"/>
      <c r="Z614" s="281"/>
      <c r="AA614" s="281">
        <f t="shared" si="836"/>
        <v>-1172664436.77</v>
      </c>
      <c r="AB614" s="403">
        <f t="shared" si="840"/>
        <v>34016323</v>
      </c>
      <c r="AC614" s="326">
        <v>0</v>
      </c>
    </row>
    <row r="615" spans="1:29" ht="14.25" x14ac:dyDescent="0.2">
      <c r="B615" s="323" t="s">
        <v>854</v>
      </c>
      <c r="C615" s="206" t="s">
        <v>285</v>
      </c>
      <c r="D615" s="332"/>
      <c r="E615" s="325">
        <f>SUM('ADICIONES  2021'!C615:N615)</f>
        <v>427564239.73000002</v>
      </c>
      <c r="F615" s="281"/>
      <c r="G615" s="281"/>
      <c r="H615" s="281"/>
      <c r="I615" s="281"/>
      <c r="J615" s="281"/>
      <c r="K615" s="281">
        <f t="shared" si="835"/>
        <v>427564239.73000002</v>
      </c>
      <c r="L615" s="281"/>
      <c r="M615" s="281"/>
      <c r="N615" s="281"/>
      <c r="O615" s="281"/>
      <c r="P615" s="281"/>
      <c r="Q615" s="281"/>
      <c r="R615" s="281">
        <f t="shared" si="653"/>
        <v>0</v>
      </c>
      <c r="S615" s="281">
        <v>0</v>
      </c>
      <c r="T615" s="281"/>
      <c r="U615" s="281">
        <v>0</v>
      </c>
      <c r="V615" s="281"/>
      <c r="W615" s="281"/>
      <c r="X615" s="281">
        <v>427564239.73000002</v>
      </c>
      <c r="Y615" s="281"/>
      <c r="Z615" s="281"/>
      <c r="AA615" s="281">
        <f t="shared" si="836"/>
        <v>427564239.73000002</v>
      </c>
      <c r="AB615" s="403">
        <f t="shared" si="840"/>
        <v>427564239.73000002</v>
      </c>
      <c r="AC615" s="326">
        <f t="shared" ref="AC615:AC616" si="847">+AB615/K615</f>
        <v>1</v>
      </c>
    </row>
    <row r="616" spans="1:29" ht="14.25" x14ac:dyDescent="0.2">
      <c r="B616" s="323" t="s">
        <v>854</v>
      </c>
      <c r="C616" s="206" t="s">
        <v>285</v>
      </c>
      <c r="D616" s="332"/>
      <c r="E616" s="325">
        <f>SUM('ADICIONES  2021'!C616:N616)</f>
        <v>777263256</v>
      </c>
      <c r="F616" s="281"/>
      <c r="G616" s="281"/>
      <c r="H616" s="281"/>
      <c r="I616" s="281"/>
      <c r="J616" s="281"/>
      <c r="K616" s="281">
        <f t="shared" si="835"/>
        <v>777263256</v>
      </c>
      <c r="L616" s="281"/>
      <c r="M616" s="281"/>
      <c r="N616" s="281"/>
      <c r="O616" s="281"/>
      <c r="P616" s="281"/>
      <c r="Q616" s="281"/>
      <c r="R616" s="281">
        <f t="shared" si="653"/>
        <v>0</v>
      </c>
      <c r="S616" s="281"/>
      <c r="T616" s="281"/>
      <c r="U616" s="281">
        <v>0</v>
      </c>
      <c r="V616" s="281"/>
      <c r="W616" s="281"/>
      <c r="X616" s="281">
        <v>881751892.97000003</v>
      </c>
      <c r="Y616" s="281"/>
      <c r="Z616" s="281"/>
      <c r="AA616" s="281">
        <f t="shared" si="836"/>
        <v>881751892.97000003</v>
      </c>
      <c r="AB616" s="403">
        <f t="shared" si="840"/>
        <v>881751892.97000003</v>
      </c>
      <c r="AC616" s="326">
        <f t="shared" si="847"/>
        <v>1.1344314634242791</v>
      </c>
    </row>
    <row r="617" spans="1:29" s="61" customFormat="1" ht="15.75" x14ac:dyDescent="0.2">
      <c r="A617" s="421"/>
      <c r="B617" s="318" t="s">
        <v>855</v>
      </c>
      <c r="C617" s="319" t="s">
        <v>856</v>
      </c>
      <c r="D617" s="283">
        <f>+D618+D621+D623+D625+D627+D630+D632</f>
        <v>0</v>
      </c>
      <c r="E617" s="322">
        <f>SUM('ADICIONES  2021'!C617:N617)</f>
        <v>5104099797.3099995</v>
      </c>
      <c r="F617" s="275">
        <f t="shared" ref="F617:J617" si="848">+F618+F621+F623+F625+F627+F630+F632</f>
        <v>0</v>
      </c>
      <c r="G617" s="275">
        <f t="shared" si="848"/>
        <v>0</v>
      </c>
      <c r="H617" s="275">
        <f t="shared" si="848"/>
        <v>0</v>
      </c>
      <c r="I617" s="275">
        <f t="shared" si="848"/>
        <v>0</v>
      </c>
      <c r="J617" s="275">
        <f t="shared" si="848"/>
        <v>0</v>
      </c>
      <c r="K617" s="276">
        <f t="shared" si="835"/>
        <v>5104099797.3099995</v>
      </c>
      <c r="L617" s="275">
        <f t="shared" ref="L617:Q617" si="849">+L618+L621+L623+L625+L627+L630+L632</f>
        <v>0</v>
      </c>
      <c r="M617" s="275">
        <f t="shared" si="849"/>
        <v>1705.27</v>
      </c>
      <c r="N617" s="275">
        <f t="shared" si="849"/>
        <v>4599999256.04</v>
      </c>
      <c r="O617" s="275">
        <f t="shared" si="849"/>
        <v>4882325</v>
      </c>
      <c r="P617" s="275">
        <f t="shared" si="849"/>
        <v>776957799.90999997</v>
      </c>
      <c r="Q617" s="275">
        <f t="shared" si="849"/>
        <v>0</v>
      </c>
      <c r="R617" s="276">
        <f t="shared" si="653"/>
        <v>5381841086.2200003</v>
      </c>
      <c r="S617" s="275">
        <f t="shared" ref="S617:Z617" si="850">+S618+S621+S623+S625+S627+S630+S632</f>
        <v>84399477.319999993</v>
      </c>
      <c r="T617" s="275">
        <f t="shared" si="850"/>
        <v>103467120.56999999</v>
      </c>
      <c r="U617" s="275">
        <f t="shared" si="850"/>
        <v>45953295.439999998</v>
      </c>
      <c r="V617" s="275">
        <f t="shared" si="850"/>
        <v>0</v>
      </c>
      <c r="W617" s="275">
        <f t="shared" si="850"/>
        <v>102869838.34</v>
      </c>
      <c r="X617" s="275">
        <f t="shared" si="850"/>
        <v>0</v>
      </c>
      <c r="Y617" s="275">
        <f t="shared" si="850"/>
        <v>0</v>
      </c>
      <c r="Z617" s="275">
        <f t="shared" si="850"/>
        <v>0</v>
      </c>
      <c r="AA617" s="276">
        <f t="shared" si="836"/>
        <v>336689731.66999996</v>
      </c>
      <c r="AB617" s="402">
        <f t="shared" si="840"/>
        <v>5718530817.8900003</v>
      </c>
      <c r="AC617" s="321">
        <v>0</v>
      </c>
    </row>
    <row r="618" spans="1:29" s="61" customFormat="1" ht="15.75" x14ac:dyDescent="0.2">
      <c r="A618" s="421"/>
      <c r="B618" s="318" t="s">
        <v>857</v>
      </c>
      <c r="C618" s="319" t="s">
        <v>286</v>
      </c>
      <c r="D618" s="283">
        <f>SUM(D619:D620)</f>
        <v>0</v>
      </c>
      <c r="E618" s="322">
        <f>SUM('ADICIONES  2021'!C618:N618)</f>
        <v>861358292</v>
      </c>
      <c r="F618" s="283">
        <f t="shared" ref="F618:J618" si="851">SUM(F619:F620)</f>
        <v>0</v>
      </c>
      <c r="G618" s="283">
        <f t="shared" si="851"/>
        <v>0</v>
      </c>
      <c r="H618" s="283">
        <f t="shared" si="851"/>
        <v>0</v>
      </c>
      <c r="I618" s="283">
        <f t="shared" si="851"/>
        <v>0</v>
      </c>
      <c r="J618" s="283">
        <f t="shared" si="851"/>
        <v>0</v>
      </c>
      <c r="K618" s="276">
        <f t="shared" si="835"/>
        <v>861358292</v>
      </c>
      <c r="L618" s="283">
        <f t="shared" ref="L618:Q618" si="852">SUM(L619:L620)</f>
        <v>0</v>
      </c>
      <c r="M618" s="283">
        <f t="shared" si="852"/>
        <v>1705.27</v>
      </c>
      <c r="N618" s="283">
        <f t="shared" si="852"/>
        <v>0</v>
      </c>
      <c r="O618" s="283">
        <f t="shared" si="852"/>
        <v>0</v>
      </c>
      <c r="P618" s="283">
        <f t="shared" si="852"/>
        <v>776957799.90999997</v>
      </c>
      <c r="Q618" s="283">
        <f t="shared" si="852"/>
        <v>0</v>
      </c>
      <c r="R618" s="276">
        <f t="shared" si="653"/>
        <v>776959505.17999995</v>
      </c>
      <c r="S618" s="283">
        <f t="shared" ref="S618:Y618" si="853">SUM(S619:S620)</f>
        <v>84398787.319999993</v>
      </c>
      <c r="T618" s="283">
        <f t="shared" si="853"/>
        <v>0</v>
      </c>
      <c r="U618" s="283">
        <f t="shared" si="853"/>
        <v>45876842.18</v>
      </c>
      <c r="V618" s="283">
        <f t="shared" si="853"/>
        <v>0</v>
      </c>
      <c r="W618" s="283">
        <f t="shared" si="853"/>
        <v>25436852.870000005</v>
      </c>
      <c r="X618" s="283">
        <f t="shared" si="853"/>
        <v>0</v>
      </c>
      <c r="Y618" s="283">
        <f t="shared" si="853"/>
        <v>0</v>
      </c>
      <c r="Z618" s="283">
        <f>SUM(Z619:Z620)</f>
        <v>0</v>
      </c>
      <c r="AA618" s="276">
        <f t="shared" si="836"/>
        <v>155712482.37</v>
      </c>
      <c r="AB618" s="402">
        <f t="shared" si="840"/>
        <v>932671987.54999995</v>
      </c>
      <c r="AC618" s="326">
        <v>0</v>
      </c>
    </row>
    <row r="619" spans="1:29" ht="14.25" x14ac:dyDescent="0.2">
      <c r="B619" s="323" t="s">
        <v>858</v>
      </c>
      <c r="C619" s="206" t="s">
        <v>286</v>
      </c>
      <c r="D619" s="332"/>
      <c r="E619" s="325">
        <f>SUM('ADICIONES  2021'!C619:N619)</f>
        <v>0</v>
      </c>
      <c r="F619" s="281"/>
      <c r="G619" s="281"/>
      <c r="H619" s="281"/>
      <c r="I619" s="281"/>
      <c r="J619" s="281"/>
      <c r="K619" s="281">
        <f t="shared" si="835"/>
        <v>0</v>
      </c>
      <c r="L619" s="281"/>
      <c r="M619" s="281">
        <v>1705.27</v>
      </c>
      <c r="N619" s="281"/>
      <c r="O619" s="281"/>
      <c r="P619" s="281">
        <v>776957799.90999997</v>
      </c>
      <c r="Q619" s="281"/>
      <c r="R619" s="281">
        <f t="shared" si="653"/>
        <v>776959505.17999995</v>
      </c>
      <c r="S619" s="281">
        <v>84398787.319999993</v>
      </c>
      <c r="T619" s="281"/>
      <c r="U619" s="281">
        <v>45876842.18</v>
      </c>
      <c r="V619" s="281"/>
      <c r="W619" s="281">
        <v>-907235134.67999995</v>
      </c>
      <c r="X619" s="281"/>
      <c r="Y619" s="281"/>
      <c r="Z619" s="281"/>
      <c r="AA619" s="281">
        <f t="shared" si="836"/>
        <v>-776959505.17999995</v>
      </c>
      <c r="AB619" s="403">
        <f t="shared" si="840"/>
        <v>0</v>
      </c>
      <c r="AC619" s="326">
        <v>0</v>
      </c>
    </row>
    <row r="620" spans="1:29" ht="14.25" x14ac:dyDescent="0.2">
      <c r="B620" s="323" t="s">
        <v>858</v>
      </c>
      <c r="C620" s="206" t="s">
        <v>286</v>
      </c>
      <c r="D620" s="332"/>
      <c r="E620" s="325">
        <f>SUM('ADICIONES  2021'!C620:N620)</f>
        <v>861358292</v>
      </c>
      <c r="F620" s="281"/>
      <c r="G620" s="281"/>
      <c r="H620" s="281"/>
      <c r="I620" s="281"/>
      <c r="J620" s="281"/>
      <c r="K620" s="281">
        <f t="shared" si="835"/>
        <v>861358292</v>
      </c>
      <c r="L620" s="281"/>
      <c r="M620" s="281"/>
      <c r="N620" s="281"/>
      <c r="O620" s="281"/>
      <c r="P620" s="281"/>
      <c r="Q620" s="281"/>
      <c r="R620" s="281">
        <f t="shared" si="653"/>
        <v>0</v>
      </c>
      <c r="S620" s="281"/>
      <c r="T620" s="281"/>
      <c r="U620" s="281"/>
      <c r="V620" s="281"/>
      <c r="W620" s="281">
        <v>932671987.54999995</v>
      </c>
      <c r="X620" s="281"/>
      <c r="Y620" s="281"/>
      <c r="Z620" s="281"/>
      <c r="AA620" s="281">
        <f t="shared" si="836"/>
        <v>932671987.54999995</v>
      </c>
      <c r="AB620" s="403">
        <f t="shared" si="840"/>
        <v>932671987.54999995</v>
      </c>
      <c r="AC620" s="326">
        <v>1</v>
      </c>
    </row>
    <row r="621" spans="1:29" s="61" customFormat="1" ht="15.75" x14ac:dyDescent="0.2">
      <c r="A621" s="421"/>
      <c r="B621" s="318" t="s">
        <v>859</v>
      </c>
      <c r="C621" s="319" t="s">
        <v>287</v>
      </c>
      <c r="D621" s="283">
        <f>+D622</f>
        <v>0</v>
      </c>
      <c r="E621" s="322">
        <f>SUM('ADICIONES  2021'!C621:N621)</f>
        <v>0</v>
      </c>
      <c r="F621" s="275">
        <f t="shared" ref="F621:J621" si="854">+F622</f>
        <v>0</v>
      </c>
      <c r="G621" s="275">
        <f t="shared" si="854"/>
        <v>0</v>
      </c>
      <c r="H621" s="275">
        <f t="shared" si="854"/>
        <v>0</v>
      </c>
      <c r="I621" s="275">
        <f t="shared" si="854"/>
        <v>0</v>
      </c>
      <c r="J621" s="275">
        <f t="shared" si="854"/>
        <v>0</v>
      </c>
      <c r="K621" s="276">
        <f t="shared" si="835"/>
        <v>0</v>
      </c>
      <c r="L621" s="275">
        <f t="shared" ref="L621:Q621" si="855">+L622</f>
        <v>0</v>
      </c>
      <c r="M621" s="275">
        <f t="shared" si="855"/>
        <v>0</v>
      </c>
      <c r="N621" s="275">
        <f t="shared" si="855"/>
        <v>0</v>
      </c>
      <c r="O621" s="275">
        <f t="shared" si="855"/>
        <v>0</v>
      </c>
      <c r="P621" s="275">
        <f t="shared" si="855"/>
        <v>0</v>
      </c>
      <c r="Q621" s="275">
        <f t="shared" si="855"/>
        <v>0</v>
      </c>
      <c r="R621" s="276">
        <f t="shared" si="653"/>
        <v>0</v>
      </c>
      <c r="S621" s="275">
        <f t="shared" ref="S621:Z621" si="856">+S622</f>
        <v>0</v>
      </c>
      <c r="T621" s="275">
        <f t="shared" si="856"/>
        <v>97009369.569999993</v>
      </c>
      <c r="U621" s="275">
        <f t="shared" si="856"/>
        <v>0</v>
      </c>
      <c r="V621" s="275">
        <f t="shared" si="856"/>
        <v>0</v>
      </c>
      <c r="W621" s="275">
        <f t="shared" si="856"/>
        <v>25125429.449999999</v>
      </c>
      <c r="X621" s="275">
        <f t="shared" si="856"/>
        <v>0</v>
      </c>
      <c r="Y621" s="275">
        <f t="shared" si="856"/>
        <v>0</v>
      </c>
      <c r="Z621" s="275">
        <f t="shared" si="856"/>
        <v>0</v>
      </c>
      <c r="AA621" s="276">
        <f t="shared" si="836"/>
        <v>122134799.02</v>
      </c>
      <c r="AB621" s="402">
        <f t="shared" si="840"/>
        <v>122134799.02</v>
      </c>
      <c r="AC621" s="326">
        <v>0</v>
      </c>
    </row>
    <row r="622" spans="1:29" ht="14.25" x14ac:dyDescent="0.2">
      <c r="B622" s="323" t="s">
        <v>860</v>
      </c>
      <c r="C622" s="206" t="s">
        <v>861</v>
      </c>
      <c r="D622" s="332"/>
      <c r="E622" s="325">
        <f>SUM('ADICIONES  2021'!C622:N622)</f>
        <v>0</v>
      </c>
      <c r="F622" s="281"/>
      <c r="G622" s="281"/>
      <c r="H622" s="281"/>
      <c r="I622" s="281"/>
      <c r="J622" s="281"/>
      <c r="K622" s="281">
        <f t="shared" si="835"/>
        <v>0</v>
      </c>
      <c r="L622" s="281"/>
      <c r="M622" s="281"/>
      <c r="N622" s="281"/>
      <c r="O622" s="281"/>
      <c r="P622" s="281"/>
      <c r="Q622" s="281"/>
      <c r="R622" s="281">
        <f t="shared" si="653"/>
        <v>0</v>
      </c>
      <c r="S622" s="281"/>
      <c r="T622" s="281">
        <v>97009369.569999993</v>
      </c>
      <c r="U622" s="281"/>
      <c r="V622" s="281"/>
      <c r="W622" s="281">
        <v>25125429.449999999</v>
      </c>
      <c r="X622" s="281"/>
      <c r="Y622" s="281"/>
      <c r="Z622" s="281"/>
      <c r="AA622" s="281">
        <f t="shared" si="836"/>
        <v>122134799.02</v>
      </c>
      <c r="AB622" s="403">
        <f t="shared" si="840"/>
        <v>122134799.02</v>
      </c>
      <c r="AC622" s="326">
        <v>0</v>
      </c>
    </row>
    <row r="623" spans="1:29" s="61" customFormat="1" ht="15.75" x14ac:dyDescent="0.2">
      <c r="A623" s="421"/>
      <c r="B623" s="318" t="s">
        <v>862</v>
      </c>
      <c r="C623" s="319" t="s">
        <v>288</v>
      </c>
      <c r="D623" s="283">
        <f>+D624</f>
        <v>0</v>
      </c>
      <c r="E623" s="322">
        <f>SUM('ADICIONES  2021'!C623:N623)</f>
        <v>0</v>
      </c>
      <c r="F623" s="275">
        <f t="shared" ref="F623:J623" si="857">+F624</f>
        <v>0</v>
      </c>
      <c r="G623" s="275">
        <f t="shared" si="857"/>
        <v>0</v>
      </c>
      <c r="H623" s="275">
        <f t="shared" si="857"/>
        <v>0</v>
      </c>
      <c r="I623" s="275">
        <f t="shared" si="857"/>
        <v>0</v>
      </c>
      <c r="J623" s="275">
        <f t="shared" si="857"/>
        <v>0</v>
      </c>
      <c r="K623" s="276">
        <f t="shared" si="835"/>
        <v>0</v>
      </c>
      <c r="L623" s="275">
        <f t="shared" ref="L623:Q623" si="858">+L624</f>
        <v>0</v>
      </c>
      <c r="M623" s="275">
        <f t="shared" si="858"/>
        <v>0</v>
      </c>
      <c r="N623" s="275">
        <f t="shared" si="858"/>
        <v>0</v>
      </c>
      <c r="O623" s="275">
        <f t="shared" si="858"/>
        <v>0</v>
      </c>
      <c r="P623" s="275">
        <f t="shared" si="858"/>
        <v>0</v>
      </c>
      <c r="Q623" s="275">
        <f t="shared" si="858"/>
        <v>0</v>
      </c>
      <c r="R623" s="276">
        <f t="shared" si="653"/>
        <v>0</v>
      </c>
      <c r="S623" s="275">
        <f t="shared" ref="S623:Z623" si="859">+S624</f>
        <v>0</v>
      </c>
      <c r="T623" s="275">
        <f t="shared" si="859"/>
        <v>6000000</v>
      </c>
      <c r="U623" s="275">
        <f t="shared" si="859"/>
        <v>0</v>
      </c>
      <c r="V623" s="275">
        <f t="shared" si="859"/>
        <v>0</v>
      </c>
      <c r="W623" s="275">
        <f t="shared" si="859"/>
        <v>0</v>
      </c>
      <c r="X623" s="275">
        <f t="shared" si="859"/>
        <v>0</v>
      </c>
      <c r="Y623" s="275">
        <f t="shared" si="859"/>
        <v>0</v>
      </c>
      <c r="Z623" s="275">
        <f t="shared" si="859"/>
        <v>0</v>
      </c>
      <c r="AA623" s="276">
        <f t="shared" si="836"/>
        <v>6000000</v>
      </c>
      <c r="AB623" s="402">
        <f t="shared" si="840"/>
        <v>6000000</v>
      </c>
      <c r="AC623" s="326">
        <v>0</v>
      </c>
    </row>
    <row r="624" spans="1:29" ht="14.25" x14ac:dyDescent="0.2">
      <c r="B624" s="323" t="s">
        <v>863</v>
      </c>
      <c r="C624" s="206" t="s">
        <v>864</v>
      </c>
      <c r="D624" s="332"/>
      <c r="E624" s="325">
        <f>SUM('ADICIONES  2021'!C624:N624)</f>
        <v>0</v>
      </c>
      <c r="F624" s="281"/>
      <c r="G624" s="281"/>
      <c r="H624" s="281"/>
      <c r="I624" s="281"/>
      <c r="J624" s="281"/>
      <c r="K624" s="281">
        <f t="shared" si="835"/>
        <v>0</v>
      </c>
      <c r="L624" s="281"/>
      <c r="M624" s="281"/>
      <c r="N624" s="281"/>
      <c r="O624" s="281"/>
      <c r="P624" s="281"/>
      <c r="Q624" s="281"/>
      <c r="R624" s="281">
        <f t="shared" si="653"/>
        <v>0</v>
      </c>
      <c r="S624" s="281"/>
      <c r="T624" s="281">
        <v>6000000</v>
      </c>
      <c r="U624" s="281"/>
      <c r="V624" s="281"/>
      <c r="W624" s="281"/>
      <c r="X624" s="281"/>
      <c r="Y624" s="281"/>
      <c r="Z624" s="281"/>
      <c r="AA624" s="281">
        <f t="shared" si="836"/>
        <v>6000000</v>
      </c>
      <c r="AB624" s="403">
        <f t="shared" si="840"/>
        <v>6000000</v>
      </c>
      <c r="AC624" s="326">
        <v>0</v>
      </c>
    </row>
    <row r="625" spans="1:29" s="61" customFormat="1" ht="15.75" x14ac:dyDescent="0.2">
      <c r="A625" s="421"/>
      <c r="B625" s="318" t="s">
        <v>865</v>
      </c>
      <c r="C625" s="319" t="s">
        <v>289</v>
      </c>
      <c r="D625" s="283">
        <f>+D626</f>
        <v>0</v>
      </c>
      <c r="E625" s="322">
        <f>SUM('ADICIONES  2021'!C625:N625)</f>
        <v>0</v>
      </c>
      <c r="F625" s="275">
        <f t="shared" ref="F625:J625" si="860">+F626</f>
        <v>0</v>
      </c>
      <c r="G625" s="275">
        <f t="shared" si="860"/>
        <v>0</v>
      </c>
      <c r="H625" s="275">
        <f t="shared" si="860"/>
        <v>0</v>
      </c>
      <c r="I625" s="275">
        <f t="shared" si="860"/>
        <v>0</v>
      </c>
      <c r="J625" s="275">
        <f t="shared" si="860"/>
        <v>0</v>
      </c>
      <c r="K625" s="276">
        <f t="shared" si="835"/>
        <v>0</v>
      </c>
      <c r="L625" s="275">
        <f t="shared" ref="L625:Q625" si="861">+L626</f>
        <v>0</v>
      </c>
      <c r="M625" s="275">
        <f t="shared" si="861"/>
        <v>0</v>
      </c>
      <c r="N625" s="275">
        <f t="shared" si="861"/>
        <v>0</v>
      </c>
      <c r="O625" s="275">
        <f t="shared" si="861"/>
        <v>0</v>
      </c>
      <c r="P625" s="275">
        <f t="shared" si="861"/>
        <v>0</v>
      </c>
      <c r="Q625" s="275">
        <f t="shared" si="861"/>
        <v>0</v>
      </c>
      <c r="R625" s="276">
        <f t="shared" si="653"/>
        <v>0</v>
      </c>
      <c r="S625" s="275">
        <f t="shared" ref="S625:Z625" si="862">+S626</f>
        <v>0</v>
      </c>
      <c r="T625" s="275">
        <f t="shared" si="862"/>
        <v>0</v>
      </c>
      <c r="U625" s="275">
        <f t="shared" si="862"/>
        <v>76453.259999999995</v>
      </c>
      <c r="V625" s="275">
        <f t="shared" si="862"/>
        <v>0</v>
      </c>
      <c r="W625" s="275">
        <f t="shared" si="862"/>
        <v>0</v>
      </c>
      <c r="X625" s="275">
        <f t="shared" si="862"/>
        <v>0</v>
      </c>
      <c r="Y625" s="275">
        <f t="shared" si="862"/>
        <v>0</v>
      </c>
      <c r="Z625" s="275">
        <f t="shared" si="862"/>
        <v>0</v>
      </c>
      <c r="AA625" s="276">
        <f t="shared" si="836"/>
        <v>76453.259999999995</v>
      </c>
      <c r="AB625" s="402">
        <f t="shared" si="840"/>
        <v>76453.259999999995</v>
      </c>
      <c r="AC625" s="326">
        <v>0</v>
      </c>
    </row>
    <row r="626" spans="1:29" ht="14.25" x14ac:dyDescent="0.2">
      <c r="B626" s="323" t="s">
        <v>866</v>
      </c>
      <c r="C626" s="206" t="s">
        <v>867</v>
      </c>
      <c r="D626" s="332"/>
      <c r="E626" s="325">
        <f>SUM('ADICIONES  2021'!C626:N626)</f>
        <v>0</v>
      </c>
      <c r="F626" s="281"/>
      <c r="G626" s="281"/>
      <c r="H626" s="281"/>
      <c r="I626" s="281"/>
      <c r="J626" s="281"/>
      <c r="K626" s="281">
        <f t="shared" si="835"/>
        <v>0</v>
      </c>
      <c r="L626" s="281"/>
      <c r="M626" s="281"/>
      <c r="N626" s="281"/>
      <c r="O626" s="281"/>
      <c r="P626" s="281"/>
      <c r="Q626" s="281"/>
      <c r="R626" s="281">
        <f t="shared" si="653"/>
        <v>0</v>
      </c>
      <c r="S626" s="281"/>
      <c r="T626" s="281"/>
      <c r="U626" s="281">
        <v>76453.259999999995</v>
      </c>
      <c r="V626" s="281"/>
      <c r="W626" s="281"/>
      <c r="X626" s="281"/>
      <c r="Y626" s="281"/>
      <c r="Z626" s="281"/>
      <c r="AA626" s="281">
        <f t="shared" si="836"/>
        <v>76453.259999999995</v>
      </c>
      <c r="AB626" s="403">
        <f t="shared" si="840"/>
        <v>76453.259999999995</v>
      </c>
      <c r="AC626" s="326">
        <v>0</v>
      </c>
    </row>
    <row r="627" spans="1:29" s="61" customFormat="1" ht="15.75" x14ac:dyDescent="0.2">
      <c r="A627" s="421"/>
      <c r="B627" s="318" t="s">
        <v>868</v>
      </c>
      <c r="C627" s="319" t="s">
        <v>290</v>
      </c>
      <c r="D627" s="283">
        <f>+D628+D629</f>
        <v>0</v>
      </c>
      <c r="E627" s="322">
        <f>SUM('ADICIONES  2021'!C627:N627)</f>
        <v>4190433949.29</v>
      </c>
      <c r="F627" s="275">
        <f t="shared" ref="F627:J627" si="863">+F628+F629</f>
        <v>0</v>
      </c>
      <c r="G627" s="275">
        <f t="shared" si="863"/>
        <v>0</v>
      </c>
      <c r="H627" s="275">
        <f t="shared" si="863"/>
        <v>0</v>
      </c>
      <c r="I627" s="275">
        <f t="shared" si="863"/>
        <v>0</v>
      </c>
      <c r="J627" s="275">
        <f t="shared" si="863"/>
        <v>0</v>
      </c>
      <c r="K627" s="276">
        <f t="shared" si="835"/>
        <v>4190433949.29</v>
      </c>
      <c r="L627" s="275">
        <f t="shared" ref="L627:Q627" si="864">+L628+L629</f>
        <v>0</v>
      </c>
      <c r="M627" s="275">
        <f t="shared" si="864"/>
        <v>0</v>
      </c>
      <c r="N627" s="275">
        <f t="shared" si="864"/>
        <v>4599999256.04</v>
      </c>
      <c r="O627" s="275">
        <f t="shared" si="864"/>
        <v>0</v>
      </c>
      <c r="P627" s="275">
        <f t="shared" si="864"/>
        <v>0</v>
      </c>
      <c r="Q627" s="275">
        <f t="shared" si="864"/>
        <v>0</v>
      </c>
      <c r="R627" s="276">
        <f t="shared" si="653"/>
        <v>4599999256.04</v>
      </c>
      <c r="S627" s="275">
        <f t="shared" ref="S627:Y627" si="865">+S628+S629</f>
        <v>0</v>
      </c>
      <c r="T627" s="275">
        <f t="shared" si="865"/>
        <v>0</v>
      </c>
      <c r="U627" s="275">
        <f t="shared" si="865"/>
        <v>0</v>
      </c>
      <c r="V627" s="275">
        <f t="shared" si="865"/>
        <v>0</v>
      </c>
      <c r="W627" s="275">
        <f t="shared" si="865"/>
        <v>0</v>
      </c>
      <c r="X627" s="275">
        <f t="shared" si="865"/>
        <v>0</v>
      </c>
      <c r="Y627" s="275">
        <f t="shared" si="865"/>
        <v>0</v>
      </c>
      <c r="Z627" s="275">
        <f>+Z628+Z629</f>
        <v>0</v>
      </c>
      <c r="AA627" s="276">
        <f t="shared" si="836"/>
        <v>0</v>
      </c>
      <c r="AB627" s="402">
        <f t="shared" si="840"/>
        <v>4599999256.04</v>
      </c>
      <c r="AC627" s="326">
        <f t="shared" ref="AC627:AC693" si="866">+AB627/K627</f>
        <v>1.0977381607027583</v>
      </c>
    </row>
    <row r="628" spans="1:29" ht="14.25" x14ac:dyDescent="0.2">
      <c r="B628" s="323" t="s">
        <v>869</v>
      </c>
      <c r="C628" s="206" t="s">
        <v>870</v>
      </c>
      <c r="D628" s="332"/>
      <c r="E628" s="325">
        <f>SUM('ADICIONES  2021'!C628:N628)</f>
        <v>0</v>
      </c>
      <c r="F628" s="281"/>
      <c r="G628" s="281"/>
      <c r="H628" s="281"/>
      <c r="I628" s="281"/>
      <c r="J628" s="281"/>
      <c r="K628" s="281">
        <f t="shared" si="835"/>
        <v>0</v>
      </c>
      <c r="L628" s="281"/>
      <c r="M628" s="281"/>
      <c r="N628" s="281">
        <v>4599999256.04</v>
      </c>
      <c r="O628" s="281"/>
      <c r="P628" s="281"/>
      <c r="Q628" s="281"/>
      <c r="R628" s="281">
        <f t="shared" si="653"/>
        <v>4599999256.04</v>
      </c>
      <c r="S628" s="281"/>
      <c r="T628" s="281"/>
      <c r="U628" s="281"/>
      <c r="V628" s="281"/>
      <c r="W628" s="281">
        <v>-4599999256.04</v>
      </c>
      <c r="X628" s="281"/>
      <c r="Y628" s="281"/>
      <c r="Z628" s="281"/>
      <c r="AA628" s="281">
        <f t="shared" si="836"/>
        <v>-4599999256.04</v>
      </c>
      <c r="AB628" s="403">
        <f t="shared" si="840"/>
        <v>0</v>
      </c>
      <c r="AC628" s="326">
        <v>0</v>
      </c>
    </row>
    <row r="629" spans="1:29" ht="14.25" x14ac:dyDescent="0.2">
      <c r="B629" s="323" t="s">
        <v>869</v>
      </c>
      <c r="C629" s="206" t="s">
        <v>870</v>
      </c>
      <c r="D629" s="332"/>
      <c r="E629" s="325">
        <f>SUM('ADICIONES  2021'!C629:N629)</f>
        <v>4190433949.29</v>
      </c>
      <c r="F629" s="281"/>
      <c r="G629" s="281"/>
      <c r="H629" s="281"/>
      <c r="I629" s="281"/>
      <c r="J629" s="281"/>
      <c r="K629" s="281">
        <f t="shared" si="835"/>
        <v>4190433949.29</v>
      </c>
      <c r="L629" s="281"/>
      <c r="M629" s="281"/>
      <c r="N629" s="281"/>
      <c r="O629" s="281"/>
      <c r="P629" s="281"/>
      <c r="Q629" s="281"/>
      <c r="R629" s="281">
        <f t="shared" si="653"/>
        <v>0</v>
      </c>
      <c r="S629" s="281"/>
      <c r="T629" s="281"/>
      <c r="U629" s="281"/>
      <c r="V629" s="281"/>
      <c r="W629" s="281">
        <v>4599999256.04</v>
      </c>
      <c r="X629" s="281"/>
      <c r="Y629" s="281"/>
      <c r="Z629" s="281"/>
      <c r="AA629" s="281">
        <f t="shared" si="836"/>
        <v>4599999256.04</v>
      </c>
      <c r="AB629" s="403">
        <f t="shared" si="840"/>
        <v>4599999256.04</v>
      </c>
      <c r="AC629" s="326">
        <f t="shared" si="866"/>
        <v>1.0977381607027583</v>
      </c>
    </row>
    <row r="630" spans="1:29" s="61" customFormat="1" ht="15.75" hidden="1" x14ac:dyDescent="0.2">
      <c r="A630" s="421"/>
      <c r="B630" s="318" t="s">
        <v>871</v>
      </c>
      <c r="C630" s="319" t="s">
        <v>291</v>
      </c>
      <c r="D630" s="283">
        <f>+D631</f>
        <v>0</v>
      </c>
      <c r="E630" s="322">
        <f>SUM('ADICIONES  2021'!C630:N630)</f>
        <v>0</v>
      </c>
      <c r="F630" s="275">
        <f t="shared" ref="F630:J630" si="867">+F631</f>
        <v>0</v>
      </c>
      <c r="G630" s="275">
        <f t="shared" si="867"/>
        <v>0</v>
      </c>
      <c r="H630" s="275">
        <f t="shared" si="867"/>
        <v>0</v>
      </c>
      <c r="I630" s="275">
        <f t="shared" si="867"/>
        <v>0</v>
      </c>
      <c r="J630" s="275">
        <f t="shared" si="867"/>
        <v>0</v>
      </c>
      <c r="K630" s="276">
        <f t="shared" si="835"/>
        <v>0</v>
      </c>
      <c r="L630" s="275">
        <f t="shared" ref="L630:Q630" si="868">+L631</f>
        <v>0</v>
      </c>
      <c r="M630" s="275">
        <f t="shared" si="868"/>
        <v>0</v>
      </c>
      <c r="N630" s="275">
        <f t="shared" si="868"/>
        <v>0</v>
      </c>
      <c r="O630" s="275">
        <f t="shared" si="868"/>
        <v>0</v>
      </c>
      <c r="P630" s="275">
        <f t="shared" si="868"/>
        <v>0</v>
      </c>
      <c r="Q630" s="275">
        <f t="shared" si="868"/>
        <v>0</v>
      </c>
      <c r="R630" s="276">
        <f t="shared" si="653"/>
        <v>0</v>
      </c>
      <c r="S630" s="275">
        <f t="shared" ref="S630:Z630" si="869">+S631</f>
        <v>0</v>
      </c>
      <c r="T630" s="275">
        <f t="shared" si="869"/>
        <v>0</v>
      </c>
      <c r="U630" s="275">
        <f t="shared" si="869"/>
        <v>0</v>
      </c>
      <c r="V630" s="275">
        <f t="shared" si="869"/>
        <v>0</v>
      </c>
      <c r="W630" s="275">
        <f t="shared" si="869"/>
        <v>0</v>
      </c>
      <c r="X630" s="275">
        <f t="shared" si="869"/>
        <v>0</v>
      </c>
      <c r="Y630" s="275">
        <f t="shared" si="869"/>
        <v>0</v>
      </c>
      <c r="Z630" s="275">
        <f t="shared" si="869"/>
        <v>0</v>
      </c>
      <c r="AA630" s="276">
        <f t="shared" si="836"/>
        <v>0</v>
      </c>
      <c r="AB630" s="402">
        <f t="shared" si="840"/>
        <v>0</v>
      </c>
      <c r="AC630" s="326" t="e">
        <f t="shared" si="866"/>
        <v>#DIV/0!</v>
      </c>
    </row>
    <row r="631" spans="1:29" ht="14.25" hidden="1" x14ac:dyDescent="0.2">
      <c r="B631" s="323" t="s">
        <v>872</v>
      </c>
      <c r="C631" s="206" t="s">
        <v>291</v>
      </c>
      <c r="D631" s="332"/>
      <c r="E631" s="325">
        <f>SUM('ADICIONES  2021'!C631:N631)</f>
        <v>0</v>
      </c>
      <c r="F631" s="281"/>
      <c r="G631" s="281"/>
      <c r="H631" s="281"/>
      <c r="I631" s="281"/>
      <c r="J631" s="281"/>
      <c r="K631" s="281">
        <f t="shared" si="835"/>
        <v>0</v>
      </c>
      <c r="L631" s="281"/>
      <c r="M631" s="281"/>
      <c r="N631" s="281"/>
      <c r="O631" s="281"/>
      <c r="P631" s="281"/>
      <c r="Q631" s="281"/>
      <c r="R631" s="281">
        <f t="shared" si="653"/>
        <v>0</v>
      </c>
      <c r="S631" s="281"/>
      <c r="T631" s="281"/>
      <c r="U631" s="281"/>
      <c r="V631" s="281"/>
      <c r="W631" s="281"/>
      <c r="X631" s="281"/>
      <c r="Y631" s="281"/>
      <c r="Z631" s="281"/>
      <c r="AA631" s="281">
        <f t="shared" si="836"/>
        <v>0</v>
      </c>
      <c r="AB631" s="403">
        <f t="shared" si="840"/>
        <v>0</v>
      </c>
      <c r="AC631" s="326" t="e">
        <f t="shared" si="866"/>
        <v>#DIV/0!</v>
      </c>
    </row>
    <row r="632" spans="1:29" s="61" customFormat="1" ht="15.75" x14ac:dyDescent="0.2">
      <c r="A632" s="421"/>
      <c r="B632" s="318" t="s">
        <v>873</v>
      </c>
      <c r="C632" s="319" t="s">
        <v>874</v>
      </c>
      <c r="D632" s="283">
        <f>SUM(D633:D636)</f>
        <v>0</v>
      </c>
      <c r="E632" s="322">
        <f>SUM('ADICIONES  2021'!C632:N632)</f>
        <v>52307556.020000003</v>
      </c>
      <c r="F632" s="275">
        <f t="shared" ref="F632:J632" si="870">SUM(F633:F636)</f>
        <v>0</v>
      </c>
      <c r="G632" s="275">
        <f t="shared" si="870"/>
        <v>0</v>
      </c>
      <c r="H632" s="275">
        <f t="shared" si="870"/>
        <v>0</v>
      </c>
      <c r="I632" s="275">
        <f t="shared" si="870"/>
        <v>0</v>
      </c>
      <c r="J632" s="275">
        <f t="shared" si="870"/>
        <v>0</v>
      </c>
      <c r="K632" s="276">
        <f t="shared" si="835"/>
        <v>52307556.020000003</v>
      </c>
      <c r="L632" s="275">
        <f t="shared" ref="L632:Q632" si="871">SUM(L633:L636)</f>
        <v>0</v>
      </c>
      <c r="M632" s="275">
        <f t="shared" si="871"/>
        <v>0</v>
      </c>
      <c r="N632" s="275">
        <f t="shared" si="871"/>
        <v>0</v>
      </c>
      <c r="O632" s="275">
        <f t="shared" si="871"/>
        <v>4882325</v>
      </c>
      <c r="P632" s="275">
        <f t="shared" si="871"/>
        <v>0</v>
      </c>
      <c r="Q632" s="275">
        <f t="shared" si="871"/>
        <v>0</v>
      </c>
      <c r="R632" s="276">
        <f t="shared" si="653"/>
        <v>4882325</v>
      </c>
      <c r="S632" s="275">
        <f t="shared" ref="S632:Z632" si="872">SUM(S633:S636)</f>
        <v>690</v>
      </c>
      <c r="T632" s="275">
        <f t="shared" si="872"/>
        <v>457751</v>
      </c>
      <c r="U632" s="275">
        <f t="shared" si="872"/>
        <v>0</v>
      </c>
      <c r="V632" s="275">
        <f t="shared" si="872"/>
        <v>0</v>
      </c>
      <c r="W632" s="275">
        <f t="shared" si="872"/>
        <v>52307556.020000003</v>
      </c>
      <c r="X632" s="275">
        <f t="shared" si="872"/>
        <v>0</v>
      </c>
      <c r="Y632" s="275">
        <f t="shared" si="872"/>
        <v>0</v>
      </c>
      <c r="Z632" s="275">
        <f t="shared" si="872"/>
        <v>0</v>
      </c>
      <c r="AA632" s="276">
        <f t="shared" si="836"/>
        <v>52765997.020000003</v>
      </c>
      <c r="AB632" s="402">
        <f t="shared" si="840"/>
        <v>57648322.020000003</v>
      </c>
      <c r="AC632" s="326">
        <v>0</v>
      </c>
    </row>
    <row r="633" spans="1:29" ht="14.25" x14ac:dyDescent="0.2">
      <c r="B633" s="323" t="s">
        <v>875</v>
      </c>
      <c r="C633" s="206" t="s">
        <v>292</v>
      </c>
      <c r="D633" s="332"/>
      <c r="E633" s="325">
        <f>SUM('ADICIONES  2021'!C633:N633)</f>
        <v>0</v>
      </c>
      <c r="F633" s="277"/>
      <c r="G633" s="277"/>
      <c r="H633" s="277"/>
      <c r="I633" s="277"/>
      <c r="J633" s="277"/>
      <c r="K633" s="281">
        <f t="shared" si="835"/>
        <v>0</v>
      </c>
      <c r="L633" s="277"/>
      <c r="M633" s="277"/>
      <c r="N633" s="277"/>
      <c r="O633" s="277">
        <v>4882325</v>
      </c>
      <c r="P633" s="277"/>
      <c r="Q633" s="277"/>
      <c r="R633" s="281">
        <f t="shared" si="653"/>
        <v>4882325</v>
      </c>
      <c r="S633" s="277">
        <v>690</v>
      </c>
      <c r="T633" s="277"/>
      <c r="U633" s="277"/>
      <c r="V633" s="277"/>
      <c r="W633" s="277"/>
      <c r="X633" s="277"/>
      <c r="Y633" s="277"/>
      <c r="Z633" s="277"/>
      <c r="AA633" s="281">
        <f t="shared" si="836"/>
        <v>690</v>
      </c>
      <c r="AB633" s="403">
        <f t="shared" si="840"/>
        <v>4883015</v>
      </c>
      <c r="AC633" s="326">
        <v>0</v>
      </c>
    </row>
    <row r="634" spans="1:29" ht="25.5" x14ac:dyDescent="0.2">
      <c r="B634" s="323" t="s">
        <v>876</v>
      </c>
      <c r="C634" s="206" t="s">
        <v>293</v>
      </c>
      <c r="D634" s="332"/>
      <c r="E634" s="325">
        <f>SUM('ADICIONES  2021'!C634:N634)</f>
        <v>0</v>
      </c>
      <c r="F634" s="277"/>
      <c r="G634" s="277"/>
      <c r="H634" s="277"/>
      <c r="I634" s="277"/>
      <c r="J634" s="277"/>
      <c r="K634" s="281">
        <f t="shared" si="835"/>
        <v>0</v>
      </c>
      <c r="L634" s="277"/>
      <c r="M634" s="277"/>
      <c r="N634" s="277"/>
      <c r="O634" s="277"/>
      <c r="P634" s="277"/>
      <c r="Q634" s="277"/>
      <c r="R634" s="281">
        <f t="shared" si="653"/>
        <v>0</v>
      </c>
      <c r="S634" s="277"/>
      <c r="T634" s="277">
        <v>457751</v>
      </c>
      <c r="U634" s="277"/>
      <c r="V634" s="277"/>
      <c r="W634" s="277"/>
      <c r="X634" s="277"/>
      <c r="Y634" s="277"/>
      <c r="Z634" s="277"/>
      <c r="AA634" s="281">
        <f t="shared" si="836"/>
        <v>457751</v>
      </c>
      <c r="AB634" s="403">
        <f t="shared" si="840"/>
        <v>457751</v>
      </c>
      <c r="AC634" s="326">
        <v>0</v>
      </c>
    </row>
    <row r="635" spans="1:29" ht="25.5" x14ac:dyDescent="0.2">
      <c r="B635" s="323" t="s">
        <v>876</v>
      </c>
      <c r="C635" s="206" t="s">
        <v>293</v>
      </c>
      <c r="D635" s="332"/>
      <c r="E635" s="325">
        <f>SUM('ADICIONES  2021'!C635:N635)</f>
        <v>52307556.020000003</v>
      </c>
      <c r="F635" s="277"/>
      <c r="G635" s="277"/>
      <c r="H635" s="277"/>
      <c r="I635" s="277"/>
      <c r="J635" s="277"/>
      <c r="K635" s="281">
        <f t="shared" si="835"/>
        <v>52307556.020000003</v>
      </c>
      <c r="L635" s="277"/>
      <c r="M635" s="277"/>
      <c r="N635" s="277"/>
      <c r="O635" s="277"/>
      <c r="P635" s="277"/>
      <c r="Q635" s="277"/>
      <c r="R635" s="281">
        <f t="shared" si="653"/>
        <v>0</v>
      </c>
      <c r="S635" s="277"/>
      <c r="T635" s="277"/>
      <c r="U635" s="277"/>
      <c r="V635" s="277"/>
      <c r="W635" s="277">
        <v>52307556.020000003</v>
      </c>
      <c r="X635" s="277"/>
      <c r="Y635" s="277"/>
      <c r="Z635" s="277"/>
      <c r="AA635" s="281">
        <f t="shared" si="836"/>
        <v>52307556.020000003</v>
      </c>
      <c r="AB635" s="403">
        <f t="shared" si="840"/>
        <v>52307556.020000003</v>
      </c>
      <c r="AC635" s="326">
        <v>1</v>
      </c>
    </row>
    <row r="636" spans="1:29" ht="25.5" hidden="1" x14ac:dyDescent="0.2">
      <c r="B636" s="323" t="s">
        <v>877</v>
      </c>
      <c r="C636" s="206" t="s">
        <v>294</v>
      </c>
      <c r="D636" s="332"/>
      <c r="E636" s="325">
        <f>SUM('ADICIONES  2021'!C636:N636)</f>
        <v>0</v>
      </c>
      <c r="F636" s="277"/>
      <c r="G636" s="277"/>
      <c r="H636" s="277"/>
      <c r="I636" s="277"/>
      <c r="J636" s="277"/>
      <c r="K636" s="281">
        <f t="shared" si="835"/>
        <v>0</v>
      </c>
      <c r="L636" s="277"/>
      <c r="M636" s="277"/>
      <c r="N636" s="277"/>
      <c r="O636" s="277"/>
      <c r="P636" s="277"/>
      <c r="Q636" s="277"/>
      <c r="R636" s="281">
        <f t="shared" si="653"/>
        <v>0</v>
      </c>
      <c r="S636" s="277"/>
      <c r="T636" s="277"/>
      <c r="U636" s="277"/>
      <c r="V636" s="277"/>
      <c r="W636" s="277"/>
      <c r="X636" s="277"/>
      <c r="Y636" s="277"/>
      <c r="Z636" s="277"/>
      <c r="AA636" s="281">
        <f t="shared" si="836"/>
        <v>0</v>
      </c>
      <c r="AB636" s="403">
        <f t="shared" si="840"/>
        <v>0</v>
      </c>
      <c r="AC636" s="326" t="e">
        <f t="shared" si="866"/>
        <v>#DIV/0!</v>
      </c>
    </row>
    <row r="637" spans="1:29" ht="14.25" hidden="1" x14ac:dyDescent="0.2">
      <c r="B637" s="323" t="s">
        <v>878</v>
      </c>
      <c r="C637" s="206" t="s">
        <v>295</v>
      </c>
      <c r="D637" s="332"/>
      <c r="E637" s="325">
        <f>SUM('ADICIONES  2021'!C637:N637)</f>
        <v>0</v>
      </c>
      <c r="F637" s="277"/>
      <c r="G637" s="277"/>
      <c r="H637" s="277"/>
      <c r="I637" s="277"/>
      <c r="J637" s="277"/>
      <c r="K637" s="281">
        <f t="shared" si="835"/>
        <v>0</v>
      </c>
      <c r="L637" s="277"/>
      <c r="M637" s="277"/>
      <c r="N637" s="277"/>
      <c r="O637" s="277"/>
      <c r="P637" s="277"/>
      <c r="Q637" s="277"/>
      <c r="R637" s="281">
        <f t="shared" si="653"/>
        <v>0</v>
      </c>
      <c r="S637" s="277"/>
      <c r="T637" s="277"/>
      <c r="U637" s="277"/>
      <c r="V637" s="277"/>
      <c r="W637" s="277"/>
      <c r="X637" s="277"/>
      <c r="Y637" s="277"/>
      <c r="Z637" s="277"/>
      <c r="AA637" s="281">
        <f t="shared" si="836"/>
        <v>0</v>
      </c>
      <c r="AB637" s="403">
        <f t="shared" si="840"/>
        <v>0</v>
      </c>
      <c r="AC637" s="326" t="e">
        <f t="shared" si="866"/>
        <v>#DIV/0!</v>
      </c>
    </row>
    <row r="638" spans="1:29" ht="14.25" hidden="1" x14ac:dyDescent="0.2">
      <c r="B638" s="323" t="s">
        <v>879</v>
      </c>
      <c r="C638" s="206" t="s">
        <v>296</v>
      </c>
      <c r="D638" s="332"/>
      <c r="E638" s="325">
        <f>SUM('ADICIONES  2021'!C638:N638)</f>
        <v>0</v>
      </c>
      <c r="F638" s="277"/>
      <c r="G638" s="277"/>
      <c r="H638" s="277"/>
      <c r="I638" s="277"/>
      <c r="J638" s="277"/>
      <c r="K638" s="281">
        <f t="shared" si="835"/>
        <v>0</v>
      </c>
      <c r="L638" s="277"/>
      <c r="M638" s="277"/>
      <c r="N638" s="277"/>
      <c r="O638" s="277"/>
      <c r="P638" s="277"/>
      <c r="Q638" s="277"/>
      <c r="R638" s="281">
        <f t="shared" si="653"/>
        <v>0</v>
      </c>
      <c r="S638" s="277"/>
      <c r="T638" s="277"/>
      <c r="U638" s="277"/>
      <c r="V638" s="277"/>
      <c r="W638" s="277"/>
      <c r="X638" s="277"/>
      <c r="Y638" s="277"/>
      <c r="Z638" s="277"/>
      <c r="AA638" s="281">
        <f t="shared" si="836"/>
        <v>0</v>
      </c>
      <c r="AB638" s="403">
        <f t="shared" si="840"/>
        <v>0</v>
      </c>
      <c r="AC638" s="326" t="e">
        <f t="shared" si="866"/>
        <v>#DIV/0!</v>
      </c>
    </row>
    <row r="639" spans="1:29" ht="14.25" hidden="1" x14ac:dyDescent="0.2">
      <c r="B639" s="323" t="s">
        <v>880</v>
      </c>
      <c r="C639" s="206" t="s">
        <v>297</v>
      </c>
      <c r="D639" s="332"/>
      <c r="E639" s="325">
        <f>SUM('ADICIONES  2021'!C639:N639)</f>
        <v>0</v>
      </c>
      <c r="F639" s="277"/>
      <c r="G639" s="277"/>
      <c r="H639" s="277"/>
      <c r="I639" s="277"/>
      <c r="J639" s="277"/>
      <c r="K639" s="281">
        <f t="shared" si="835"/>
        <v>0</v>
      </c>
      <c r="L639" s="277"/>
      <c r="M639" s="277"/>
      <c r="N639" s="277"/>
      <c r="O639" s="277"/>
      <c r="P639" s="277"/>
      <c r="Q639" s="277"/>
      <c r="R639" s="281">
        <f t="shared" si="653"/>
        <v>0</v>
      </c>
      <c r="S639" s="277"/>
      <c r="T639" s="277"/>
      <c r="U639" s="277"/>
      <c r="V639" s="277"/>
      <c r="W639" s="277"/>
      <c r="X639" s="277"/>
      <c r="Y639" s="277"/>
      <c r="Z639" s="277"/>
      <c r="AA639" s="281">
        <f t="shared" si="836"/>
        <v>0</v>
      </c>
      <c r="AB639" s="403">
        <f t="shared" si="840"/>
        <v>0</v>
      </c>
      <c r="AC639" s="326" t="e">
        <f t="shared" si="866"/>
        <v>#DIV/0!</v>
      </c>
    </row>
    <row r="640" spans="1:29" ht="14.25" hidden="1" x14ac:dyDescent="0.2">
      <c r="B640" s="323" t="s">
        <v>881</v>
      </c>
      <c r="C640" s="206" t="s">
        <v>298</v>
      </c>
      <c r="D640" s="332"/>
      <c r="E640" s="325">
        <f>SUM('ADICIONES  2021'!C640:N640)</f>
        <v>0</v>
      </c>
      <c r="F640" s="277"/>
      <c r="G640" s="277"/>
      <c r="H640" s="277"/>
      <c r="I640" s="277"/>
      <c r="J640" s="277"/>
      <c r="K640" s="281">
        <f t="shared" si="835"/>
        <v>0</v>
      </c>
      <c r="L640" s="277"/>
      <c r="M640" s="277"/>
      <c r="N640" s="277"/>
      <c r="O640" s="277"/>
      <c r="P640" s="277"/>
      <c r="Q640" s="277"/>
      <c r="R640" s="281">
        <f t="shared" si="653"/>
        <v>0</v>
      </c>
      <c r="S640" s="277"/>
      <c r="T640" s="277"/>
      <c r="U640" s="277"/>
      <c r="V640" s="277"/>
      <c r="W640" s="277"/>
      <c r="X640" s="277"/>
      <c r="Y640" s="277"/>
      <c r="Z640" s="277"/>
      <c r="AA640" s="281">
        <f t="shared" si="836"/>
        <v>0</v>
      </c>
      <c r="AB640" s="403">
        <f t="shared" si="840"/>
        <v>0</v>
      </c>
      <c r="AC640" s="326" t="e">
        <f t="shared" si="866"/>
        <v>#DIV/0!</v>
      </c>
    </row>
    <row r="641" spans="1:29" ht="14.25" x14ac:dyDescent="0.2">
      <c r="B641" s="323" t="s">
        <v>882</v>
      </c>
      <c r="C641" s="206" t="s">
        <v>299</v>
      </c>
      <c r="D641" s="332"/>
      <c r="E641" s="325">
        <f>SUM('ADICIONES  2021'!C641:N641)</f>
        <v>0</v>
      </c>
      <c r="F641" s="277"/>
      <c r="G641" s="277"/>
      <c r="H641" s="277"/>
      <c r="I641" s="277"/>
      <c r="J641" s="277"/>
      <c r="K641" s="281">
        <f t="shared" si="835"/>
        <v>0</v>
      </c>
      <c r="L641" s="277"/>
      <c r="M641" s="277"/>
      <c r="N641" s="277">
        <v>2281458860.8000002</v>
      </c>
      <c r="O641" s="277"/>
      <c r="P641" s="277"/>
      <c r="Q641" s="277"/>
      <c r="R641" s="281">
        <f t="shared" si="653"/>
        <v>2281458860.8000002</v>
      </c>
      <c r="S641" s="277"/>
      <c r="T641" s="277"/>
      <c r="U641" s="277"/>
      <c r="V641" s="277"/>
      <c r="W641" s="277"/>
      <c r="X641" s="277"/>
      <c r="Y641" s="277"/>
      <c r="Z641" s="277"/>
      <c r="AA641" s="281">
        <f t="shared" si="836"/>
        <v>0</v>
      </c>
      <c r="AB641" s="403">
        <f t="shared" si="840"/>
        <v>2281458860.8000002</v>
      </c>
      <c r="AC641" s="326">
        <v>0</v>
      </c>
    </row>
    <row r="642" spans="1:29" ht="14.25" x14ac:dyDescent="0.2">
      <c r="B642" s="323" t="s">
        <v>882</v>
      </c>
      <c r="C642" s="206" t="s">
        <v>299</v>
      </c>
      <c r="D642" s="332"/>
      <c r="E642" s="325">
        <f>SUM('ADICIONES  2021'!C642:N642)</f>
        <v>2281458860.8000002</v>
      </c>
      <c r="F642" s="277"/>
      <c r="G642" s="277"/>
      <c r="H642" s="277"/>
      <c r="I642" s="277"/>
      <c r="J642" s="277"/>
      <c r="K642" s="281">
        <f t="shared" si="835"/>
        <v>2281458860.8000002</v>
      </c>
      <c r="L642" s="277"/>
      <c r="M642" s="277"/>
      <c r="N642" s="277"/>
      <c r="O642" s="277"/>
      <c r="P642" s="277"/>
      <c r="Q642" s="277"/>
      <c r="R642" s="281">
        <f t="shared" si="653"/>
        <v>0</v>
      </c>
      <c r="S642" s="277"/>
      <c r="T642" s="277"/>
      <c r="U642" s="277"/>
      <c r="V642" s="277"/>
      <c r="W642" s="277"/>
      <c r="X642" s="277"/>
      <c r="Y642" s="277"/>
      <c r="Z642" s="277"/>
      <c r="AA642" s="281">
        <f t="shared" si="836"/>
        <v>0</v>
      </c>
      <c r="AB642" s="403">
        <f t="shared" si="840"/>
        <v>0</v>
      </c>
      <c r="AC642" s="326">
        <f t="shared" si="866"/>
        <v>0</v>
      </c>
    </row>
    <row r="643" spans="1:29" ht="14.25" hidden="1" x14ac:dyDescent="0.2">
      <c r="B643" s="323" t="s">
        <v>883</v>
      </c>
      <c r="C643" s="206" t="s">
        <v>300</v>
      </c>
      <c r="D643" s="332"/>
      <c r="E643" s="325">
        <f>SUM('ADICIONES  2021'!C643:N643)</f>
        <v>0</v>
      </c>
      <c r="F643" s="277"/>
      <c r="G643" s="277"/>
      <c r="H643" s="277"/>
      <c r="I643" s="277"/>
      <c r="J643" s="277"/>
      <c r="K643" s="281">
        <f t="shared" si="835"/>
        <v>0</v>
      </c>
      <c r="L643" s="277"/>
      <c r="M643" s="277"/>
      <c r="N643" s="277"/>
      <c r="O643" s="277"/>
      <c r="P643" s="277"/>
      <c r="Q643" s="277"/>
      <c r="R643" s="281">
        <f t="shared" si="653"/>
        <v>0</v>
      </c>
      <c r="S643" s="277"/>
      <c r="T643" s="277"/>
      <c r="U643" s="277"/>
      <c r="V643" s="277"/>
      <c r="W643" s="277"/>
      <c r="X643" s="277"/>
      <c r="Y643" s="277"/>
      <c r="Z643" s="277"/>
      <c r="AA643" s="281">
        <f t="shared" si="836"/>
        <v>0</v>
      </c>
      <c r="AB643" s="403">
        <f t="shared" si="840"/>
        <v>0</v>
      </c>
      <c r="AC643" s="326" t="e">
        <f t="shared" si="866"/>
        <v>#DIV/0!</v>
      </c>
    </row>
    <row r="644" spans="1:29" ht="14.25" hidden="1" x14ac:dyDescent="0.2">
      <c r="B644" s="323" t="s">
        <v>884</v>
      </c>
      <c r="C644" s="206" t="s">
        <v>301</v>
      </c>
      <c r="D644" s="332"/>
      <c r="E644" s="325">
        <f>SUM('ADICIONES  2021'!C644:N644)</f>
        <v>0</v>
      </c>
      <c r="F644" s="277"/>
      <c r="G644" s="277"/>
      <c r="H644" s="277"/>
      <c r="I644" s="277"/>
      <c r="J644" s="277"/>
      <c r="K644" s="281">
        <f t="shared" si="835"/>
        <v>0</v>
      </c>
      <c r="L644" s="277"/>
      <c r="M644" s="277"/>
      <c r="N644" s="277"/>
      <c r="O644" s="277"/>
      <c r="P644" s="277"/>
      <c r="Q644" s="277"/>
      <c r="R644" s="281">
        <f t="shared" si="653"/>
        <v>0</v>
      </c>
      <c r="S644" s="277"/>
      <c r="T644" s="277"/>
      <c r="U644" s="277"/>
      <c r="V644" s="277"/>
      <c r="W644" s="277"/>
      <c r="X644" s="277"/>
      <c r="Y644" s="277"/>
      <c r="Z644" s="277"/>
      <c r="AA644" s="281">
        <f t="shared" si="836"/>
        <v>0</v>
      </c>
      <c r="AB644" s="403">
        <f t="shared" si="840"/>
        <v>0</v>
      </c>
      <c r="AC644" s="326" t="e">
        <f t="shared" si="866"/>
        <v>#DIV/0!</v>
      </c>
    </row>
    <row r="645" spans="1:29" ht="25.5" hidden="1" x14ac:dyDescent="0.2">
      <c r="B645" s="323" t="s">
        <v>885</v>
      </c>
      <c r="C645" s="206" t="s">
        <v>302</v>
      </c>
      <c r="D645" s="332"/>
      <c r="E645" s="325">
        <f>SUM('ADICIONES  2021'!C645:N645)</f>
        <v>0</v>
      </c>
      <c r="F645" s="277"/>
      <c r="G645" s="277"/>
      <c r="H645" s="277"/>
      <c r="I645" s="277"/>
      <c r="J645" s="277"/>
      <c r="K645" s="281">
        <f t="shared" si="835"/>
        <v>0</v>
      </c>
      <c r="L645" s="277"/>
      <c r="M645" s="277"/>
      <c r="N645" s="277"/>
      <c r="O645" s="277"/>
      <c r="P645" s="277"/>
      <c r="Q645" s="277"/>
      <c r="R645" s="281">
        <f t="shared" si="653"/>
        <v>0</v>
      </c>
      <c r="S645" s="277"/>
      <c r="T645" s="277"/>
      <c r="U645" s="277"/>
      <c r="V645" s="277"/>
      <c r="W645" s="277"/>
      <c r="X645" s="277"/>
      <c r="Y645" s="277"/>
      <c r="Z645" s="277"/>
      <c r="AA645" s="281">
        <f t="shared" si="836"/>
        <v>0</v>
      </c>
      <c r="AB645" s="403">
        <f t="shared" si="840"/>
        <v>0</v>
      </c>
      <c r="AC645" s="326" t="e">
        <f t="shared" si="866"/>
        <v>#DIV/0!</v>
      </c>
    </row>
    <row r="646" spans="1:29" ht="14.25" hidden="1" x14ac:dyDescent="0.2">
      <c r="B646" s="323" t="s">
        <v>886</v>
      </c>
      <c r="C646" s="206" t="s">
        <v>303</v>
      </c>
      <c r="D646" s="332"/>
      <c r="E646" s="325">
        <f>SUM('ADICIONES  2021'!C646:N646)</f>
        <v>0</v>
      </c>
      <c r="F646" s="277"/>
      <c r="G646" s="277"/>
      <c r="H646" s="277"/>
      <c r="I646" s="277"/>
      <c r="J646" s="277"/>
      <c r="K646" s="281">
        <f t="shared" si="835"/>
        <v>0</v>
      </c>
      <c r="L646" s="277"/>
      <c r="M646" s="277"/>
      <c r="N646" s="277"/>
      <c r="O646" s="277"/>
      <c r="P646" s="277"/>
      <c r="Q646" s="277"/>
      <c r="R646" s="281">
        <f t="shared" si="653"/>
        <v>0</v>
      </c>
      <c r="S646" s="277"/>
      <c r="T646" s="277"/>
      <c r="U646" s="277"/>
      <c r="V646" s="277"/>
      <c r="W646" s="277"/>
      <c r="X646" s="277"/>
      <c r="Y646" s="277"/>
      <c r="Z646" s="277"/>
      <c r="AA646" s="281">
        <f t="shared" si="836"/>
        <v>0</v>
      </c>
      <c r="AB646" s="403">
        <f t="shared" si="840"/>
        <v>0</v>
      </c>
      <c r="AC646" s="326" t="e">
        <f t="shared" si="866"/>
        <v>#DIV/0!</v>
      </c>
    </row>
    <row r="647" spans="1:29" ht="14.25" hidden="1" x14ac:dyDescent="0.2">
      <c r="B647" s="323" t="s">
        <v>887</v>
      </c>
      <c r="C647" s="206" t="s">
        <v>304</v>
      </c>
      <c r="D647" s="332"/>
      <c r="E647" s="325">
        <f>SUM('ADICIONES  2021'!C647:N647)</f>
        <v>0</v>
      </c>
      <c r="F647" s="277"/>
      <c r="G647" s="277"/>
      <c r="H647" s="277"/>
      <c r="I647" s="277"/>
      <c r="J647" s="277"/>
      <c r="K647" s="281">
        <f t="shared" si="835"/>
        <v>0</v>
      </c>
      <c r="L647" s="277"/>
      <c r="M647" s="277"/>
      <c r="N647" s="277"/>
      <c r="O647" s="277"/>
      <c r="P647" s="277"/>
      <c r="Q647" s="277"/>
      <c r="R647" s="281">
        <f t="shared" si="653"/>
        <v>0</v>
      </c>
      <c r="S647" s="277"/>
      <c r="T647" s="277"/>
      <c r="U647" s="277"/>
      <c r="V647" s="277"/>
      <c r="W647" s="277"/>
      <c r="X647" s="277"/>
      <c r="Y647" s="277"/>
      <c r="Z647" s="277"/>
      <c r="AA647" s="281">
        <f t="shared" si="836"/>
        <v>0</v>
      </c>
      <c r="AB647" s="403">
        <f t="shared" si="840"/>
        <v>0</v>
      </c>
      <c r="AC647" s="326" t="e">
        <f t="shared" si="866"/>
        <v>#DIV/0!</v>
      </c>
    </row>
    <row r="648" spans="1:29" ht="14.25" hidden="1" x14ac:dyDescent="0.2">
      <c r="B648" s="323" t="s">
        <v>888</v>
      </c>
      <c r="C648" s="206" t="s">
        <v>889</v>
      </c>
      <c r="D648" s="332"/>
      <c r="E648" s="325">
        <f>SUM('ADICIONES  2021'!C648:N648)</f>
        <v>0</v>
      </c>
      <c r="F648" s="277"/>
      <c r="G648" s="277"/>
      <c r="H648" s="277"/>
      <c r="I648" s="277"/>
      <c r="J648" s="277"/>
      <c r="K648" s="281">
        <f t="shared" si="835"/>
        <v>0</v>
      </c>
      <c r="L648" s="277"/>
      <c r="M648" s="277"/>
      <c r="N648" s="277"/>
      <c r="O648" s="277"/>
      <c r="P648" s="277"/>
      <c r="Q648" s="277"/>
      <c r="R648" s="281">
        <f t="shared" si="653"/>
        <v>0</v>
      </c>
      <c r="S648" s="277"/>
      <c r="T648" s="277"/>
      <c r="U648" s="277"/>
      <c r="V648" s="277"/>
      <c r="W648" s="277"/>
      <c r="X648" s="277"/>
      <c r="Y648" s="277"/>
      <c r="Z648" s="277"/>
      <c r="AA648" s="281">
        <f t="shared" si="836"/>
        <v>0</v>
      </c>
      <c r="AB648" s="403">
        <f t="shared" si="840"/>
        <v>0</v>
      </c>
      <c r="AC648" s="326" t="e">
        <f t="shared" si="866"/>
        <v>#DIV/0!</v>
      </c>
    </row>
    <row r="649" spans="1:29" ht="14.25" hidden="1" x14ac:dyDescent="0.2">
      <c r="B649" s="323" t="s">
        <v>890</v>
      </c>
      <c r="C649" s="206" t="s">
        <v>305</v>
      </c>
      <c r="D649" s="332"/>
      <c r="E649" s="325">
        <f>SUM('ADICIONES  2021'!C649:N649)</f>
        <v>0</v>
      </c>
      <c r="F649" s="277"/>
      <c r="G649" s="277"/>
      <c r="H649" s="277"/>
      <c r="I649" s="277"/>
      <c r="J649" s="277"/>
      <c r="K649" s="281">
        <f t="shared" si="835"/>
        <v>0</v>
      </c>
      <c r="L649" s="277"/>
      <c r="M649" s="277"/>
      <c r="N649" s="277"/>
      <c r="O649" s="277"/>
      <c r="P649" s="277"/>
      <c r="Q649" s="277"/>
      <c r="R649" s="281">
        <f t="shared" si="653"/>
        <v>0</v>
      </c>
      <c r="S649" s="277"/>
      <c r="T649" s="277"/>
      <c r="U649" s="277"/>
      <c r="V649" s="277"/>
      <c r="W649" s="277"/>
      <c r="X649" s="277"/>
      <c r="Y649" s="277"/>
      <c r="Z649" s="277"/>
      <c r="AA649" s="281">
        <f t="shared" si="836"/>
        <v>0</v>
      </c>
      <c r="AB649" s="403">
        <f t="shared" si="840"/>
        <v>0</v>
      </c>
      <c r="AC649" s="326" t="e">
        <f t="shared" si="866"/>
        <v>#DIV/0!</v>
      </c>
    </row>
    <row r="650" spans="1:29" ht="14.25" hidden="1" x14ac:dyDescent="0.2">
      <c r="B650" s="323" t="s">
        <v>891</v>
      </c>
      <c r="C650" s="206" t="s">
        <v>306</v>
      </c>
      <c r="D650" s="332"/>
      <c r="E650" s="325">
        <f>SUM('ADICIONES  2021'!C650:N650)</f>
        <v>0</v>
      </c>
      <c r="F650" s="277"/>
      <c r="G650" s="277"/>
      <c r="H650" s="277"/>
      <c r="I650" s="277"/>
      <c r="J650" s="277"/>
      <c r="K650" s="281">
        <f t="shared" si="835"/>
        <v>0</v>
      </c>
      <c r="L650" s="277"/>
      <c r="M650" s="277"/>
      <c r="N650" s="277"/>
      <c r="O650" s="277"/>
      <c r="P650" s="277"/>
      <c r="Q650" s="277"/>
      <c r="R650" s="281">
        <f t="shared" si="653"/>
        <v>0</v>
      </c>
      <c r="S650" s="277"/>
      <c r="T650" s="277"/>
      <c r="U650" s="277"/>
      <c r="V650" s="277"/>
      <c r="W650" s="277"/>
      <c r="X650" s="277"/>
      <c r="Y650" s="277"/>
      <c r="Z650" s="277"/>
      <c r="AA650" s="281">
        <f t="shared" si="836"/>
        <v>0</v>
      </c>
      <c r="AB650" s="403">
        <f t="shared" si="840"/>
        <v>0</v>
      </c>
      <c r="AC650" s="326" t="e">
        <f t="shared" si="866"/>
        <v>#DIV/0!</v>
      </c>
    </row>
    <row r="651" spans="1:29" ht="25.5" hidden="1" x14ac:dyDescent="0.2">
      <c r="B651" s="323" t="s">
        <v>892</v>
      </c>
      <c r="C651" s="206" t="s">
        <v>893</v>
      </c>
      <c r="D651" s="332"/>
      <c r="E651" s="325">
        <f>SUM('ADICIONES  2021'!C651:N651)</f>
        <v>0</v>
      </c>
      <c r="F651" s="277"/>
      <c r="G651" s="277"/>
      <c r="H651" s="277"/>
      <c r="I651" s="277"/>
      <c r="J651" s="277"/>
      <c r="K651" s="281">
        <f t="shared" si="835"/>
        <v>0</v>
      </c>
      <c r="L651" s="277"/>
      <c r="M651" s="277"/>
      <c r="N651" s="277"/>
      <c r="O651" s="277"/>
      <c r="P651" s="277"/>
      <c r="Q651" s="277"/>
      <c r="R651" s="281">
        <f t="shared" si="653"/>
        <v>0</v>
      </c>
      <c r="S651" s="277"/>
      <c r="T651" s="277"/>
      <c r="U651" s="277"/>
      <c r="V651" s="277"/>
      <c r="W651" s="277"/>
      <c r="X651" s="277"/>
      <c r="Y651" s="277"/>
      <c r="Z651" s="277"/>
      <c r="AA651" s="281">
        <f t="shared" si="836"/>
        <v>0</v>
      </c>
      <c r="AB651" s="403">
        <f t="shared" si="840"/>
        <v>0</v>
      </c>
      <c r="AC651" s="326" t="e">
        <f t="shared" si="866"/>
        <v>#DIV/0!</v>
      </c>
    </row>
    <row r="652" spans="1:29" ht="14.25" hidden="1" x14ac:dyDescent="0.2">
      <c r="B652" s="323" t="s">
        <v>894</v>
      </c>
      <c r="C652" s="206" t="s">
        <v>895</v>
      </c>
      <c r="D652" s="332"/>
      <c r="E652" s="325">
        <f>SUM('ADICIONES  2021'!C652:N652)</f>
        <v>0</v>
      </c>
      <c r="F652" s="277"/>
      <c r="G652" s="277"/>
      <c r="H652" s="277"/>
      <c r="I652" s="277"/>
      <c r="J652" s="277"/>
      <c r="K652" s="281">
        <f t="shared" si="835"/>
        <v>0</v>
      </c>
      <c r="L652" s="277"/>
      <c r="M652" s="277"/>
      <c r="N652" s="277"/>
      <c r="O652" s="277"/>
      <c r="P652" s="277"/>
      <c r="Q652" s="277"/>
      <c r="R652" s="281">
        <f t="shared" si="653"/>
        <v>0</v>
      </c>
      <c r="S652" s="277"/>
      <c r="T652" s="277"/>
      <c r="U652" s="277"/>
      <c r="V652" s="277"/>
      <c r="W652" s="277"/>
      <c r="X652" s="277"/>
      <c r="Y652" s="277"/>
      <c r="Z652" s="277"/>
      <c r="AA652" s="281">
        <f t="shared" si="836"/>
        <v>0</v>
      </c>
      <c r="AB652" s="403">
        <f t="shared" si="840"/>
        <v>0</v>
      </c>
      <c r="AC652" s="326" t="e">
        <f t="shared" si="866"/>
        <v>#DIV/0!</v>
      </c>
    </row>
    <row r="653" spans="1:29" ht="14.25" hidden="1" x14ac:dyDescent="0.2">
      <c r="B653" s="323" t="s">
        <v>896</v>
      </c>
      <c r="C653" s="206" t="s">
        <v>897</v>
      </c>
      <c r="D653" s="332"/>
      <c r="E653" s="325">
        <f>SUM('ADICIONES  2021'!C653:N653)</f>
        <v>0</v>
      </c>
      <c r="F653" s="281"/>
      <c r="G653" s="281"/>
      <c r="H653" s="281"/>
      <c r="I653" s="281"/>
      <c r="J653" s="281"/>
      <c r="K653" s="281">
        <f t="shared" si="835"/>
        <v>0</v>
      </c>
      <c r="L653" s="281"/>
      <c r="M653" s="281"/>
      <c r="N653" s="281"/>
      <c r="O653" s="281"/>
      <c r="P653" s="281"/>
      <c r="Q653" s="281"/>
      <c r="R653" s="281">
        <f t="shared" si="653"/>
        <v>0</v>
      </c>
      <c r="S653" s="281"/>
      <c r="T653" s="281"/>
      <c r="U653" s="281"/>
      <c r="V653" s="281"/>
      <c r="W653" s="281"/>
      <c r="X653" s="281"/>
      <c r="Y653" s="281"/>
      <c r="Z653" s="281"/>
      <c r="AA653" s="281">
        <f t="shared" si="836"/>
        <v>0</v>
      </c>
      <c r="AB653" s="403">
        <f t="shared" si="840"/>
        <v>0</v>
      </c>
      <c r="AC653" s="326" t="e">
        <f t="shared" si="866"/>
        <v>#DIV/0!</v>
      </c>
    </row>
    <row r="654" spans="1:29" ht="14.25" hidden="1" x14ac:dyDescent="0.2">
      <c r="B654" s="323" t="s">
        <v>898</v>
      </c>
      <c r="C654" s="206" t="s">
        <v>899</v>
      </c>
      <c r="D654" s="332"/>
      <c r="E654" s="325">
        <f>SUM('ADICIONES  2021'!C654:N654)</f>
        <v>0</v>
      </c>
      <c r="F654" s="277"/>
      <c r="G654" s="277"/>
      <c r="H654" s="277"/>
      <c r="I654" s="277"/>
      <c r="J654" s="277"/>
      <c r="K654" s="281">
        <f t="shared" si="835"/>
        <v>0</v>
      </c>
      <c r="L654" s="277"/>
      <c r="M654" s="277"/>
      <c r="N654" s="277"/>
      <c r="O654" s="277"/>
      <c r="P654" s="277"/>
      <c r="Q654" s="277"/>
      <c r="R654" s="281">
        <f t="shared" si="653"/>
        <v>0</v>
      </c>
      <c r="S654" s="277"/>
      <c r="T654" s="277"/>
      <c r="U654" s="277"/>
      <c r="V654" s="277"/>
      <c r="W654" s="277"/>
      <c r="X654" s="277"/>
      <c r="Y654" s="277"/>
      <c r="Z654" s="277"/>
      <c r="AA654" s="281">
        <f t="shared" si="836"/>
        <v>0</v>
      </c>
      <c r="AB654" s="403">
        <f t="shared" si="840"/>
        <v>0</v>
      </c>
      <c r="AC654" s="326" t="e">
        <f t="shared" si="866"/>
        <v>#DIV/0!</v>
      </c>
    </row>
    <row r="655" spans="1:29" ht="14.25" x14ac:dyDescent="0.2">
      <c r="A655" s="420">
        <v>1</v>
      </c>
      <c r="B655" s="323" t="s">
        <v>900</v>
      </c>
      <c r="C655" s="206" t="s">
        <v>325</v>
      </c>
      <c r="D655" s="332"/>
      <c r="E655" s="325">
        <f>SUM('ADICIONES  2021'!C655:N655)</f>
        <v>123766124</v>
      </c>
      <c r="F655" s="281"/>
      <c r="G655" s="281"/>
      <c r="H655" s="281"/>
      <c r="I655" s="281"/>
      <c r="J655" s="281"/>
      <c r="K655" s="281">
        <f t="shared" si="835"/>
        <v>123766124</v>
      </c>
      <c r="L655" s="281"/>
      <c r="M655" s="281"/>
      <c r="N655" s="281"/>
      <c r="O655" s="281"/>
      <c r="P655" s="281"/>
      <c r="Q655" s="281"/>
      <c r="R655" s="281">
        <f t="shared" si="653"/>
        <v>0</v>
      </c>
      <c r="S655" s="281"/>
      <c r="T655" s="281"/>
      <c r="U655" s="281"/>
      <c r="V655" s="281"/>
      <c r="W655" s="281"/>
      <c r="X655" s="281"/>
      <c r="Y655" s="281"/>
      <c r="Z655" s="281"/>
      <c r="AA655" s="281">
        <f t="shared" si="836"/>
        <v>0</v>
      </c>
      <c r="AB655" s="403">
        <f t="shared" si="840"/>
        <v>0</v>
      </c>
      <c r="AC655" s="326">
        <f t="shared" si="866"/>
        <v>0</v>
      </c>
    </row>
    <row r="656" spans="1:29" ht="14.25" x14ac:dyDescent="0.2">
      <c r="B656" s="323" t="s">
        <v>1896</v>
      </c>
      <c r="C656" s="206" t="s">
        <v>1897</v>
      </c>
      <c r="D656" s="332"/>
      <c r="E656" s="325">
        <f>SUM('ADICIONES  2021'!C656:N656)</f>
        <v>912138000</v>
      </c>
      <c r="F656" s="281"/>
      <c r="G656" s="281"/>
      <c r="H656" s="281"/>
      <c r="I656" s="281"/>
      <c r="J656" s="281"/>
      <c r="K656" s="281">
        <f t="shared" si="835"/>
        <v>912138000</v>
      </c>
      <c r="L656" s="281"/>
      <c r="M656" s="281"/>
      <c r="N656" s="281"/>
      <c r="O656" s="281"/>
      <c r="P656" s="281"/>
      <c r="Q656" s="281"/>
      <c r="R656" s="281">
        <f t="shared" si="653"/>
        <v>0</v>
      </c>
      <c r="S656" s="281"/>
      <c r="T656" s="281"/>
      <c r="U656" s="281"/>
      <c r="V656" s="281"/>
      <c r="W656" s="281">
        <v>123766124</v>
      </c>
      <c r="X656" s="281"/>
      <c r="Y656" s="281"/>
      <c r="Z656" s="281"/>
      <c r="AA656" s="281">
        <f t="shared" si="836"/>
        <v>123766124</v>
      </c>
      <c r="AB656" s="403">
        <f t="shared" si="840"/>
        <v>123766124</v>
      </c>
      <c r="AC656" s="326">
        <f t="shared" si="866"/>
        <v>0.13568793757085001</v>
      </c>
    </row>
    <row r="657" spans="1:29" ht="14.25" x14ac:dyDescent="0.2">
      <c r="B657" s="323" t="s">
        <v>1898</v>
      </c>
      <c r="C657" s="206" t="s">
        <v>1899</v>
      </c>
      <c r="D657" s="332"/>
      <c r="E657" s="325">
        <f>SUM('ADICIONES  2021'!C657:N657)</f>
        <v>0</v>
      </c>
      <c r="F657" s="281"/>
      <c r="G657" s="281"/>
      <c r="H657" s="281"/>
      <c r="I657" s="281"/>
      <c r="J657" s="281"/>
      <c r="K657" s="281">
        <f t="shared" si="835"/>
        <v>0</v>
      </c>
      <c r="L657" s="281"/>
      <c r="M657" s="281"/>
      <c r="N657" s="281"/>
      <c r="O657" s="281"/>
      <c r="P657" s="281"/>
      <c r="Q657" s="281"/>
      <c r="R657" s="281">
        <f t="shared" si="653"/>
        <v>0</v>
      </c>
      <c r="S657" s="281"/>
      <c r="T657" s="281"/>
      <c r="U657" s="281"/>
      <c r="V657" s="281"/>
      <c r="W657" s="281">
        <v>912138000</v>
      </c>
      <c r="X657" s="281"/>
      <c r="Y657" s="281"/>
      <c r="Z657" s="281"/>
      <c r="AA657" s="281">
        <f t="shared" si="836"/>
        <v>912138000</v>
      </c>
      <c r="AB657" s="403">
        <f t="shared" si="840"/>
        <v>912138000</v>
      </c>
      <c r="AC657" s="326">
        <v>0</v>
      </c>
    </row>
    <row r="658" spans="1:29" ht="25.5" hidden="1" x14ac:dyDescent="0.2">
      <c r="B658" s="323" t="s">
        <v>901</v>
      </c>
      <c r="C658" s="206" t="s">
        <v>902</v>
      </c>
      <c r="D658" s="332"/>
      <c r="E658" s="325">
        <f>SUM('ADICIONES  2021'!C658:N658)</f>
        <v>0</v>
      </c>
      <c r="F658" s="281"/>
      <c r="G658" s="281"/>
      <c r="H658" s="281"/>
      <c r="I658" s="281"/>
      <c r="J658" s="281"/>
      <c r="K658" s="281">
        <f t="shared" si="835"/>
        <v>0</v>
      </c>
      <c r="L658" s="281"/>
      <c r="M658" s="281"/>
      <c r="N658" s="281"/>
      <c r="O658" s="281"/>
      <c r="P658" s="281"/>
      <c r="Q658" s="281"/>
      <c r="R658" s="281">
        <f t="shared" ref="R658" si="873">SUM(L658:Q658)</f>
        <v>0</v>
      </c>
      <c r="S658" s="281"/>
      <c r="T658" s="281"/>
      <c r="U658" s="281"/>
      <c r="V658" s="281"/>
      <c r="W658" s="281"/>
      <c r="X658" s="281"/>
      <c r="Y658" s="281"/>
      <c r="Z658" s="281"/>
      <c r="AA658" s="281">
        <f t="shared" si="836"/>
        <v>0</v>
      </c>
      <c r="AB658" s="403">
        <f t="shared" si="840"/>
        <v>0</v>
      </c>
      <c r="AC658" s="326" t="e">
        <f t="shared" si="866"/>
        <v>#DIV/0!</v>
      </c>
    </row>
    <row r="659" spans="1:29" ht="25.5" hidden="1" x14ac:dyDescent="0.2">
      <c r="A659" s="420">
        <v>1</v>
      </c>
      <c r="B659" s="323" t="s">
        <v>903</v>
      </c>
      <c r="C659" s="206" t="s">
        <v>904</v>
      </c>
      <c r="D659" s="332"/>
      <c r="E659" s="325">
        <f>SUM('ADICIONES  2021'!C659:N659)</f>
        <v>0</v>
      </c>
      <c r="F659" s="281"/>
      <c r="G659" s="281"/>
      <c r="H659" s="281"/>
      <c r="I659" s="281"/>
      <c r="J659" s="281"/>
      <c r="K659" s="281">
        <f t="shared" si="835"/>
        <v>0</v>
      </c>
      <c r="L659" s="281"/>
      <c r="M659" s="281"/>
      <c r="N659" s="281"/>
      <c r="O659" s="281"/>
      <c r="P659" s="281"/>
      <c r="Q659" s="281"/>
      <c r="R659" s="281">
        <f t="shared" si="653"/>
        <v>0</v>
      </c>
      <c r="S659" s="281"/>
      <c r="T659" s="281"/>
      <c r="U659" s="281"/>
      <c r="V659" s="281"/>
      <c r="W659" s="281"/>
      <c r="X659" s="281"/>
      <c r="Y659" s="281"/>
      <c r="Z659" s="281"/>
      <c r="AA659" s="281">
        <f t="shared" si="836"/>
        <v>0</v>
      </c>
      <c r="AB659" s="403">
        <f t="shared" si="840"/>
        <v>0</v>
      </c>
      <c r="AC659" s="326" t="e">
        <f t="shared" si="866"/>
        <v>#DIV/0!</v>
      </c>
    </row>
    <row r="660" spans="1:29" ht="25.5" x14ac:dyDescent="0.2">
      <c r="B660" s="323" t="s">
        <v>905</v>
      </c>
      <c r="C660" s="206" t="s">
        <v>307</v>
      </c>
      <c r="D660" s="332"/>
      <c r="E660" s="325">
        <f>SUM('ADICIONES  2021'!C660:N660)</f>
        <v>0</v>
      </c>
      <c r="F660" s="281"/>
      <c r="G660" s="281"/>
      <c r="H660" s="281"/>
      <c r="I660" s="281"/>
      <c r="J660" s="281"/>
      <c r="K660" s="281">
        <f t="shared" si="835"/>
        <v>0</v>
      </c>
      <c r="L660" s="281"/>
      <c r="M660" s="281">
        <v>1916524</v>
      </c>
      <c r="N660" s="281">
        <v>486469</v>
      </c>
      <c r="O660" s="281"/>
      <c r="P660" s="281">
        <v>58150835.5</v>
      </c>
      <c r="Q660" s="281">
        <v>4838089.75</v>
      </c>
      <c r="R660" s="281">
        <f t="shared" ref="R660:R662" si="874">SUM(L660:Q660)</f>
        <v>65391918.25</v>
      </c>
      <c r="S660" s="281">
        <v>32684433.440000001</v>
      </c>
      <c r="T660" s="281"/>
      <c r="U660" s="281">
        <v>11775108.060000001</v>
      </c>
      <c r="V660" s="281"/>
      <c r="W660" s="281">
        <v>-109851459.75</v>
      </c>
      <c r="X660" s="281"/>
      <c r="Y660" s="281"/>
      <c r="Z660" s="281"/>
      <c r="AA660" s="281">
        <f t="shared" si="836"/>
        <v>-65391918.25</v>
      </c>
      <c r="AB660" s="403">
        <f t="shared" si="840"/>
        <v>0</v>
      </c>
      <c r="AC660" s="326">
        <v>0</v>
      </c>
    </row>
    <row r="661" spans="1:29" ht="25.5" x14ac:dyDescent="0.2">
      <c r="B661" s="323" t="s">
        <v>905</v>
      </c>
      <c r="C661" s="206" t="s">
        <v>307</v>
      </c>
      <c r="D661" s="332"/>
      <c r="E661" s="325">
        <f>SUM('ADICIONES  2021'!C661:N661)</f>
        <v>98087472</v>
      </c>
      <c r="F661" s="281"/>
      <c r="G661" s="281"/>
      <c r="H661" s="281"/>
      <c r="I661" s="281"/>
      <c r="J661" s="281"/>
      <c r="K661" s="281">
        <f t="shared" si="835"/>
        <v>98087472</v>
      </c>
      <c r="L661" s="281"/>
      <c r="M661" s="281"/>
      <c r="N661" s="281"/>
      <c r="O661" s="281"/>
      <c r="P661" s="281"/>
      <c r="Q661" s="281"/>
      <c r="R661" s="281">
        <f t="shared" si="874"/>
        <v>0</v>
      </c>
      <c r="S661" s="281"/>
      <c r="T661" s="281"/>
      <c r="U661" s="281"/>
      <c r="V661" s="281"/>
      <c r="W661" s="281">
        <v>111747395.26000001</v>
      </c>
      <c r="X661" s="281"/>
      <c r="Y661" s="281"/>
      <c r="Z661" s="281"/>
      <c r="AA661" s="281">
        <f t="shared" si="836"/>
        <v>111747395.26000001</v>
      </c>
      <c r="AB661" s="403">
        <f t="shared" si="840"/>
        <v>111747395.26000001</v>
      </c>
      <c r="AC661" s="326">
        <v>1</v>
      </c>
    </row>
    <row r="662" spans="1:29" ht="14.25" x14ac:dyDescent="0.2">
      <c r="B662" s="323" t="s">
        <v>906</v>
      </c>
      <c r="C662" s="206" t="s">
        <v>907</v>
      </c>
      <c r="D662" s="332"/>
      <c r="E662" s="325">
        <f>SUM('ADICIONES  2021'!C662:N662)</f>
        <v>0</v>
      </c>
      <c r="F662" s="281"/>
      <c r="G662" s="281"/>
      <c r="H662" s="281"/>
      <c r="I662" s="281"/>
      <c r="J662" s="281"/>
      <c r="K662" s="281">
        <f t="shared" si="835"/>
        <v>0</v>
      </c>
      <c r="L662" s="281"/>
      <c r="M662" s="281"/>
      <c r="N662" s="281"/>
      <c r="O662" s="281"/>
      <c r="P662" s="281"/>
      <c r="Q662" s="281">
        <v>0</v>
      </c>
      <c r="R662" s="281">
        <f t="shared" si="874"/>
        <v>0</v>
      </c>
      <c r="S662" s="281"/>
      <c r="T662" s="281"/>
      <c r="U662" s="281">
        <v>9236.4</v>
      </c>
      <c r="V662" s="281"/>
      <c r="W662" s="281">
        <v>10044.200000000001</v>
      </c>
      <c r="X662" s="281"/>
      <c r="Y662" s="281"/>
      <c r="Z662" s="281"/>
      <c r="AA662" s="281">
        <f t="shared" si="836"/>
        <v>19280.599999999999</v>
      </c>
      <c r="AB662" s="403">
        <f t="shared" si="840"/>
        <v>19280.599999999999</v>
      </c>
      <c r="AC662" s="326">
        <v>0</v>
      </c>
    </row>
    <row r="663" spans="1:29" ht="14.25" x14ac:dyDescent="0.2">
      <c r="B663" s="323" t="s">
        <v>908</v>
      </c>
      <c r="C663" s="206" t="s">
        <v>909</v>
      </c>
      <c r="D663" s="332"/>
      <c r="E663" s="325">
        <f>SUM('ADICIONES  2021'!C663:N663)</f>
        <v>0</v>
      </c>
      <c r="F663" s="281"/>
      <c r="G663" s="281"/>
      <c r="H663" s="281"/>
      <c r="I663" s="281"/>
      <c r="J663" s="281"/>
      <c r="K663" s="281">
        <f t="shared" si="835"/>
        <v>0</v>
      </c>
      <c r="L663" s="281"/>
      <c r="M663" s="281"/>
      <c r="N663" s="281"/>
      <c r="O663" s="281"/>
      <c r="P663" s="281"/>
      <c r="Q663" s="281">
        <v>0</v>
      </c>
      <c r="R663" s="281">
        <f t="shared" si="653"/>
        <v>0</v>
      </c>
      <c r="S663" s="281"/>
      <c r="T663" s="281">
        <v>439739</v>
      </c>
      <c r="U663" s="281">
        <v>0</v>
      </c>
      <c r="V663" s="281"/>
      <c r="W663" s="281">
        <v>463119.17</v>
      </c>
      <c r="X663" s="281"/>
      <c r="Y663" s="281"/>
      <c r="Z663" s="281"/>
      <c r="AA663" s="281">
        <f t="shared" si="836"/>
        <v>902858.16999999993</v>
      </c>
      <c r="AB663" s="403">
        <f t="shared" si="840"/>
        <v>902858.16999999993</v>
      </c>
      <c r="AC663" s="326">
        <v>0</v>
      </c>
    </row>
    <row r="664" spans="1:29" ht="14.25" x14ac:dyDescent="0.2">
      <c r="B664" s="323" t="s">
        <v>910</v>
      </c>
      <c r="C664" s="206" t="s">
        <v>911</v>
      </c>
      <c r="D664" s="332"/>
      <c r="E664" s="325">
        <f>SUM('ADICIONES  2021'!C664:N664)</f>
        <v>409565306.75</v>
      </c>
      <c r="F664" s="281"/>
      <c r="G664" s="281"/>
      <c r="H664" s="281"/>
      <c r="I664" s="281"/>
      <c r="J664" s="281"/>
      <c r="K664" s="281">
        <f t="shared" si="835"/>
        <v>409565306.75</v>
      </c>
      <c r="L664" s="281"/>
      <c r="M664" s="281"/>
      <c r="N664" s="281"/>
      <c r="O664" s="281"/>
      <c r="P664" s="281"/>
      <c r="Q664" s="281">
        <v>0</v>
      </c>
      <c r="R664" s="281">
        <f t="shared" si="653"/>
        <v>0</v>
      </c>
      <c r="S664" s="281"/>
      <c r="T664" s="281"/>
      <c r="U664" s="281">
        <v>0</v>
      </c>
      <c r="V664" s="281"/>
      <c r="W664" s="281">
        <v>409565306.75</v>
      </c>
      <c r="X664" s="281"/>
      <c r="Y664" s="281"/>
      <c r="Z664" s="281"/>
      <c r="AA664" s="281">
        <f t="shared" si="836"/>
        <v>409565306.75</v>
      </c>
      <c r="AB664" s="403">
        <f t="shared" si="840"/>
        <v>409565306.75</v>
      </c>
      <c r="AC664" s="326">
        <f t="shared" si="866"/>
        <v>1</v>
      </c>
    </row>
    <row r="665" spans="1:29" ht="14.25" hidden="1" x14ac:dyDescent="0.2">
      <c r="B665" s="323" t="s">
        <v>912</v>
      </c>
      <c r="C665" s="206" t="s">
        <v>913</v>
      </c>
      <c r="D665" s="332"/>
      <c r="E665" s="325">
        <f>SUM('ADICIONES  2021'!C665:N665)</f>
        <v>0</v>
      </c>
      <c r="F665" s="281"/>
      <c r="G665" s="281"/>
      <c r="H665" s="281"/>
      <c r="I665" s="281"/>
      <c r="J665" s="281"/>
      <c r="K665" s="281">
        <f t="shared" si="835"/>
        <v>0</v>
      </c>
      <c r="L665" s="281"/>
      <c r="M665" s="281"/>
      <c r="N665" s="281"/>
      <c r="O665" s="281"/>
      <c r="P665" s="281"/>
      <c r="Q665" s="281">
        <v>0</v>
      </c>
      <c r="R665" s="281">
        <f t="shared" si="653"/>
        <v>0</v>
      </c>
      <c r="S665" s="281"/>
      <c r="T665" s="281"/>
      <c r="U665" s="281">
        <v>0</v>
      </c>
      <c r="V665" s="281"/>
      <c r="W665" s="281">
        <v>0</v>
      </c>
      <c r="X665" s="281"/>
      <c r="Y665" s="281"/>
      <c r="Z665" s="281"/>
      <c r="AA665" s="281">
        <f t="shared" si="836"/>
        <v>0</v>
      </c>
      <c r="AB665" s="403">
        <f t="shared" si="840"/>
        <v>0</v>
      </c>
      <c r="AC665" s="326" t="e">
        <f t="shared" si="866"/>
        <v>#DIV/0!</v>
      </c>
    </row>
    <row r="666" spans="1:29" ht="14.25" x14ac:dyDescent="0.2">
      <c r="B666" s="323" t="s">
        <v>914</v>
      </c>
      <c r="C666" s="206" t="s">
        <v>915</v>
      </c>
      <c r="D666" s="332"/>
      <c r="E666" s="325">
        <f>SUM('ADICIONES  2021'!C666:N666)</f>
        <v>0</v>
      </c>
      <c r="F666" s="281"/>
      <c r="G666" s="281"/>
      <c r="H666" s="281"/>
      <c r="I666" s="281"/>
      <c r="J666" s="281"/>
      <c r="K666" s="281">
        <f t="shared" si="835"/>
        <v>0</v>
      </c>
      <c r="L666" s="281"/>
      <c r="M666" s="281"/>
      <c r="N666" s="281"/>
      <c r="O666" s="281"/>
      <c r="P666" s="281">
        <v>2049869.87</v>
      </c>
      <c r="Q666" s="281">
        <v>2996293</v>
      </c>
      <c r="R666" s="281">
        <f t="shared" si="653"/>
        <v>5046162.87</v>
      </c>
      <c r="S666" s="281"/>
      <c r="T666" s="281">
        <v>644565.69999999995</v>
      </c>
      <c r="U666" s="281">
        <v>1809.93</v>
      </c>
      <c r="V666" s="281"/>
      <c r="W666" s="281">
        <v>757681.8</v>
      </c>
      <c r="X666" s="281"/>
      <c r="Y666" s="281"/>
      <c r="Z666" s="281"/>
      <c r="AA666" s="281">
        <f t="shared" si="836"/>
        <v>1404057.4300000002</v>
      </c>
      <c r="AB666" s="403">
        <f t="shared" si="840"/>
        <v>6450220.3000000007</v>
      </c>
      <c r="AC666" s="326">
        <v>0</v>
      </c>
    </row>
    <row r="667" spans="1:29" ht="25.5" x14ac:dyDescent="0.2">
      <c r="B667" s="323" t="s">
        <v>916</v>
      </c>
      <c r="C667" s="206" t="s">
        <v>308</v>
      </c>
      <c r="D667" s="332"/>
      <c r="E667" s="325">
        <f>SUM('ADICIONES  2021'!C667:N667)</f>
        <v>0</v>
      </c>
      <c r="F667" s="277"/>
      <c r="G667" s="277"/>
      <c r="H667" s="277"/>
      <c r="I667" s="277"/>
      <c r="J667" s="277"/>
      <c r="K667" s="281">
        <f t="shared" si="835"/>
        <v>0</v>
      </c>
      <c r="L667" s="277"/>
      <c r="M667" s="277"/>
      <c r="N667" s="277">
        <v>3756634</v>
      </c>
      <c r="O667" s="277">
        <v>475284</v>
      </c>
      <c r="P667" s="277"/>
      <c r="Q667" s="277"/>
      <c r="R667" s="281">
        <f t="shared" si="653"/>
        <v>4231918</v>
      </c>
      <c r="S667" s="277">
        <v>3323474</v>
      </c>
      <c r="T667" s="277"/>
      <c r="U667" s="277">
        <v>0</v>
      </c>
      <c r="V667" s="277"/>
      <c r="W667" s="277"/>
      <c r="X667" s="277">
        <v>10178523.970000001</v>
      </c>
      <c r="Y667" s="277"/>
      <c r="Z667" s="277"/>
      <c r="AA667" s="281">
        <f t="shared" si="836"/>
        <v>13501997.970000001</v>
      </c>
      <c r="AB667" s="403">
        <f t="shared" si="840"/>
        <v>17733915.969999999</v>
      </c>
      <c r="AC667" s="326">
        <v>0</v>
      </c>
    </row>
    <row r="668" spans="1:29" ht="25.5" x14ac:dyDescent="0.2">
      <c r="B668" s="323" t="s">
        <v>917</v>
      </c>
      <c r="C668" s="206" t="s">
        <v>309</v>
      </c>
      <c r="D668" s="332"/>
      <c r="E668" s="325">
        <f>SUM('ADICIONES  2021'!C668:N668)</f>
        <v>0</v>
      </c>
      <c r="F668" s="277"/>
      <c r="G668" s="277"/>
      <c r="H668" s="277"/>
      <c r="I668" s="277"/>
      <c r="J668" s="277"/>
      <c r="K668" s="281">
        <f t="shared" si="835"/>
        <v>0</v>
      </c>
      <c r="L668" s="277"/>
      <c r="M668" s="277"/>
      <c r="N668" s="277"/>
      <c r="O668" s="277"/>
      <c r="P668" s="277">
        <v>343642.5</v>
      </c>
      <c r="Q668" s="277"/>
      <c r="R668" s="281">
        <f t="shared" si="653"/>
        <v>343642.5</v>
      </c>
      <c r="S668" s="277"/>
      <c r="T668" s="277"/>
      <c r="U668" s="277"/>
      <c r="V668" s="277"/>
      <c r="W668" s="277"/>
      <c r="X668" s="277"/>
      <c r="Y668" s="277"/>
      <c r="Z668" s="277"/>
      <c r="AA668" s="281">
        <f t="shared" si="836"/>
        <v>0</v>
      </c>
      <c r="AB668" s="403">
        <f t="shared" si="840"/>
        <v>343642.5</v>
      </c>
      <c r="AC668" s="326">
        <v>0</v>
      </c>
    </row>
    <row r="669" spans="1:29" ht="25.5" x14ac:dyDescent="0.2">
      <c r="B669" s="323" t="s">
        <v>918</v>
      </c>
      <c r="C669" s="206" t="s">
        <v>310</v>
      </c>
      <c r="D669" s="332"/>
      <c r="E669" s="325">
        <f>SUM('ADICIONES  2021'!C669:N669)</f>
        <v>0</v>
      </c>
      <c r="F669" s="277"/>
      <c r="G669" s="277"/>
      <c r="H669" s="277"/>
      <c r="I669" s="277"/>
      <c r="J669" s="277"/>
      <c r="K669" s="281">
        <f t="shared" si="835"/>
        <v>0</v>
      </c>
      <c r="L669" s="277"/>
      <c r="M669" s="277"/>
      <c r="N669" s="277"/>
      <c r="O669" s="277"/>
      <c r="P669" s="277"/>
      <c r="Q669" s="277"/>
      <c r="R669" s="281">
        <f t="shared" si="653"/>
        <v>0</v>
      </c>
      <c r="S669" s="277"/>
      <c r="T669" s="277">
        <v>64.12</v>
      </c>
      <c r="U669" s="277"/>
      <c r="V669" s="277"/>
      <c r="W669" s="277"/>
      <c r="X669" s="277"/>
      <c r="Y669" s="277"/>
      <c r="Z669" s="277"/>
      <c r="AA669" s="281">
        <f t="shared" si="836"/>
        <v>64.12</v>
      </c>
      <c r="AB669" s="403">
        <f t="shared" si="840"/>
        <v>64.12</v>
      </c>
      <c r="AC669" s="326">
        <v>0</v>
      </c>
    </row>
    <row r="670" spans="1:29" ht="14.25" x14ac:dyDescent="0.2">
      <c r="B670" s="323" t="s">
        <v>919</v>
      </c>
      <c r="C670" s="206" t="s">
        <v>311</v>
      </c>
      <c r="D670" s="332"/>
      <c r="E670" s="325">
        <f>SUM('ADICIONES  2021'!C670:N670)</f>
        <v>0</v>
      </c>
      <c r="F670" s="277"/>
      <c r="G670" s="277"/>
      <c r="H670" s="277"/>
      <c r="I670" s="277"/>
      <c r="J670" s="277"/>
      <c r="K670" s="281">
        <f t="shared" si="835"/>
        <v>0</v>
      </c>
      <c r="L670" s="277"/>
      <c r="M670" s="277"/>
      <c r="N670" s="277"/>
      <c r="O670" s="277"/>
      <c r="P670" s="277"/>
      <c r="Q670" s="277"/>
      <c r="R670" s="281">
        <f t="shared" si="653"/>
        <v>0</v>
      </c>
      <c r="S670" s="277"/>
      <c r="T670" s="277">
        <v>200931</v>
      </c>
      <c r="U670" s="277"/>
      <c r="V670" s="277"/>
      <c r="W670" s="277"/>
      <c r="X670" s="277"/>
      <c r="Y670" s="277"/>
      <c r="Z670" s="277"/>
      <c r="AA670" s="281">
        <f t="shared" si="836"/>
        <v>200931</v>
      </c>
      <c r="AB670" s="403">
        <f t="shared" si="840"/>
        <v>200931</v>
      </c>
      <c r="AC670" s="326">
        <v>0</v>
      </c>
    </row>
    <row r="671" spans="1:29" ht="25.5" x14ac:dyDescent="0.2">
      <c r="B671" s="323" t="s">
        <v>920</v>
      </c>
      <c r="C671" s="206" t="s">
        <v>312</v>
      </c>
      <c r="D671" s="332"/>
      <c r="E671" s="325">
        <f>SUM('ADICIONES  2021'!C671:N671)</f>
        <v>0</v>
      </c>
      <c r="F671" s="277"/>
      <c r="G671" s="277"/>
      <c r="H671" s="277"/>
      <c r="I671" s="277"/>
      <c r="J671" s="277"/>
      <c r="K671" s="281">
        <f t="shared" si="835"/>
        <v>0</v>
      </c>
      <c r="L671" s="277"/>
      <c r="M671" s="277"/>
      <c r="N671" s="277"/>
      <c r="O671" s="277"/>
      <c r="P671" s="277"/>
      <c r="Q671" s="277">
        <v>48830.77</v>
      </c>
      <c r="R671" s="281">
        <f t="shared" si="653"/>
        <v>48830.77</v>
      </c>
      <c r="S671" s="277">
        <v>106193.29</v>
      </c>
      <c r="T671" s="277"/>
      <c r="U671" s="277"/>
      <c r="V671" s="277"/>
      <c r="W671" s="277"/>
      <c r="X671" s="277"/>
      <c r="Y671" s="277"/>
      <c r="Z671" s="277"/>
      <c r="AA671" s="281">
        <f t="shared" si="836"/>
        <v>106193.29</v>
      </c>
      <c r="AB671" s="403">
        <f t="shared" si="840"/>
        <v>155024.06</v>
      </c>
      <c r="AC671" s="326">
        <v>0</v>
      </c>
    </row>
    <row r="672" spans="1:29" ht="25.5" x14ac:dyDescent="0.2">
      <c r="B672" s="323" t="s">
        <v>921</v>
      </c>
      <c r="C672" s="206" t="s">
        <v>313</v>
      </c>
      <c r="D672" s="332"/>
      <c r="E672" s="325">
        <f>SUM('ADICIONES  2021'!C672:N672)</f>
        <v>0</v>
      </c>
      <c r="F672" s="277"/>
      <c r="G672" s="277"/>
      <c r="H672" s="277"/>
      <c r="I672" s="277"/>
      <c r="J672" s="277"/>
      <c r="K672" s="281">
        <f t="shared" si="835"/>
        <v>0</v>
      </c>
      <c r="L672" s="277"/>
      <c r="M672" s="277"/>
      <c r="N672" s="277"/>
      <c r="O672" s="277">
        <v>164431.26999999999</v>
      </c>
      <c r="P672" s="277"/>
      <c r="Q672" s="277">
        <v>71416.66</v>
      </c>
      <c r="R672" s="281">
        <f t="shared" si="653"/>
        <v>235847.93</v>
      </c>
      <c r="S672" s="277"/>
      <c r="T672" s="277">
        <v>4972715.5</v>
      </c>
      <c r="U672" s="277"/>
      <c r="V672" s="277"/>
      <c r="W672" s="277"/>
      <c r="X672" s="277">
        <v>983525.34</v>
      </c>
      <c r="Y672" s="277"/>
      <c r="Z672" s="277"/>
      <c r="AA672" s="281">
        <f t="shared" si="836"/>
        <v>5956240.8399999999</v>
      </c>
      <c r="AB672" s="403">
        <f t="shared" si="840"/>
        <v>6192088.7699999996</v>
      </c>
      <c r="AC672" s="326">
        <v>0</v>
      </c>
    </row>
    <row r="673" spans="2:29" ht="38.25" x14ac:dyDescent="0.2">
      <c r="B673" s="323" t="s">
        <v>922</v>
      </c>
      <c r="C673" s="206" t="s">
        <v>314</v>
      </c>
      <c r="D673" s="332"/>
      <c r="E673" s="325">
        <f>SUM('ADICIONES  2021'!C673:N673)</f>
        <v>0</v>
      </c>
      <c r="F673" s="277"/>
      <c r="G673" s="277"/>
      <c r="H673" s="277"/>
      <c r="I673" s="277"/>
      <c r="J673" s="277"/>
      <c r="K673" s="281">
        <f t="shared" si="835"/>
        <v>0</v>
      </c>
      <c r="L673" s="277"/>
      <c r="M673" s="277"/>
      <c r="N673" s="277"/>
      <c r="O673" s="277"/>
      <c r="P673" s="277">
        <v>87341978.129999995</v>
      </c>
      <c r="Q673" s="277"/>
      <c r="R673" s="281">
        <f t="shared" si="653"/>
        <v>87341978.129999995</v>
      </c>
      <c r="S673" s="277"/>
      <c r="T673" s="277"/>
      <c r="U673" s="277"/>
      <c r="V673" s="277"/>
      <c r="W673" s="277"/>
      <c r="X673" s="277"/>
      <c r="Y673" s="277"/>
      <c r="Z673" s="277"/>
      <c r="AA673" s="281">
        <f t="shared" si="836"/>
        <v>0</v>
      </c>
      <c r="AB673" s="403">
        <f t="shared" si="840"/>
        <v>87341978.129999995</v>
      </c>
      <c r="AC673" s="326">
        <v>0</v>
      </c>
    </row>
    <row r="674" spans="2:29" ht="38.25" hidden="1" x14ac:dyDescent="0.2">
      <c r="B674" s="323" t="s">
        <v>923</v>
      </c>
      <c r="C674" s="206" t="s">
        <v>315</v>
      </c>
      <c r="D674" s="332"/>
      <c r="E674" s="325">
        <f>SUM('ADICIONES  2021'!C674:N674)</f>
        <v>0</v>
      </c>
      <c r="F674" s="281"/>
      <c r="G674" s="281"/>
      <c r="H674" s="281"/>
      <c r="I674" s="281"/>
      <c r="J674" s="281"/>
      <c r="K674" s="281">
        <f t="shared" si="835"/>
        <v>0</v>
      </c>
      <c r="L674" s="281"/>
      <c r="M674" s="281"/>
      <c r="N674" s="281"/>
      <c r="O674" s="281"/>
      <c r="P674" s="281"/>
      <c r="Q674" s="281"/>
      <c r="R674" s="281">
        <f t="shared" si="653"/>
        <v>0</v>
      </c>
      <c r="S674" s="281"/>
      <c r="T674" s="281"/>
      <c r="U674" s="281"/>
      <c r="V674" s="281"/>
      <c r="W674" s="281"/>
      <c r="X674" s="281"/>
      <c r="Y674" s="281"/>
      <c r="Z674" s="281"/>
      <c r="AA674" s="281">
        <f t="shared" si="836"/>
        <v>0</v>
      </c>
      <c r="AB674" s="403">
        <f t="shared" si="840"/>
        <v>0</v>
      </c>
      <c r="AC674" s="326" t="e">
        <f t="shared" si="866"/>
        <v>#DIV/0!</v>
      </c>
    </row>
    <row r="675" spans="2:29" ht="38.25" hidden="1" x14ac:dyDescent="0.2">
      <c r="B675" s="323" t="s">
        <v>924</v>
      </c>
      <c r="C675" s="206" t="s">
        <v>316</v>
      </c>
      <c r="D675" s="332"/>
      <c r="E675" s="325">
        <f>SUM('ADICIONES  2021'!C675:N675)</f>
        <v>0</v>
      </c>
      <c r="F675" s="281"/>
      <c r="G675" s="281"/>
      <c r="H675" s="281"/>
      <c r="I675" s="281"/>
      <c r="J675" s="281"/>
      <c r="K675" s="281">
        <f t="shared" si="835"/>
        <v>0</v>
      </c>
      <c r="L675" s="281"/>
      <c r="M675" s="281"/>
      <c r="N675" s="281"/>
      <c r="O675" s="281"/>
      <c r="P675" s="281"/>
      <c r="Q675" s="281"/>
      <c r="R675" s="281">
        <f t="shared" ref="R675:R749" si="875">SUM(L675:Q675)</f>
        <v>0</v>
      </c>
      <c r="S675" s="281"/>
      <c r="T675" s="281"/>
      <c r="U675" s="281"/>
      <c r="V675" s="281"/>
      <c r="W675" s="281"/>
      <c r="X675" s="281"/>
      <c r="Y675" s="281"/>
      <c r="Z675" s="281"/>
      <c r="AA675" s="281">
        <f t="shared" si="836"/>
        <v>0</v>
      </c>
      <c r="AB675" s="403">
        <f t="shared" si="840"/>
        <v>0</v>
      </c>
      <c r="AC675" s="326" t="e">
        <f t="shared" si="866"/>
        <v>#DIV/0!</v>
      </c>
    </row>
    <row r="676" spans="2:29" ht="25.5" hidden="1" x14ac:dyDescent="0.2">
      <c r="B676" s="323" t="s">
        <v>925</v>
      </c>
      <c r="C676" s="206" t="s">
        <v>317</v>
      </c>
      <c r="D676" s="332"/>
      <c r="E676" s="325">
        <f>SUM('ADICIONES  2021'!C676:N676)</f>
        <v>0</v>
      </c>
      <c r="F676" s="281"/>
      <c r="G676" s="281"/>
      <c r="H676" s="281"/>
      <c r="I676" s="281"/>
      <c r="J676" s="281"/>
      <c r="K676" s="281">
        <f t="shared" si="835"/>
        <v>0</v>
      </c>
      <c r="L676" s="281"/>
      <c r="M676" s="281"/>
      <c r="N676" s="281"/>
      <c r="O676" s="281"/>
      <c r="P676" s="281"/>
      <c r="Q676" s="281"/>
      <c r="R676" s="281">
        <f t="shared" si="875"/>
        <v>0</v>
      </c>
      <c r="S676" s="281"/>
      <c r="T676" s="281"/>
      <c r="U676" s="281"/>
      <c r="V676" s="281"/>
      <c r="W676" s="281"/>
      <c r="X676" s="281"/>
      <c r="Y676" s="281"/>
      <c r="Z676" s="281"/>
      <c r="AA676" s="281">
        <f t="shared" si="836"/>
        <v>0</v>
      </c>
      <c r="AB676" s="403">
        <f t="shared" si="840"/>
        <v>0</v>
      </c>
      <c r="AC676" s="326" t="e">
        <f t="shared" si="866"/>
        <v>#DIV/0!</v>
      </c>
    </row>
    <row r="677" spans="2:29" ht="14.25" x14ac:dyDescent="0.2">
      <c r="B677" s="323" t="s">
        <v>926</v>
      </c>
      <c r="C677" s="206" t="s">
        <v>318</v>
      </c>
      <c r="D677" s="332"/>
      <c r="E677" s="325">
        <f>SUM('ADICIONES  2021'!C677:N677)</f>
        <v>0</v>
      </c>
      <c r="F677" s="281"/>
      <c r="G677" s="281"/>
      <c r="H677" s="281"/>
      <c r="I677" s="281"/>
      <c r="J677" s="281"/>
      <c r="K677" s="281">
        <f t="shared" si="835"/>
        <v>0</v>
      </c>
      <c r="L677" s="281"/>
      <c r="M677" s="281"/>
      <c r="N677" s="281"/>
      <c r="O677" s="281"/>
      <c r="P677" s="281">
        <v>64115</v>
      </c>
      <c r="Q677" s="281"/>
      <c r="R677" s="281">
        <f t="shared" si="875"/>
        <v>64115</v>
      </c>
      <c r="S677" s="281"/>
      <c r="T677" s="281"/>
      <c r="U677" s="281">
        <v>969151531.42999995</v>
      </c>
      <c r="V677" s="281"/>
      <c r="W677" s="281"/>
      <c r="X677" s="281"/>
      <c r="Y677" s="281"/>
      <c r="Z677" s="281"/>
      <c r="AA677" s="281">
        <f t="shared" si="836"/>
        <v>969151531.42999995</v>
      </c>
      <c r="AB677" s="403">
        <f t="shared" si="840"/>
        <v>969215646.42999995</v>
      </c>
      <c r="AC677" s="326">
        <v>0</v>
      </c>
    </row>
    <row r="678" spans="2:29" ht="14.25" x14ac:dyDescent="0.2">
      <c r="B678" s="323" t="s">
        <v>926</v>
      </c>
      <c r="C678" s="206" t="s">
        <v>318</v>
      </c>
      <c r="D678" s="332"/>
      <c r="E678" s="325">
        <f>SUM('ADICIONES  2021'!C678:N678)</f>
        <v>964331110</v>
      </c>
      <c r="F678" s="281"/>
      <c r="G678" s="281"/>
      <c r="H678" s="281"/>
      <c r="I678" s="281"/>
      <c r="J678" s="281"/>
      <c r="K678" s="281">
        <f t="shared" si="835"/>
        <v>964331110</v>
      </c>
      <c r="L678" s="281"/>
      <c r="M678" s="281"/>
      <c r="N678" s="281"/>
      <c r="O678" s="281"/>
      <c r="P678" s="281"/>
      <c r="Q678" s="281"/>
      <c r="R678" s="281">
        <f t="shared" si="875"/>
        <v>0</v>
      </c>
      <c r="S678" s="281"/>
      <c r="T678" s="281"/>
      <c r="U678" s="281"/>
      <c r="V678" s="281"/>
      <c r="W678" s="281">
        <v>964331110</v>
      </c>
      <c r="X678" s="281"/>
      <c r="Y678" s="281"/>
      <c r="Z678" s="281"/>
      <c r="AA678" s="281">
        <f t="shared" ref="AA678:AA694" si="876">SUM(S678:Z678)</f>
        <v>964331110</v>
      </c>
      <c r="AB678" s="403">
        <f t="shared" si="840"/>
        <v>964331110</v>
      </c>
      <c r="AC678" s="326">
        <f t="shared" si="866"/>
        <v>1</v>
      </c>
    </row>
    <row r="679" spans="2:29" ht="14.25" x14ac:dyDescent="0.2">
      <c r="B679" s="323" t="s">
        <v>927</v>
      </c>
      <c r="C679" s="206" t="s">
        <v>319</v>
      </c>
      <c r="D679" s="332"/>
      <c r="E679" s="325">
        <f>SUM('ADICIONES  2021'!C679:N679)</f>
        <v>0</v>
      </c>
      <c r="F679" s="277"/>
      <c r="G679" s="277"/>
      <c r="H679" s="277"/>
      <c r="I679" s="277"/>
      <c r="J679" s="277"/>
      <c r="K679" s="281">
        <f t="shared" si="835"/>
        <v>0</v>
      </c>
      <c r="L679" s="277"/>
      <c r="M679" s="277"/>
      <c r="N679" s="277"/>
      <c r="O679" s="277"/>
      <c r="P679" s="277">
        <v>745811</v>
      </c>
      <c r="Q679" s="277"/>
      <c r="R679" s="281">
        <f t="shared" si="875"/>
        <v>745811</v>
      </c>
      <c r="S679" s="277"/>
      <c r="T679" s="277"/>
      <c r="U679" s="277"/>
      <c r="V679" s="277"/>
      <c r="W679" s="277"/>
      <c r="X679" s="277"/>
      <c r="Y679" s="277"/>
      <c r="Z679" s="277"/>
      <c r="AA679" s="281">
        <f t="shared" si="876"/>
        <v>0</v>
      </c>
      <c r="AB679" s="403">
        <f t="shared" si="840"/>
        <v>745811</v>
      </c>
      <c r="AC679" s="326">
        <v>0</v>
      </c>
    </row>
    <row r="680" spans="2:29" ht="25.5" hidden="1" x14ac:dyDescent="0.2">
      <c r="B680" s="323" t="s">
        <v>928</v>
      </c>
      <c r="C680" s="206" t="s">
        <v>320</v>
      </c>
      <c r="D680" s="332"/>
      <c r="E680" s="325">
        <f>SUM('ADICIONES  2021'!C680:N680)</f>
        <v>0</v>
      </c>
      <c r="F680" s="277"/>
      <c r="G680" s="277"/>
      <c r="H680" s="277"/>
      <c r="I680" s="277"/>
      <c r="J680" s="277"/>
      <c r="K680" s="281">
        <f t="shared" si="835"/>
        <v>0</v>
      </c>
      <c r="L680" s="277"/>
      <c r="M680" s="277"/>
      <c r="N680" s="277"/>
      <c r="O680" s="277"/>
      <c r="P680" s="277"/>
      <c r="Q680" s="277"/>
      <c r="R680" s="281">
        <f t="shared" si="875"/>
        <v>0</v>
      </c>
      <c r="S680" s="277"/>
      <c r="T680" s="277"/>
      <c r="U680" s="277"/>
      <c r="V680" s="277"/>
      <c r="W680" s="277"/>
      <c r="X680" s="277"/>
      <c r="Y680" s="277"/>
      <c r="Z680" s="277"/>
      <c r="AA680" s="281">
        <f t="shared" si="876"/>
        <v>0</v>
      </c>
      <c r="AB680" s="403">
        <f t="shared" si="840"/>
        <v>0</v>
      </c>
      <c r="AC680" s="326" t="e">
        <f t="shared" si="866"/>
        <v>#DIV/0!</v>
      </c>
    </row>
    <row r="681" spans="2:29" ht="14.25" x14ac:dyDescent="0.2">
      <c r="B681" s="323" t="s">
        <v>929</v>
      </c>
      <c r="C681" s="206" t="s">
        <v>321</v>
      </c>
      <c r="D681" s="332"/>
      <c r="E681" s="325">
        <f>SUM('ADICIONES  2021'!C681:N681)</f>
        <v>0</v>
      </c>
      <c r="F681" s="281"/>
      <c r="G681" s="281"/>
      <c r="H681" s="281"/>
      <c r="I681" s="281"/>
      <c r="J681" s="281"/>
      <c r="K681" s="281">
        <f t="shared" si="835"/>
        <v>0</v>
      </c>
      <c r="L681" s="281"/>
      <c r="M681" s="281"/>
      <c r="N681" s="281">
        <v>7955946.2999999998</v>
      </c>
      <c r="O681" s="281"/>
      <c r="P681" s="281"/>
      <c r="Q681" s="281"/>
      <c r="R681" s="281">
        <f t="shared" si="875"/>
        <v>7955946.2999999998</v>
      </c>
      <c r="S681" s="281"/>
      <c r="T681" s="281"/>
      <c r="U681" s="281"/>
      <c r="V681" s="281"/>
      <c r="W681" s="281"/>
      <c r="X681" s="281"/>
      <c r="Y681" s="281"/>
      <c r="Z681" s="281"/>
      <c r="AA681" s="281">
        <f t="shared" si="876"/>
        <v>0</v>
      </c>
      <c r="AB681" s="403">
        <f t="shared" si="840"/>
        <v>7955946.2999999998</v>
      </c>
      <c r="AC681" s="326">
        <v>0</v>
      </c>
    </row>
    <row r="682" spans="2:29" ht="14.25" hidden="1" x14ac:dyDescent="0.2">
      <c r="B682" s="323" t="s">
        <v>930</v>
      </c>
      <c r="C682" s="206" t="s">
        <v>322</v>
      </c>
      <c r="D682" s="332"/>
      <c r="E682" s="325">
        <f>SUM('ADICIONES  2021'!C682:N682)</f>
        <v>0</v>
      </c>
      <c r="F682" s="281"/>
      <c r="G682" s="281"/>
      <c r="H682" s="281"/>
      <c r="I682" s="281"/>
      <c r="J682" s="281"/>
      <c r="K682" s="281">
        <f t="shared" si="835"/>
        <v>0</v>
      </c>
      <c r="L682" s="281"/>
      <c r="M682" s="281"/>
      <c r="N682" s="281"/>
      <c r="O682" s="281"/>
      <c r="P682" s="281"/>
      <c r="Q682" s="281"/>
      <c r="R682" s="281">
        <f t="shared" si="875"/>
        <v>0</v>
      </c>
      <c r="S682" s="281"/>
      <c r="T682" s="281"/>
      <c r="U682" s="281"/>
      <c r="V682" s="281"/>
      <c r="W682" s="281"/>
      <c r="X682" s="281"/>
      <c r="Y682" s="281"/>
      <c r="Z682" s="281"/>
      <c r="AA682" s="281">
        <f t="shared" si="876"/>
        <v>0</v>
      </c>
      <c r="AB682" s="403">
        <f t="shared" si="840"/>
        <v>0</v>
      </c>
      <c r="AC682" s="326" t="e">
        <f t="shared" si="866"/>
        <v>#DIV/0!</v>
      </c>
    </row>
    <row r="683" spans="2:29" ht="14.25" x14ac:dyDescent="0.2">
      <c r="B683" s="323" t="s">
        <v>931</v>
      </c>
      <c r="C683" s="206" t="s">
        <v>323</v>
      </c>
      <c r="D683" s="332"/>
      <c r="E683" s="325">
        <f>SUM('ADICIONES  2021'!C683:N683)</f>
        <v>0</v>
      </c>
      <c r="F683" s="281"/>
      <c r="G683" s="281"/>
      <c r="H683" s="281"/>
      <c r="I683" s="281"/>
      <c r="J683" s="281"/>
      <c r="K683" s="281">
        <f t="shared" si="835"/>
        <v>0</v>
      </c>
      <c r="L683" s="281"/>
      <c r="M683" s="281"/>
      <c r="N683" s="281">
        <v>10126785.23</v>
      </c>
      <c r="O683" s="342">
        <v>299373.71000000002</v>
      </c>
      <c r="P683" s="281">
        <v>2310860.37</v>
      </c>
      <c r="Q683" s="281">
        <v>1452575.58</v>
      </c>
      <c r="R683" s="281">
        <f t="shared" si="875"/>
        <v>14189594.890000002</v>
      </c>
      <c r="S683" s="281">
        <v>2591167.67</v>
      </c>
      <c r="T683" s="281">
        <v>630435.41</v>
      </c>
      <c r="U683" s="281">
        <v>417421.58</v>
      </c>
      <c r="V683" s="281">
        <v>15852540.310000001</v>
      </c>
      <c r="W683" s="281">
        <v>1871.58</v>
      </c>
      <c r="X683" s="281">
        <v>741625.18</v>
      </c>
      <c r="Y683" s="281"/>
      <c r="Z683" s="281"/>
      <c r="AA683" s="281">
        <f t="shared" si="876"/>
        <v>20235061.729999997</v>
      </c>
      <c r="AB683" s="403">
        <f t="shared" si="840"/>
        <v>34424656.619999997</v>
      </c>
      <c r="AC683" s="326">
        <v>0</v>
      </c>
    </row>
    <row r="684" spans="2:29" ht="25.5" hidden="1" x14ac:dyDescent="0.2">
      <c r="B684" s="323" t="s">
        <v>932</v>
      </c>
      <c r="C684" s="206" t="s">
        <v>324</v>
      </c>
      <c r="D684" s="332"/>
      <c r="E684" s="325">
        <f>SUM('ADICIONES  2021'!C684:N684)</f>
        <v>0</v>
      </c>
      <c r="F684" s="281"/>
      <c r="G684" s="281"/>
      <c r="H684" s="281"/>
      <c r="I684" s="281"/>
      <c r="J684" s="281"/>
      <c r="K684" s="281">
        <f t="shared" si="835"/>
        <v>0</v>
      </c>
      <c r="L684" s="281"/>
      <c r="M684" s="281"/>
      <c r="N684" s="281"/>
      <c r="O684" s="281"/>
      <c r="P684" s="281"/>
      <c r="Q684" s="281">
        <v>0</v>
      </c>
      <c r="R684" s="281">
        <f t="shared" si="875"/>
        <v>0</v>
      </c>
      <c r="S684" s="281"/>
      <c r="T684" s="281"/>
      <c r="U684" s="281"/>
      <c r="V684" s="281"/>
      <c r="W684" s="281">
        <v>0</v>
      </c>
      <c r="X684" s="281"/>
      <c r="Y684" s="281"/>
      <c r="Z684" s="281"/>
      <c r="AA684" s="281">
        <f t="shared" si="876"/>
        <v>0</v>
      </c>
      <c r="AB684" s="403">
        <f t="shared" si="840"/>
        <v>0</v>
      </c>
      <c r="AC684" s="326" t="e">
        <f t="shared" si="866"/>
        <v>#DIV/0!</v>
      </c>
    </row>
    <row r="685" spans="2:29" ht="25.5" x14ac:dyDescent="0.2">
      <c r="B685" s="323" t="s">
        <v>933</v>
      </c>
      <c r="C685" s="206" t="s">
        <v>934</v>
      </c>
      <c r="D685" s="332"/>
      <c r="E685" s="325">
        <f>SUM('ADICIONES  2021'!C685:N685)</f>
        <v>0</v>
      </c>
      <c r="F685" s="281"/>
      <c r="G685" s="281"/>
      <c r="H685" s="281"/>
      <c r="I685" s="281"/>
      <c r="J685" s="281"/>
      <c r="K685" s="281">
        <f t="shared" si="835"/>
        <v>0</v>
      </c>
      <c r="L685" s="281"/>
      <c r="M685" s="281"/>
      <c r="N685" s="281">
        <v>23730.19</v>
      </c>
      <c r="O685" s="281">
        <v>8173.59</v>
      </c>
      <c r="P685" s="281">
        <v>249600.01</v>
      </c>
      <c r="Q685" s="281">
        <v>19916151.370000001</v>
      </c>
      <c r="R685" s="281">
        <f t="shared" si="875"/>
        <v>20197655.16</v>
      </c>
      <c r="S685" s="281">
        <v>7910.03</v>
      </c>
      <c r="T685" s="281">
        <v>8174.66</v>
      </c>
      <c r="U685" s="281">
        <v>964791975.61000001</v>
      </c>
      <c r="V685" s="281"/>
      <c r="W685" s="281">
        <v>16083.67</v>
      </c>
      <c r="X685" s="281">
        <v>8173.62</v>
      </c>
      <c r="Y685" s="281"/>
      <c r="Z685" s="281"/>
      <c r="AA685" s="281">
        <f t="shared" si="876"/>
        <v>964832317.59000003</v>
      </c>
      <c r="AB685" s="403">
        <f t="shared" si="840"/>
        <v>985029972.75</v>
      </c>
      <c r="AC685" s="326">
        <v>0</v>
      </c>
    </row>
    <row r="686" spans="2:29" ht="25.5" x14ac:dyDescent="0.2">
      <c r="B686" s="323" t="s">
        <v>933</v>
      </c>
      <c r="C686" s="206" t="s">
        <v>934</v>
      </c>
      <c r="D686" s="332"/>
      <c r="E686" s="325">
        <f>SUM('ADICIONES  2021'!C686:N686)</f>
        <v>1006004300.77</v>
      </c>
      <c r="F686" s="281"/>
      <c r="G686" s="281"/>
      <c r="H686" s="281"/>
      <c r="I686" s="281"/>
      <c r="J686" s="281"/>
      <c r="K686" s="281">
        <f t="shared" si="835"/>
        <v>1006004300.77</v>
      </c>
      <c r="L686" s="281"/>
      <c r="M686" s="281"/>
      <c r="N686" s="281"/>
      <c r="O686" s="281"/>
      <c r="P686" s="281"/>
      <c r="Q686" s="281"/>
      <c r="R686" s="281">
        <f t="shared" si="875"/>
        <v>0</v>
      </c>
      <c r="S686" s="281"/>
      <c r="T686" s="281"/>
      <c r="U686" s="281"/>
      <c r="V686" s="281"/>
      <c r="W686" s="281">
        <v>1006004300.77</v>
      </c>
      <c r="X686" s="281"/>
      <c r="Y686" s="281"/>
      <c r="Z686" s="281"/>
      <c r="AA686" s="281">
        <f t="shared" si="876"/>
        <v>1006004300.77</v>
      </c>
      <c r="AB686" s="403">
        <f t="shared" si="840"/>
        <v>1006004300.77</v>
      </c>
      <c r="AC686" s="326">
        <f t="shared" si="866"/>
        <v>1</v>
      </c>
    </row>
    <row r="687" spans="2:29" ht="25.5" x14ac:dyDescent="0.2">
      <c r="B687" s="323" t="s">
        <v>935</v>
      </c>
      <c r="C687" s="206" t="s">
        <v>936</v>
      </c>
      <c r="D687" s="332"/>
      <c r="E687" s="325">
        <f>SUM('ADICIONES  2021'!C687:N687)</f>
        <v>0</v>
      </c>
      <c r="F687" s="277"/>
      <c r="G687" s="277"/>
      <c r="H687" s="277"/>
      <c r="I687" s="277"/>
      <c r="J687" s="277"/>
      <c r="K687" s="281">
        <f t="shared" si="835"/>
        <v>0</v>
      </c>
      <c r="L687" s="277"/>
      <c r="M687" s="277"/>
      <c r="N687" s="277"/>
      <c r="O687" s="277"/>
      <c r="P687" s="277"/>
      <c r="Q687" s="277"/>
      <c r="R687" s="281">
        <f t="shared" si="875"/>
        <v>0</v>
      </c>
      <c r="S687" s="277"/>
      <c r="T687" s="277">
        <v>61263</v>
      </c>
      <c r="U687" s="277"/>
      <c r="V687" s="277"/>
      <c r="W687" s="277">
        <v>0</v>
      </c>
      <c r="X687" s="277"/>
      <c r="Y687" s="277"/>
      <c r="Z687" s="277"/>
      <c r="AA687" s="281">
        <f t="shared" si="876"/>
        <v>61263</v>
      </c>
      <c r="AB687" s="403">
        <f t="shared" si="840"/>
        <v>61263</v>
      </c>
      <c r="AC687" s="326">
        <v>0</v>
      </c>
    </row>
    <row r="688" spans="2:29" ht="25.5" x14ac:dyDescent="0.2">
      <c r="B688" s="323" t="s">
        <v>937</v>
      </c>
      <c r="C688" s="206" t="s">
        <v>938</v>
      </c>
      <c r="D688" s="332"/>
      <c r="E688" s="325">
        <f>SUM('ADICIONES  2021'!C688:N688)</f>
        <v>0</v>
      </c>
      <c r="F688" s="277"/>
      <c r="G688" s="277"/>
      <c r="H688" s="277"/>
      <c r="I688" s="277"/>
      <c r="J688" s="277"/>
      <c r="K688" s="281">
        <f t="shared" si="835"/>
        <v>0</v>
      </c>
      <c r="L688" s="277"/>
      <c r="M688" s="277"/>
      <c r="N688" s="277"/>
      <c r="O688" s="277">
        <v>1204348.81</v>
      </c>
      <c r="P688" s="277"/>
      <c r="Q688" s="277"/>
      <c r="R688" s="281">
        <f t="shared" si="875"/>
        <v>1204348.81</v>
      </c>
      <c r="S688" s="277"/>
      <c r="T688" s="277">
        <v>212665.26</v>
      </c>
      <c r="U688" s="277"/>
      <c r="V688" s="277"/>
      <c r="W688" s="277">
        <v>363329.19</v>
      </c>
      <c r="X688" s="277">
        <v>5323.4</v>
      </c>
      <c r="Y688" s="277"/>
      <c r="Z688" s="277"/>
      <c r="AA688" s="281">
        <f t="shared" si="876"/>
        <v>581317.85</v>
      </c>
      <c r="AB688" s="403">
        <f t="shared" si="840"/>
        <v>1785666.6600000001</v>
      </c>
      <c r="AC688" s="326">
        <v>0</v>
      </c>
    </row>
    <row r="689" spans="1:29" ht="25.5" x14ac:dyDescent="0.2">
      <c r="B689" s="323" t="s">
        <v>939</v>
      </c>
      <c r="C689" s="206" t="s">
        <v>940</v>
      </c>
      <c r="D689" s="332"/>
      <c r="E689" s="325">
        <f>SUM('ADICIONES  2021'!C689:N689)</f>
        <v>0</v>
      </c>
      <c r="F689" s="281"/>
      <c r="G689" s="281"/>
      <c r="H689" s="281"/>
      <c r="I689" s="281"/>
      <c r="J689" s="281"/>
      <c r="K689" s="281">
        <f t="shared" si="835"/>
        <v>0</v>
      </c>
      <c r="L689" s="281"/>
      <c r="M689" s="281"/>
      <c r="N689" s="281"/>
      <c r="O689" s="281"/>
      <c r="P689" s="281">
        <v>7290499.75</v>
      </c>
      <c r="Q689" s="281"/>
      <c r="R689" s="281">
        <f t="shared" si="875"/>
        <v>7290499.75</v>
      </c>
      <c r="S689" s="281"/>
      <c r="T689" s="281"/>
      <c r="U689" s="281"/>
      <c r="V689" s="281"/>
      <c r="W689" s="281">
        <v>0</v>
      </c>
      <c r="X689" s="281"/>
      <c r="Y689" s="281"/>
      <c r="Z689" s="281"/>
      <c r="AA689" s="281">
        <f t="shared" si="876"/>
        <v>0</v>
      </c>
      <c r="AB689" s="403">
        <f t="shared" si="840"/>
        <v>7290499.75</v>
      </c>
      <c r="AC689" s="326">
        <v>0</v>
      </c>
    </row>
    <row r="690" spans="1:29" ht="25.5" hidden="1" x14ac:dyDescent="0.2">
      <c r="B690" s="323" t="s">
        <v>941</v>
      </c>
      <c r="C690" s="206" t="s">
        <v>942</v>
      </c>
      <c r="D690" s="332"/>
      <c r="E690" s="325">
        <f>SUM('ADICIONES  2021'!C690:N690)</f>
        <v>0</v>
      </c>
      <c r="F690" s="281"/>
      <c r="G690" s="281"/>
      <c r="H690" s="281"/>
      <c r="I690" s="281"/>
      <c r="J690" s="281"/>
      <c r="K690" s="281">
        <f t="shared" si="835"/>
        <v>0</v>
      </c>
      <c r="L690" s="281"/>
      <c r="M690" s="281"/>
      <c r="N690" s="281"/>
      <c r="O690" s="281"/>
      <c r="P690" s="281"/>
      <c r="Q690" s="281"/>
      <c r="R690" s="281">
        <f t="shared" si="875"/>
        <v>0</v>
      </c>
      <c r="S690" s="281"/>
      <c r="T690" s="281"/>
      <c r="U690" s="281"/>
      <c r="V690" s="281"/>
      <c r="W690" s="281">
        <v>0</v>
      </c>
      <c r="X690" s="281"/>
      <c r="Y690" s="281"/>
      <c r="Z690" s="281"/>
      <c r="AA690" s="281">
        <f t="shared" si="876"/>
        <v>0</v>
      </c>
      <c r="AB690" s="403">
        <f t="shared" si="840"/>
        <v>0</v>
      </c>
      <c r="AC690" s="326" t="e">
        <f t="shared" si="866"/>
        <v>#DIV/0!</v>
      </c>
    </row>
    <row r="691" spans="1:29" ht="25.5" x14ac:dyDescent="0.2">
      <c r="B691" s="323" t="s">
        <v>943</v>
      </c>
      <c r="C691" s="206" t="s">
        <v>944</v>
      </c>
      <c r="D691" s="332"/>
      <c r="E691" s="325">
        <f>SUM('ADICIONES  2021'!C691:N691)</f>
        <v>0</v>
      </c>
      <c r="F691" s="277"/>
      <c r="G691" s="277"/>
      <c r="H691" s="277"/>
      <c r="I691" s="277"/>
      <c r="J691" s="277"/>
      <c r="K691" s="281">
        <f t="shared" si="835"/>
        <v>0</v>
      </c>
      <c r="L691" s="277"/>
      <c r="M691" s="277"/>
      <c r="N691" s="277"/>
      <c r="O691" s="277"/>
      <c r="P691" s="277">
        <v>27566.48</v>
      </c>
      <c r="Q691" s="277"/>
      <c r="R691" s="281">
        <f t="shared" si="875"/>
        <v>27566.48</v>
      </c>
      <c r="S691" s="277"/>
      <c r="T691" s="277">
        <v>133693.25</v>
      </c>
      <c r="U691" s="277"/>
      <c r="V691" s="277">
        <v>11084.94</v>
      </c>
      <c r="W691" s="277">
        <v>2352.71</v>
      </c>
      <c r="X691" s="277">
        <v>2025</v>
      </c>
      <c r="Y691" s="277"/>
      <c r="Z691" s="277"/>
      <c r="AA691" s="281">
        <f t="shared" si="876"/>
        <v>149155.9</v>
      </c>
      <c r="AB691" s="403">
        <f t="shared" si="840"/>
        <v>176722.38</v>
      </c>
      <c r="AC691" s="326">
        <v>0</v>
      </c>
    </row>
    <row r="692" spans="1:29" ht="25.5" hidden="1" x14ac:dyDescent="0.2">
      <c r="B692" s="323" t="s">
        <v>945</v>
      </c>
      <c r="C692" s="206" t="s">
        <v>946</v>
      </c>
      <c r="D692" s="332"/>
      <c r="E692" s="325">
        <f>SUM('ADICIONES  2021'!C692:N692)</f>
        <v>0</v>
      </c>
      <c r="F692" s="277"/>
      <c r="G692" s="277"/>
      <c r="H692" s="277"/>
      <c r="I692" s="277"/>
      <c r="J692" s="277"/>
      <c r="K692" s="281">
        <f t="shared" si="835"/>
        <v>0</v>
      </c>
      <c r="L692" s="277"/>
      <c r="M692" s="277"/>
      <c r="N692" s="277"/>
      <c r="O692" s="277"/>
      <c r="P692" s="277"/>
      <c r="Q692" s="277"/>
      <c r="R692" s="281">
        <f t="shared" si="875"/>
        <v>0</v>
      </c>
      <c r="S692" s="277"/>
      <c r="T692" s="277"/>
      <c r="U692" s="277"/>
      <c r="V692" s="277"/>
      <c r="W692" s="277"/>
      <c r="X692" s="277"/>
      <c r="Y692" s="277"/>
      <c r="Z692" s="277"/>
      <c r="AA692" s="281">
        <f t="shared" si="876"/>
        <v>0</v>
      </c>
      <c r="AB692" s="403">
        <f t="shared" si="840"/>
        <v>0</v>
      </c>
      <c r="AC692" s="326" t="e">
        <f t="shared" si="866"/>
        <v>#DIV/0!</v>
      </c>
    </row>
    <row r="693" spans="1:29" ht="25.5" hidden="1" x14ac:dyDescent="0.2">
      <c r="B693" s="323" t="s">
        <v>947</v>
      </c>
      <c r="C693" s="206" t="s">
        <v>379</v>
      </c>
      <c r="D693" s="332"/>
      <c r="E693" s="325">
        <f>SUM('ADICIONES  2021'!C693:N693)</f>
        <v>0</v>
      </c>
      <c r="F693" s="277"/>
      <c r="G693" s="277"/>
      <c r="H693" s="277"/>
      <c r="I693" s="277"/>
      <c r="J693" s="277"/>
      <c r="K693" s="281">
        <f t="shared" si="835"/>
        <v>0</v>
      </c>
      <c r="L693" s="277"/>
      <c r="M693" s="277"/>
      <c r="N693" s="277"/>
      <c r="O693" s="277"/>
      <c r="P693" s="277"/>
      <c r="Q693" s="277"/>
      <c r="R693" s="281">
        <f t="shared" si="875"/>
        <v>0</v>
      </c>
      <c r="S693" s="277"/>
      <c r="T693" s="277"/>
      <c r="U693" s="277"/>
      <c r="V693" s="277"/>
      <c r="W693" s="277"/>
      <c r="X693" s="277"/>
      <c r="Y693" s="277"/>
      <c r="Z693" s="277"/>
      <c r="AA693" s="281">
        <f t="shared" si="876"/>
        <v>0</v>
      </c>
      <c r="AB693" s="403">
        <f t="shared" si="840"/>
        <v>0</v>
      </c>
      <c r="AC693" s="326" t="e">
        <f t="shared" si="866"/>
        <v>#DIV/0!</v>
      </c>
    </row>
    <row r="694" spans="1:29" ht="25.5" x14ac:dyDescent="0.2">
      <c r="B694" s="323" t="s">
        <v>948</v>
      </c>
      <c r="C694" s="206" t="s">
        <v>949</v>
      </c>
      <c r="D694" s="332"/>
      <c r="E694" s="325">
        <f>SUM('ADICIONES  2021'!C694:N694)</f>
        <v>0</v>
      </c>
      <c r="F694" s="281"/>
      <c r="G694" s="281"/>
      <c r="H694" s="281"/>
      <c r="I694" s="281"/>
      <c r="J694" s="281"/>
      <c r="K694" s="281">
        <f>+D694+E694-F694+G694-H694</f>
        <v>0</v>
      </c>
      <c r="L694" s="281"/>
      <c r="M694" s="281"/>
      <c r="N694" s="281"/>
      <c r="O694" s="281"/>
      <c r="P694" s="281"/>
      <c r="Q694" s="281"/>
      <c r="R694" s="281">
        <f>SUM(L694:Q694)</f>
        <v>0</v>
      </c>
      <c r="S694" s="281"/>
      <c r="T694" s="281">
        <v>110076111</v>
      </c>
      <c r="U694" s="281"/>
      <c r="V694" s="281"/>
      <c r="W694" s="281"/>
      <c r="X694" s="281"/>
      <c r="Y694" s="281"/>
      <c r="Z694" s="281"/>
      <c r="AA694" s="281">
        <f t="shared" si="876"/>
        <v>110076111</v>
      </c>
      <c r="AB694" s="403">
        <f t="shared" si="840"/>
        <v>110076111</v>
      </c>
      <c r="AC694" s="326">
        <v>0</v>
      </c>
    </row>
    <row r="695" spans="1:29" ht="25.5" x14ac:dyDescent="0.2">
      <c r="B695" s="323" t="s">
        <v>950</v>
      </c>
      <c r="C695" s="206" t="s">
        <v>951</v>
      </c>
      <c r="D695" s="332"/>
      <c r="E695" s="325">
        <f>SUM('ADICIONES  2021'!C695:N695)</f>
        <v>0</v>
      </c>
      <c r="F695" s="281"/>
      <c r="G695" s="281"/>
      <c r="H695" s="281"/>
      <c r="I695" s="281"/>
      <c r="J695" s="281"/>
      <c r="K695" s="281">
        <f t="shared" si="835"/>
        <v>0</v>
      </c>
      <c r="L695" s="281"/>
      <c r="M695" s="281"/>
      <c r="N695" s="281">
        <v>15002674.26</v>
      </c>
      <c r="O695" s="281"/>
      <c r="P695" s="281">
        <v>94465838</v>
      </c>
      <c r="Q695" s="281"/>
      <c r="R695" s="281">
        <f t="shared" si="875"/>
        <v>109468512.26000001</v>
      </c>
      <c r="S695" s="281"/>
      <c r="T695" s="281">
        <v>30991</v>
      </c>
      <c r="U695" s="281">
        <v>9599207</v>
      </c>
      <c r="V695" s="281"/>
      <c r="W695" s="281"/>
      <c r="X695" s="281"/>
      <c r="Y695" s="281"/>
      <c r="Z695" s="281"/>
      <c r="AA695" s="281">
        <f t="shared" ref="AA695:AA767" si="877">SUM(S695:Z695)</f>
        <v>9630198</v>
      </c>
      <c r="AB695" s="403">
        <f t="shared" si="840"/>
        <v>119098710.26000001</v>
      </c>
      <c r="AC695" s="326">
        <v>0</v>
      </c>
    </row>
    <row r="696" spans="1:29" s="5" customFormat="1" x14ac:dyDescent="0.2">
      <c r="A696" s="96">
        <v>1</v>
      </c>
      <c r="B696" s="318" t="s">
        <v>1586</v>
      </c>
      <c r="C696" s="319" t="s">
        <v>1587</v>
      </c>
      <c r="D696" s="276">
        <f>+D697</f>
        <v>0</v>
      </c>
      <c r="E696" s="322">
        <f>SUM('ADICIONES  2021'!C696:N696)</f>
        <v>36174550528.910004</v>
      </c>
      <c r="F696" s="276">
        <f t="shared" ref="F696:J696" si="878">+F697</f>
        <v>0</v>
      </c>
      <c r="G696" s="276">
        <f t="shared" si="878"/>
        <v>0</v>
      </c>
      <c r="H696" s="276">
        <f t="shared" si="878"/>
        <v>0</v>
      </c>
      <c r="I696" s="276">
        <f t="shared" si="878"/>
        <v>0</v>
      </c>
      <c r="J696" s="276">
        <f t="shared" si="878"/>
        <v>0</v>
      </c>
      <c r="K696" s="276">
        <f t="shared" si="835"/>
        <v>36174550528.910004</v>
      </c>
      <c r="L696" s="276">
        <f t="shared" ref="L696:Q696" si="879">+L697</f>
        <v>0</v>
      </c>
      <c r="M696" s="276">
        <f t="shared" si="879"/>
        <v>0</v>
      </c>
      <c r="N696" s="276">
        <f t="shared" si="879"/>
        <v>0</v>
      </c>
      <c r="O696" s="276">
        <f t="shared" si="879"/>
        <v>0</v>
      </c>
      <c r="P696" s="276">
        <f t="shared" si="879"/>
        <v>0</v>
      </c>
      <c r="Q696" s="276">
        <f t="shared" si="879"/>
        <v>0</v>
      </c>
      <c r="R696" s="276">
        <f t="shared" si="875"/>
        <v>0</v>
      </c>
      <c r="S696" s="276">
        <f t="shared" ref="S696:Z696" si="880">+S697</f>
        <v>0</v>
      </c>
      <c r="T696" s="276">
        <f t="shared" si="880"/>
        <v>4976885985.46</v>
      </c>
      <c r="U696" s="276">
        <f t="shared" si="880"/>
        <v>520117032</v>
      </c>
      <c r="V696" s="276">
        <f t="shared" si="880"/>
        <v>0</v>
      </c>
      <c r="W696" s="276">
        <f t="shared" si="880"/>
        <v>9711937900</v>
      </c>
      <c r="X696" s="276">
        <f t="shared" si="880"/>
        <v>10979979000</v>
      </c>
      <c r="Y696" s="276">
        <f t="shared" si="880"/>
        <v>0</v>
      </c>
      <c r="Z696" s="276">
        <f t="shared" si="880"/>
        <v>0</v>
      </c>
      <c r="AA696" s="276">
        <f t="shared" si="877"/>
        <v>26188919917.459999</v>
      </c>
      <c r="AB696" s="402">
        <f t="shared" si="840"/>
        <v>26188919917.459999</v>
      </c>
      <c r="AC696" s="321">
        <f t="shared" ref="AC696:AC768" si="881">+AB696/K696</f>
        <v>0.7239597876006868</v>
      </c>
    </row>
    <row r="697" spans="1:29" s="5" customFormat="1" x14ac:dyDescent="0.2">
      <c r="A697" s="96"/>
      <c r="B697" s="318" t="s">
        <v>1588</v>
      </c>
      <c r="C697" s="319" t="s">
        <v>1589</v>
      </c>
      <c r="D697" s="276">
        <f>+D707+D698+D704</f>
        <v>0</v>
      </c>
      <c r="E697" s="322">
        <f>SUM('ADICIONES  2021'!C697:N697)</f>
        <v>36174550528.910004</v>
      </c>
      <c r="F697" s="276">
        <f t="shared" ref="F697:J697" si="882">+F707+F698+F704</f>
        <v>0</v>
      </c>
      <c r="G697" s="276">
        <f t="shared" si="882"/>
        <v>0</v>
      </c>
      <c r="H697" s="276">
        <f t="shared" si="882"/>
        <v>0</v>
      </c>
      <c r="I697" s="276">
        <f t="shared" si="882"/>
        <v>0</v>
      </c>
      <c r="J697" s="276">
        <f t="shared" si="882"/>
        <v>0</v>
      </c>
      <c r="K697" s="276">
        <f t="shared" si="835"/>
        <v>36174550528.910004</v>
      </c>
      <c r="L697" s="276">
        <f t="shared" ref="L697:Q697" si="883">+L707+L698+L704</f>
        <v>0</v>
      </c>
      <c r="M697" s="276">
        <f t="shared" si="883"/>
        <v>0</v>
      </c>
      <c r="N697" s="276">
        <f t="shared" si="883"/>
        <v>0</v>
      </c>
      <c r="O697" s="276">
        <f t="shared" si="883"/>
        <v>0</v>
      </c>
      <c r="P697" s="276">
        <f t="shared" si="883"/>
        <v>0</v>
      </c>
      <c r="Q697" s="276">
        <f t="shared" si="883"/>
        <v>0</v>
      </c>
      <c r="R697" s="276">
        <f t="shared" si="875"/>
        <v>0</v>
      </c>
      <c r="S697" s="276">
        <f t="shared" ref="S697:Z697" si="884">+S707+S698+S704</f>
        <v>0</v>
      </c>
      <c r="T697" s="276">
        <f t="shared" si="884"/>
        <v>4976885985.46</v>
      </c>
      <c r="U697" s="276">
        <f t="shared" si="884"/>
        <v>520117032</v>
      </c>
      <c r="V697" s="276">
        <f t="shared" si="884"/>
        <v>0</v>
      </c>
      <c r="W697" s="276">
        <f t="shared" si="884"/>
        <v>9711937900</v>
      </c>
      <c r="X697" s="276">
        <f t="shared" si="884"/>
        <v>10979979000</v>
      </c>
      <c r="Y697" s="276">
        <f t="shared" si="884"/>
        <v>0</v>
      </c>
      <c r="Z697" s="276">
        <f t="shared" si="884"/>
        <v>0</v>
      </c>
      <c r="AA697" s="276">
        <f t="shared" si="877"/>
        <v>26188919917.459999</v>
      </c>
      <c r="AB697" s="402">
        <f t="shared" si="840"/>
        <v>26188919917.459999</v>
      </c>
      <c r="AC697" s="321">
        <f t="shared" si="881"/>
        <v>0.7239597876006868</v>
      </c>
    </row>
    <row r="698" spans="1:29" s="5" customFormat="1" x14ac:dyDescent="0.2">
      <c r="A698" s="96"/>
      <c r="B698" s="318" t="s">
        <v>1842</v>
      </c>
      <c r="C698" s="319" t="s">
        <v>1843</v>
      </c>
      <c r="D698" s="276">
        <f>SUM(D699:D703)</f>
        <v>0</v>
      </c>
      <c r="E698" s="322">
        <f>SUM('ADICIONES  2021'!C698:N698)</f>
        <v>22005679870.91</v>
      </c>
      <c r="F698" s="276">
        <f t="shared" ref="F698:J698" si="885">SUM(F699:F703)</f>
        <v>0</v>
      </c>
      <c r="G698" s="276">
        <f t="shared" si="885"/>
        <v>0</v>
      </c>
      <c r="H698" s="276">
        <f t="shared" si="885"/>
        <v>0</v>
      </c>
      <c r="I698" s="276">
        <f t="shared" si="885"/>
        <v>0</v>
      </c>
      <c r="J698" s="276">
        <f t="shared" si="885"/>
        <v>0</v>
      </c>
      <c r="K698" s="276">
        <f t="shared" si="835"/>
        <v>22005679870.91</v>
      </c>
      <c r="L698" s="276">
        <f t="shared" ref="L698:Q698" si="886">SUM(L699:L703)</f>
        <v>0</v>
      </c>
      <c r="M698" s="276">
        <f t="shared" si="886"/>
        <v>0</v>
      </c>
      <c r="N698" s="276">
        <f t="shared" si="886"/>
        <v>0</v>
      </c>
      <c r="O698" s="276">
        <f t="shared" si="886"/>
        <v>0</v>
      </c>
      <c r="P698" s="276">
        <f t="shared" si="886"/>
        <v>0</v>
      </c>
      <c r="Q698" s="276">
        <f t="shared" si="886"/>
        <v>0</v>
      </c>
      <c r="R698" s="276">
        <f t="shared" si="875"/>
        <v>0</v>
      </c>
      <c r="S698" s="276">
        <f t="shared" ref="S698:Y698" si="887">SUM(S699:S703)</f>
        <v>0</v>
      </c>
      <c r="T698" s="276">
        <f t="shared" si="887"/>
        <v>176885985.46000001</v>
      </c>
      <c r="U698" s="276">
        <f t="shared" si="887"/>
        <v>419991000</v>
      </c>
      <c r="V698" s="276">
        <f t="shared" si="887"/>
        <v>0</v>
      </c>
      <c r="W698" s="276">
        <f t="shared" si="887"/>
        <v>9711937900</v>
      </c>
      <c r="X698" s="276">
        <f t="shared" si="887"/>
        <v>10979979000</v>
      </c>
      <c r="Y698" s="276">
        <f t="shared" si="887"/>
        <v>0</v>
      </c>
      <c r="Z698" s="276">
        <f>SUM(Z699:Z703)</f>
        <v>0</v>
      </c>
      <c r="AA698" s="276">
        <f>SUM(S698:Z698)</f>
        <v>21288793885.459999</v>
      </c>
      <c r="AB698" s="402">
        <f t="shared" si="840"/>
        <v>21288793885.459999</v>
      </c>
      <c r="AC698" s="321">
        <f t="shared" si="881"/>
        <v>0.96742268406814025</v>
      </c>
    </row>
    <row r="699" spans="1:29" ht="76.5" x14ac:dyDescent="0.2">
      <c r="B699" s="323" t="s">
        <v>1844</v>
      </c>
      <c r="C699" s="268" t="s">
        <v>1845</v>
      </c>
      <c r="D699" s="281"/>
      <c r="E699" s="325">
        <f>SUM('ADICIONES  2021'!C699:N699)</f>
        <v>1399970000</v>
      </c>
      <c r="F699" s="281"/>
      <c r="G699" s="281"/>
      <c r="H699" s="281"/>
      <c r="I699" s="281"/>
      <c r="J699" s="281"/>
      <c r="K699" s="281">
        <f t="shared" si="835"/>
        <v>1399970000</v>
      </c>
      <c r="L699" s="281"/>
      <c r="M699" s="281"/>
      <c r="N699" s="281"/>
      <c r="O699" s="281"/>
      <c r="P699" s="281"/>
      <c r="Q699" s="281"/>
      <c r="R699" s="281">
        <f t="shared" si="875"/>
        <v>0</v>
      </c>
      <c r="S699" s="281"/>
      <c r="T699" s="281"/>
      <c r="U699" s="281">
        <v>419991000</v>
      </c>
      <c r="V699" s="281"/>
      <c r="W699" s="281"/>
      <c r="X699" s="281">
        <v>979979000</v>
      </c>
      <c r="Y699" s="281"/>
      <c r="Z699" s="281"/>
      <c r="AA699" s="281">
        <f t="shared" ref="AA699:AA702" si="888">SUM(S699:Z699)</f>
        <v>1399970000</v>
      </c>
      <c r="AB699" s="403">
        <f t="shared" si="840"/>
        <v>1399970000</v>
      </c>
      <c r="AC699" s="326">
        <f t="shared" si="881"/>
        <v>1</v>
      </c>
    </row>
    <row r="700" spans="1:29" ht="25.5" x14ac:dyDescent="0.2">
      <c r="B700" s="323" t="s">
        <v>1846</v>
      </c>
      <c r="C700" s="206" t="s">
        <v>1847</v>
      </c>
      <c r="D700" s="281"/>
      <c r="E700" s="325">
        <f>SUM('ADICIONES  2021'!C700:N700)</f>
        <v>353771970.91000003</v>
      </c>
      <c r="F700" s="281"/>
      <c r="G700" s="281"/>
      <c r="H700" s="281"/>
      <c r="I700" s="281"/>
      <c r="J700" s="281"/>
      <c r="K700" s="281">
        <f t="shared" si="835"/>
        <v>353771970.91000003</v>
      </c>
      <c r="L700" s="281"/>
      <c r="M700" s="281"/>
      <c r="N700" s="281"/>
      <c r="O700" s="281"/>
      <c r="P700" s="281"/>
      <c r="Q700" s="281"/>
      <c r="R700" s="281">
        <f t="shared" si="875"/>
        <v>0</v>
      </c>
      <c r="S700" s="281"/>
      <c r="T700" s="281">
        <v>176885985.46000001</v>
      </c>
      <c r="U700" s="281"/>
      <c r="V700" s="281"/>
      <c r="W700" s="281"/>
      <c r="X700" s="281"/>
      <c r="Y700" s="281"/>
      <c r="Z700" s="281"/>
      <c r="AA700" s="281">
        <f t="shared" si="888"/>
        <v>176885985.46000001</v>
      </c>
      <c r="AB700" s="403">
        <f t="shared" si="840"/>
        <v>176885985.46000001</v>
      </c>
      <c r="AC700" s="326">
        <f t="shared" si="881"/>
        <v>0.50000000001413336</v>
      </c>
    </row>
    <row r="701" spans="1:29" ht="38.25" x14ac:dyDescent="0.2">
      <c r="B701" s="323" t="s">
        <v>1874</v>
      </c>
      <c r="C701" s="206" t="s">
        <v>1875</v>
      </c>
      <c r="D701" s="281"/>
      <c r="E701" s="325">
        <f>SUM('ADICIONES  2021'!C701:N701)</f>
        <v>9351937900</v>
      </c>
      <c r="F701" s="281"/>
      <c r="G701" s="281"/>
      <c r="H701" s="281"/>
      <c r="I701" s="281"/>
      <c r="J701" s="281"/>
      <c r="K701" s="281">
        <f t="shared" si="835"/>
        <v>9351937900</v>
      </c>
      <c r="L701" s="281"/>
      <c r="M701" s="281"/>
      <c r="N701" s="281"/>
      <c r="O701" s="281"/>
      <c r="P701" s="281"/>
      <c r="Q701" s="281"/>
      <c r="R701" s="281">
        <f t="shared" si="875"/>
        <v>0</v>
      </c>
      <c r="S701" s="281"/>
      <c r="T701" s="281"/>
      <c r="U701" s="281"/>
      <c r="V701" s="281"/>
      <c r="W701" s="281">
        <v>9351937900</v>
      </c>
      <c r="X701" s="281"/>
      <c r="Y701" s="281"/>
      <c r="Z701" s="281"/>
      <c r="AA701" s="281">
        <f t="shared" si="888"/>
        <v>9351937900</v>
      </c>
      <c r="AB701" s="403">
        <f t="shared" si="840"/>
        <v>9351937900</v>
      </c>
      <c r="AC701" s="326">
        <f t="shared" si="881"/>
        <v>1</v>
      </c>
    </row>
    <row r="702" spans="1:29" ht="51" x14ac:dyDescent="0.2">
      <c r="B702" s="323" t="s">
        <v>1876</v>
      </c>
      <c r="C702" s="206" t="s">
        <v>1877</v>
      </c>
      <c r="D702" s="281"/>
      <c r="E702" s="325">
        <f>SUM('ADICIONES  2021'!C702:N702)</f>
        <v>900000000</v>
      </c>
      <c r="F702" s="281"/>
      <c r="G702" s="281"/>
      <c r="H702" s="281"/>
      <c r="I702" s="281"/>
      <c r="J702" s="281"/>
      <c r="K702" s="281">
        <f t="shared" si="835"/>
        <v>900000000</v>
      </c>
      <c r="L702" s="281"/>
      <c r="M702" s="281"/>
      <c r="N702" s="281"/>
      <c r="O702" s="281"/>
      <c r="P702" s="281"/>
      <c r="Q702" s="281"/>
      <c r="R702" s="281">
        <f t="shared" si="875"/>
        <v>0</v>
      </c>
      <c r="S702" s="281"/>
      <c r="T702" s="281"/>
      <c r="U702" s="281"/>
      <c r="V702" s="281"/>
      <c r="W702" s="281">
        <v>360000000</v>
      </c>
      <c r="X702" s="281"/>
      <c r="Y702" s="281"/>
      <c r="Z702" s="281"/>
      <c r="AA702" s="281">
        <f t="shared" si="888"/>
        <v>360000000</v>
      </c>
      <c r="AB702" s="403">
        <f t="shared" si="840"/>
        <v>360000000</v>
      </c>
      <c r="AC702" s="326">
        <f t="shared" si="881"/>
        <v>0.4</v>
      </c>
    </row>
    <row r="703" spans="1:29" ht="38.25" x14ac:dyDescent="0.2">
      <c r="B703" s="323" t="s">
        <v>1904</v>
      </c>
      <c r="C703" s="206" t="s">
        <v>1905</v>
      </c>
      <c r="D703" s="281"/>
      <c r="E703" s="325">
        <f>SUM('ADICIONES  2021'!C703:N703)</f>
        <v>10000000000</v>
      </c>
      <c r="F703" s="281"/>
      <c r="G703" s="281"/>
      <c r="H703" s="281"/>
      <c r="I703" s="281"/>
      <c r="J703" s="281"/>
      <c r="K703" s="281">
        <f t="shared" si="835"/>
        <v>10000000000</v>
      </c>
      <c r="L703" s="281"/>
      <c r="M703" s="281"/>
      <c r="N703" s="281"/>
      <c r="O703" s="281"/>
      <c r="P703" s="281"/>
      <c r="Q703" s="281"/>
      <c r="R703" s="281">
        <f t="shared" si="875"/>
        <v>0</v>
      </c>
      <c r="S703" s="281"/>
      <c r="T703" s="281"/>
      <c r="U703" s="281"/>
      <c r="V703" s="281"/>
      <c r="W703" s="281"/>
      <c r="X703" s="281">
        <v>10000000000</v>
      </c>
      <c r="Y703" s="281"/>
      <c r="Z703" s="281"/>
      <c r="AA703" s="281">
        <f t="shared" ref="AA703" si="889">SUM(S703:Z703)</f>
        <v>10000000000</v>
      </c>
      <c r="AB703" s="403">
        <f t="shared" ref="AB703" si="890">+R703+AA703</f>
        <v>10000000000</v>
      </c>
      <c r="AC703" s="326">
        <f t="shared" ref="AC703" si="891">+AB703/K703</f>
        <v>1</v>
      </c>
    </row>
    <row r="704" spans="1:29" s="5" customFormat="1" x14ac:dyDescent="0.2">
      <c r="A704" s="96"/>
      <c r="B704" s="318" t="s">
        <v>1906</v>
      </c>
      <c r="C704" s="319" t="s">
        <v>1907</v>
      </c>
      <c r="D704" s="276">
        <f>SUM(D705:D706)</f>
        <v>0</v>
      </c>
      <c r="E704" s="322">
        <f>SUM('ADICIONES  2021'!C704:N704)</f>
        <v>9268744626</v>
      </c>
      <c r="F704" s="276">
        <f t="shared" ref="F704:J704" si="892">SUM(F705:F706)</f>
        <v>0</v>
      </c>
      <c r="G704" s="276">
        <f t="shared" si="892"/>
        <v>0</v>
      </c>
      <c r="H704" s="276">
        <f t="shared" si="892"/>
        <v>0</v>
      </c>
      <c r="I704" s="276">
        <f t="shared" si="892"/>
        <v>0</v>
      </c>
      <c r="J704" s="276">
        <f t="shared" si="892"/>
        <v>0</v>
      </c>
      <c r="K704" s="276">
        <f t="shared" si="835"/>
        <v>9268744626</v>
      </c>
      <c r="L704" s="276">
        <f t="shared" ref="L704:Q704" si="893">SUM(L705:L706)</f>
        <v>0</v>
      </c>
      <c r="M704" s="276">
        <f t="shared" si="893"/>
        <v>0</v>
      </c>
      <c r="N704" s="276">
        <f t="shared" si="893"/>
        <v>0</v>
      </c>
      <c r="O704" s="276">
        <f t="shared" si="893"/>
        <v>0</v>
      </c>
      <c r="P704" s="276">
        <f t="shared" si="893"/>
        <v>0</v>
      </c>
      <c r="Q704" s="276">
        <f t="shared" si="893"/>
        <v>0</v>
      </c>
      <c r="R704" s="276">
        <f t="shared" si="875"/>
        <v>0</v>
      </c>
      <c r="S704" s="276">
        <f t="shared" ref="S704:Z704" si="894">SUM(S705:S706)</f>
        <v>0</v>
      </c>
      <c r="T704" s="276">
        <f t="shared" si="894"/>
        <v>0</v>
      </c>
      <c r="U704" s="276">
        <f t="shared" si="894"/>
        <v>0</v>
      </c>
      <c r="V704" s="276">
        <f t="shared" si="894"/>
        <v>0</v>
      </c>
      <c r="W704" s="276">
        <f t="shared" si="894"/>
        <v>0</v>
      </c>
      <c r="X704" s="276">
        <f t="shared" si="894"/>
        <v>0</v>
      </c>
      <c r="Y704" s="276">
        <f t="shared" si="894"/>
        <v>0</v>
      </c>
      <c r="Z704" s="276">
        <f t="shared" si="894"/>
        <v>0</v>
      </c>
      <c r="AA704" s="276">
        <f t="shared" ref="AA704:AA706" si="895">SUM(S704:Z704)</f>
        <v>0</v>
      </c>
      <c r="AB704" s="402">
        <f t="shared" ref="AB704:AB706" si="896">+R704+AA704</f>
        <v>0</v>
      </c>
      <c r="AC704" s="321">
        <f t="shared" ref="AC704:AC706" si="897">+AB704/K704</f>
        <v>0</v>
      </c>
    </row>
    <row r="705" spans="1:29" ht="38.25" x14ac:dyDescent="0.2">
      <c r="B705" s="323" t="s">
        <v>1908</v>
      </c>
      <c r="C705" s="206" t="s">
        <v>1909</v>
      </c>
      <c r="D705" s="281"/>
      <c r="E705" s="325">
        <f>SUM('ADICIONES  2021'!C705:N705)</f>
        <v>6438744626</v>
      </c>
      <c r="F705" s="281"/>
      <c r="G705" s="281"/>
      <c r="H705" s="281"/>
      <c r="I705" s="281"/>
      <c r="J705" s="281"/>
      <c r="K705" s="281">
        <f t="shared" si="835"/>
        <v>6438744626</v>
      </c>
      <c r="L705" s="281"/>
      <c r="M705" s="281"/>
      <c r="N705" s="281"/>
      <c r="O705" s="281"/>
      <c r="P705" s="281"/>
      <c r="Q705" s="281"/>
      <c r="R705" s="281">
        <f t="shared" si="875"/>
        <v>0</v>
      </c>
      <c r="S705" s="281"/>
      <c r="T705" s="281"/>
      <c r="U705" s="281"/>
      <c r="V705" s="281"/>
      <c r="W705" s="281"/>
      <c r="X705" s="281"/>
      <c r="Y705" s="281"/>
      <c r="Z705" s="281"/>
      <c r="AA705" s="281">
        <f t="shared" si="895"/>
        <v>0</v>
      </c>
      <c r="AB705" s="403">
        <f t="shared" si="896"/>
        <v>0</v>
      </c>
      <c r="AC705" s="326">
        <f t="shared" si="897"/>
        <v>0</v>
      </c>
    </row>
    <row r="706" spans="1:29" ht="51" x14ac:dyDescent="0.2">
      <c r="B706" s="323" t="s">
        <v>1910</v>
      </c>
      <c r="C706" s="206" t="s">
        <v>1911</v>
      </c>
      <c r="D706" s="281"/>
      <c r="E706" s="325">
        <f>SUM('ADICIONES  2021'!C706:N706)</f>
        <v>2830000000</v>
      </c>
      <c r="F706" s="281"/>
      <c r="G706" s="281"/>
      <c r="H706" s="281"/>
      <c r="I706" s="281"/>
      <c r="J706" s="281"/>
      <c r="K706" s="281">
        <f t="shared" si="835"/>
        <v>2830000000</v>
      </c>
      <c r="L706" s="281"/>
      <c r="M706" s="281"/>
      <c r="N706" s="281"/>
      <c r="O706" s="281"/>
      <c r="P706" s="281"/>
      <c r="Q706" s="281"/>
      <c r="R706" s="281">
        <f t="shared" si="875"/>
        <v>0</v>
      </c>
      <c r="S706" s="281"/>
      <c r="T706" s="281"/>
      <c r="U706" s="281"/>
      <c r="V706" s="281"/>
      <c r="W706" s="281"/>
      <c r="X706" s="281"/>
      <c r="Y706" s="281"/>
      <c r="Z706" s="281"/>
      <c r="AA706" s="281">
        <f t="shared" si="895"/>
        <v>0</v>
      </c>
      <c r="AB706" s="403">
        <f t="shared" si="896"/>
        <v>0</v>
      </c>
      <c r="AC706" s="326">
        <f t="shared" si="897"/>
        <v>0</v>
      </c>
    </row>
    <row r="707" spans="1:29" s="5" customFormat="1" x14ac:dyDescent="0.2">
      <c r="A707" s="96"/>
      <c r="B707" s="318" t="s">
        <v>1590</v>
      </c>
      <c r="C707" s="319" t="s">
        <v>1591</v>
      </c>
      <c r="D707" s="276">
        <f>+D708+D713</f>
        <v>0</v>
      </c>
      <c r="E707" s="322">
        <f>SUM('ADICIONES  2021'!C707:N707)</f>
        <v>4900126032</v>
      </c>
      <c r="F707" s="276">
        <f>+F708+F713</f>
        <v>0</v>
      </c>
      <c r="G707" s="276">
        <f>+G708+G713</f>
        <v>0</v>
      </c>
      <c r="H707" s="276">
        <f>+H708+H713</f>
        <v>0</v>
      </c>
      <c r="I707" s="276">
        <f>+I708+I713</f>
        <v>0</v>
      </c>
      <c r="J707" s="276">
        <f>+J708+J713</f>
        <v>0</v>
      </c>
      <c r="K707" s="276">
        <f t="shared" si="835"/>
        <v>4900126032</v>
      </c>
      <c r="L707" s="276">
        <f t="shared" ref="L707:Q707" si="898">+L708+L713</f>
        <v>0</v>
      </c>
      <c r="M707" s="276">
        <f t="shared" si="898"/>
        <v>0</v>
      </c>
      <c r="N707" s="276">
        <f t="shared" si="898"/>
        <v>0</v>
      </c>
      <c r="O707" s="276">
        <f t="shared" si="898"/>
        <v>0</v>
      </c>
      <c r="P707" s="276">
        <f t="shared" si="898"/>
        <v>0</v>
      </c>
      <c r="Q707" s="276">
        <f t="shared" si="898"/>
        <v>0</v>
      </c>
      <c r="R707" s="276">
        <f t="shared" si="875"/>
        <v>0</v>
      </c>
      <c r="S707" s="276">
        <f t="shared" ref="S707:Z707" si="899">+S708+S713</f>
        <v>0</v>
      </c>
      <c r="T707" s="276">
        <f t="shared" si="899"/>
        <v>4800000000</v>
      </c>
      <c r="U707" s="276">
        <f t="shared" si="899"/>
        <v>100126032</v>
      </c>
      <c r="V707" s="276">
        <f t="shared" si="899"/>
        <v>0</v>
      </c>
      <c r="W707" s="276">
        <f t="shared" si="899"/>
        <v>0</v>
      </c>
      <c r="X707" s="276">
        <f t="shared" si="899"/>
        <v>0</v>
      </c>
      <c r="Y707" s="276">
        <f t="shared" si="899"/>
        <v>0</v>
      </c>
      <c r="Z707" s="276">
        <f t="shared" si="899"/>
        <v>0</v>
      </c>
      <c r="AA707" s="276">
        <f t="shared" si="877"/>
        <v>4900126032</v>
      </c>
      <c r="AB707" s="402">
        <f t="shared" si="840"/>
        <v>4900126032</v>
      </c>
      <c r="AC707" s="321">
        <f t="shared" si="881"/>
        <v>1</v>
      </c>
    </row>
    <row r="708" spans="1:29" s="5" customFormat="1" ht="51" x14ac:dyDescent="0.2">
      <c r="A708" s="96"/>
      <c r="B708" s="318" t="s">
        <v>1592</v>
      </c>
      <c r="C708" s="319" t="s">
        <v>1593</v>
      </c>
      <c r="D708" s="276">
        <f>SUM(D709:D712)</f>
        <v>0</v>
      </c>
      <c r="E708" s="322">
        <f>SUM('ADICIONES  2021'!C708:N708)</f>
        <v>2750126032</v>
      </c>
      <c r="F708" s="276">
        <f>SUM(F709:F712)</f>
        <v>0</v>
      </c>
      <c r="G708" s="276">
        <f>SUM(G709:G712)</f>
        <v>0</v>
      </c>
      <c r="H708" s="276">
        <f>SUM(H709:H712)</f>
        <v>0</v>
      </c>
      <c r="I708" s="276">
        <f>SUM(I709:I712)</f>
        <v>0</v>
      </c>
      <c r="J708" s="276">
        <f>SUM(J709:J712)</f>
        <v>0</v>
      </c>
      <c r="K708" s="276">
        <f t="shared" si="835"/>
        <v>2750126032</v>
      </c>
      <c r="L708" s="276">
        <f t="shared" ref="L708:Q708" si="900">SUM(L709:L712)</f>
        <v>0</v>
      </c>
      <c r="M708" s="276">
        <f t="shared" si="900"/>
        <v>0</v>
      </c>
      <c r="N708" s="276">
        <f t="shared" si="900"/>
        <v>0</v>
      </c>
      <c r="O708" s="276">
        <f t="shared" si="900"/>
        <v>0</v>
      </c>
      <c r="P708" s="276">
        <f t="shared" si="900"/>
        <v>0</v>
      </c>
      <c r="Q708" s="276">
        <f t="shared" si="900"/>
        <v>0</v>
      </c>
      <c r="R708" s="276">
        <f t="shared" si="875"/>
        <v>0</v>
      </c>
      <c r="S708" s="276">
        <f t="shared" ref="S708:Z708" si="901">SUM(S709:S712)</f>
        <v>0</v>
      </c>
      <c r="T708" s="276">
        <f t="shared" si="901"/>
        <v>2650000000</v>
      </c>
      <c r="U708" s="276">
        <f t="shared" si="901"/>
        <v>100126032</v>
      </c>
      <c r="V708" s="276">
        <f t="shared" si="901"/>
        <v>0</v>
      </c>
      <c r="W708" s="276">
        <f t="shared" si="901"/>
        <v>0</v>
      </c>
      <c r="X708" s="276">
        <f t="shared" si="901"/>
        <v>0</v>
      </c>
      <c r="Y708" s="276">
        <f t="shared" si="901"/>
        <v>0</v>
      </c>
      <c r="Z708" s="276">
        <f t="shared" si="901"/>
        <v>0</v>
      </c>
      <c r="AA708" s="276">
        <f t="shared" si="877"/>
        <v>2750126032</v>
      </c>
      <c r="AB708" s="402">
        <f t="shared" si="840"/>
        <v>2750126032</v>
      </c>
      <c r="AC708" s="321">
        <f t="shared" si="881"/>
        <v>1</v>
      </c>
    </row>
    <row r="709" spans="1:29" ht="25.5" x14ac:dyDescent="0.2">
      <c r="B709" s="323" t="s">
        <v>1594</v>
      </c>
      <c r="C709" s="206" t="s">
        <v>1595</v>
      </c>
      <c r="D709" s="281"/>
      <c r="E709" s="325">
        <f>SUM('ADICIONES  2021'!C709:N709)</f>
        <v>2000000000</v>
      </c>
      <c r="F709" s="281"/>
      <c r="G709" s="281"/>
      <c r="H709" s="281"/>
      <c r="I709" s="281"/>
      <c r="J709" s="281"/>
      <c r="K709" s="281">
        <f t="shared" si="835"/>
        <v>2000000000</v>
      </c>
      <c r="L709" s="281"/>
      <c r="M709" s="281"/>
      <c r="N709" s="281"/>
      <c r="O709" s="281"/>
      <c r="P709" s="281"/>
      <c r="Q709" s="281"/>
      <c r="R709" s="281">
        <f t="shared" si="875"/>
        <v>0</v>
      </c>
      <c r="S709" s="281"/>
      <c r="T709" s="281">
        <v>2000000000</v>
      </c>
      <c r="U709" s="281"/>
      <c r="V709" s="281"/>
      <c r="W709" s="281"/>
      <c r="X709" s="281"/>
      <c r="Y709" s="281"/>
      <c r="Z709" s="281"/>
      <c r="AA709" s="281">
        <f t="shared" si="877"/>
        <v>2000000000</v>
      </c>
      <c r="AB709" s="403">
        <f t="shared" si="840"/>
        <v>2000000000</v>
      </c>
      <c r="AC709" s="326">
        <f t="shared" si="881"/>
        <v>1</v>
      </c>
    </row>
    <row r="710" spans="1:29" ht="25.5" x14ac:dyDescent="0.2">
      <c r="B710" s="323" t="s">
        <v>1596</v>
      </c>
      <c r="C710" s="206" t="s">
        <v>1597</v>
      </c>
      <c r="D710" s="281"/>
      <c r="E710" s="325">
        <f>SUM('ADICIONES  2021'!C710:N710)</f>
        <v>250000000</v>
      </c>
      <c r="F710" s="281"/>
      <c r="G710" s="281"/>
      <c r="H710" s="281"/>
      <c r="I710" s="281"/>
      <c r="J710" s="281"/>
      <c r="K710" s="281">
        <f t="shared" si="835"/>
        <v>250000000</v>
      </c>
      <c r="L710" s="281"/>
      <c r="M710" s="281"/>
      <c r="N710" s="281"/>
      <c r="O710" s="281"/>
      <c r="P710" s="281"/>
      <c r="Q710" s="281"/>
      <c r="R710" s="281">
        <f t="shared" si="875"/>
        <v>0</v>
      </c>
      <c r="S710" s="281"/>
      <c r="T710" s="281">
        <v>250000000</v>
      </c>
      <c r="U710" s="281"/>
      <c r="V710" s="281"/>
      <c r="W710" s="281"/>
      <c r="X710" s="281"/>
      <c r="Y710" s="281"/>
      <c r="Z710" s="281"/>
      <c r="AA710" s="281">
        <f t="shared" si="877"/>
        <v>250000000</v>
      </c>
      <c r="AB710" s="403">
        <f t="shared" si="840"/>
        <v>250000000</v>
      </c>
      <c r="AC710" s="326">
        <f t="shared" si="881"/>
        <v>1</v>
      </c>
    </row>
    <row r="711" spans="1:29" ht="25.5" x14ac:dyDescent="0.2">
      <c r="B711" s="323" t="s">
        <v>1598</v>
      </c>
      <c r="C711" s="206" t="s">
        <v>1599</v>
      </c>
      <c r="D711" s="281"/>
      <c r="E711" s="325">
        <f>SUM('ADICIONES  2021'!C711:N711)</f>
        <v>400000000</v>
      </c>
      <c r="F711" s="281"/>
      <c r="G711" s="281"/>
      <c r="H711" s="281"/>
      <c r="I711" s="281"/>
      <c r="J711" s="281"/>
      <c r="K711" s="281">
        <f t="shared" si="835"/>
        <v>400000000</v>
      </c>
      <c r="L711" s="281"/>
      <c r="M711" s="281"/>
      <c r="N711" s="281"/>
      <c r="O711" s="281"/>
      <c r="P711" s="281"/>
      <c r="Q711" s="281"/>
      <c r="R711" s="281">
        <f t="shared" si="875"/>
        <v>0</v>
      </c>
      <c r="S711" s="281"/>
      <c r="T711" s="281">
        <v>400000000</v>
      </c>
      <c r="U711" s="281"/>
      <c r="V711" s="281"/>
      <c r="W711" s="281"/>
      <c r="X711" s="281"/>
      <c r="Y711" s="281"/>
      <c r="Z711" s="281"/>
      <c r="AA711" s="281">
        <f t="shared" si="877"/>
        <v>400000000</v>
      </c>
      <c r="AB711" s="403">
        <f t="shared" si="840"/>
        <v>400000000</v>
      </c>
      <c r="AC711" s="326">
        <f t="shared" si="881"/>
        <v>1</v>
      </c>
    </row>
    <row r="712" spans="1:29" ht="25.5" x14ac:dyDescent="0.2">
      <c r="B712" s="323" t="s">
        <v>1600</v>
      </c>
      <c r="C712" s="206" t="s">
        <v>1599</v>
      </c>
      <c r="D712" s="281"/>
      <c r="E712" s="325">
        <f>SUM('ADICIONES  2021'!C712:N712)</f>
        <v>100126032</v>
      </c>
      <c r="F712" s="281"/>
      <c r="G712" s="281"/>
      <c r="H712" s="281"/>
      <c r="I712" s="281"/>
      <c r="J712" s="281"/>
      <c r="K712" s="281">
        <f t="shared" si="835"/>
        <v>100126032</v>
      </c>
      <c r="L712" s="281"/>
      <c r="M712" s="281"/>
      <c r="N712" s="281"/>
      <c r="O712" s="281"/>
      <c r="P712" s="281"/>
      <c r="Q712" s="281"/>
      <c r="R712" s="281">
        <f t="shared" si="875"/>
        <v>0</v>
      </c>
      <c r="S712" s="281"/>
      <c r="T712" s="281">
        <v>0</v>
      </c>
      <c r="U712" s="281">
        <v>100126032</v>
      </c>
      <c r="V712" s="281"/>
      <c r="W712" s="281"/>
      <c r="X712" s="281"/>
      <c r="Y712" s="281"/>
      <c r="Z712" s="281"/>
      <c r="AA712" s="281">
        <f t="shared" si="877"/>
        <v>100126032</v>
      </c>
      <c r="AB712" s="403">
        <f t="shared" si="840"/>
        <v>100126032</v>
      </c>
      <c r="AC712" s="326">
        <f t="shared" si="881"/>
        <v>1</v>
      </c>
    </row>
    <row r="713" spans="1:29" ht="51" x14ac:dyDescent="0.2">
      <c r="B713" s="318" t="s">
        <v>1601</v>
      </c>
      <c r="C713" s="319" t="s">
        <v>1602</v>
      </c>
      <c r="D713" s="276">
        <f>SUM(D714:D718)</f>
        <v>0</v>
      </c>
      <c r="E713" s="322">
        <f>SUM('ADICIONES  2021'!C713:N713)</f>
        <v>2150000000</v>
      </c>
      <c r="F713" s="276">
        <f>SUM(F714:F718)</f>
        <v>0</v>
      </c>
      <c r="G713" s="276">
        <f>SUM(G714:G718)</f>
        <v>0</v>
      </c>
      <c r="H713" s="276">
        <f>SUM(H714:H718)</f>
        <v>0</v>
      </c>
      <c r="I713" s="276">
        <f>SUM(I714:I718)</f>
        <v>0</v>
      </c>
      <c r="J713" s="276">
        <f>SUM(J714:J718)</f>
        <v>0</v>
      </c>
      <c r="K713" s="281">
        <f t="shared" si="835"/>
        <v>2150000000</v>
      </c>
      <c r="L713" s="276">
        <f t="shared" ref="L713:Q713" si="902">SUM(L714:L718)</f>
        <v>0</v>
      </c>
      <c r="M713" s="276">
        <f t="shared" si="902"/>
        <v>0</v>
      </c>
      <c r="N713" s="276">
        <f t="shared" si="902"/>
        <v>0</v>
      </c>
      <c r="O713" s="276">
        <f t="shared" si="902"/>
        <v>0</v>
      </c>
      <c r="P713" s="276">
        <f t="shared" si="902"/>
        <v>0</v>
      </c>
      <c r="Q713" s="276">
        <f t="shared" si="902"/>
        <v>0</v>
      </c>
      <c r="R713" s="281">
        <f t="shared" si="875"/>
        <v>0</v>
      </c>
      <c r="S713" s="276">
        <f t="shared" ref="S713:Z713" si="903">SUM(S714:S718)</f>
        <v>0</v>
      </c>
      <c r="T713" s="276">
        <f t="shared" si="903"/>
        <v>2150000000</v>
      </c>
      <c r="U713" s="276">
        <f t="shared" si="903"/>
        <v>0</v>
      </c>
      <c r="V713" s="276">
        <f t="shared" si="903"/>
        <v>0</v>
      </c>
      <c r="W713" s="276">
        <f t="shared" si="903"/>
        <v>0</v>
      </c>
      <c r="X713" s="276">
        <f t="shared" si="903"/>
        <v>0</v>
      </c>
      <c r="Y713" s="276">
        <f t="shared" si="903"/>
        <v>0</v>
      </c>
      <c r="Z713" s="276">
        <f t="shared" si="903"/>
        <v>0</v>
      </c>
      <c r="AA713" s="281">
        <f t="shared" si="877"/>
        <v>2150000000</v>
      </c>
      <c r="AB713" s="403">
        <f t="shared" si="840"/>
        <v>2150000000</v>
      </c>
      <c r="AC713" s="326">
        <f t="shared" si="881"/>
        <v>1</v>
      </c>
    </row>
    <row r="714" spans="1:29" ht="25.5" x14ac:dyDescent="0.2">
      <c r="B714" s="323" t="s">
        <v>1603</v>
      </c>
      <c r="C714" s="206" t="s">
        <v>1604</v>
      </c>
      <c r="D714" s="281"/>
      <c r="E714" s="325">
        <f>SUM('ADICIONES  2021'!C714:N714)</f>
        <v>900000000</v>
      </c>
      <c r="F714" s="281"/>
      <c r="G714" s="281"/>
      <c r="H714" s="281"/>
      <c r="I714" s="281"/>
      <c r="J714" s="281"/>
      <c r="K714" s="281">
        <f t="shared" si="835"/>
        <v>900000000</v>
      </c>
      <c r="L714" s="281"/>
      <c r="M714" s="281"/>
      <c r="N714" s="281"/>
      <c r="O714" s="281"/>
      <c r="P714" s="281"/>
      <c r="Q714" s="281"/>
      <c r="R714" s="281">
        <f t="shared" si="875"/>
        <v>0</v>
      </c>
      <c r="S714" s="281"/>
      <c r="T714" s="281">
        <v>900000000</v>
      </c>
      <c r="U714" s="281"/>
      <c r="V714" s="281"/>
      <c r="W714" s="281"/>
      <c r="X714" s="281"/>
      <c r="Y714" s="281"/>
      <c r="Z714" s="281"/>
      <c r="AA714" s="281">
        <f t="shared" si="877"/>
        <v>900000000</v>
      </c>
      <c r="AB714" s="403">
        <f t="shared" si="840"/>
        <v>900000000</v>
      </c>
      <c r="AC714" s="326">
        <f t="shared" si="881"/>
        <v>1</v>
      </c>
    </row>
    <row r="715" spans="1:29" ht="25.5" x14ac:dyDescent="0.2">
      <c r="B715" s="323" t="s">
        <v>1605</v>
      </c>
      <c r="C715" s="206" t="s">
        <v>1606</v>
      </c>
      <c r="D715" s="281"/>
      <c r="E715" s="325">
        <f>SUM('ADICIONES  2021'!C715:N715)</f>
        <v>250000000</v>
      </c>
      <c r="F715" s="281"/>
      <c r="G715" s="281"/>
      <c r="H715" s="281"/>
      <c r="I715" s="281"/>
      <c r="J715" s="281"/>
      <c r="K715" s="281">
        <f t="shared" si="835"/>
        <v>250000000</v>
      </c>
      <c r="L715" s="281"/>
      <c r="M715" s="281"/>
      <c r="N715" s="281"/>
      <c r="O715" s="281"/>
      <c r="P715" s="281"/>
      <c r="Q715" s="281"/>
      <c r="R715" s="281">
        <f t="shared" si="875"/>
        <v>0</v>
      </c>
      <c r="S715" s="281"/>
      <c r="T715" s="281">
        <v>250000000</v>
      </c>
      <c r="U715" s="281"/>
      <c r="V715" s="281"/>
      <c r="W715" s="281"/>
      <c r="X715" s="281"/>
      <c r="Y715" s="281"/>
      <c r="Z715" s="281"/>
      <c r="AA715" s="281">
        <f t="shared" si="877"/>
        <v>250000000</v>
      </c>
      <c r="AB715" s="403">
        <f t="shared" si="840"/>
        <v>250000000</v>
      </c>
      <c r="AC715" s="326">
        <f t="shared" si="881"/>
        <v>1</v>
      </c>
    </row>
    <row r="716" spans="1:29" ht="25.5" x14ac:dyDescent="0.2">
      <c r="B716" s="323" t="s">
        <v>1607</v>
      </c>
      <c r="C716" s="206" t="s">
        <v>1608</v>
      </c>
      <c r="D716" s="281"/>
      <c r="E716" s="325">
        <f>SUM('ADICIONES  2021'!C716:N716)</f>
        <v>280000000</v>
      </c>
      <c r="F716" s="281"/>
      <c r="G716" s="281"/>
      <c r="H716" s="281"/>
      <c r="I716" s="281"/>
      <c r="J716" s="281"/>
      <c r="K716" s="281">
        <f t="shared" si="835"/>
        <v>280000000</v>
      </c>
      <c r="L716" s="281"/>
      <c r="M716" s="281"/>
      <c r="N716" s="281"/>
      <c r="O716" s="281"/>
      <c r="P716" s="281"/>
      <c r="Q716" s="281"/>
      <c r="R716" s="281">
        <f t="shared" si="875"/>
        <v>0</v>
      </c>
      <c r="S716" s="281"/>
      <c r="T716" s="281">
        <v>280000000</v>
      </c>
      <c r="U716" s="281"/>
      <c r="V716" s="281"/>
      <c r="W716" s="281"/>
      <c r="X716" s="281"/>
      <c r="Y716" s="281"/>
      <c r="Z716" s="281"/>
      <c r="AA716" s="281">
        <f t="shared" si="877"/>
        <v>280000000</v>
      </c>
      <c r="AB716" s="403">
        <f t="shared" si="840"/>
        <v>280000000</v>
      </c>
      <c r="AC716" s="326">
        <f t="shared" si="881"/>
        <v>1</v>
      </c>
    </row>
    <row r="717" spans="1:29" ht="25.5" x14ac:dyDescent="0.2">
      <c r="B717" s="323" t="s">
        <v>1609</v>
      </c>
      <c r="C717" s="206" t="s">
        <v>1610</v>
      </c>
      <c r="D717" s="281"/>
      <c r="E717" s="325">
        <f>SUM('ADICIONES  2021'!C717:N717)</f>
        <v>220000000</v>
      </c>
      <c r="F717" s="281"/>
      <c r="G717" s="281"/>
      <c r="H717" s="281"/>
      <c r="I717" s="281"/>
      <c r="J717" s="281"/>
      <c r="K717" s="281">
        <f t="shared" si="835"/>
        <v>220000000</v>
      </c>
      <c r="L717" s="281"/>
      <c r="M717" s="281"/>
      <c r="N717" s="281"/>
      <c r="O717" s="281"/>
      <c r="P717" s="281"/>
      <c r="Q717" s="281"/>
      <c r="R717" s="281">
        <f t="shared" si="875"/>
        <v>0</v>
      </c>
      <c r="S717" s="281"/>
      <c r="T717" s="281">
        <v>220000000</v>
      </c>
      <c r="U717" s="281"/>
      <c r="V717" s="281"/>
      <c r="W717" s="281"/>
      <c r="X717" s="281"/>
      <c r="Y717" s="281"/>
      <c r="Z717" s="281"/>
      <c r="AA717" s="281">
        <f t="shared" si="877"/>
        <v>220000000</v>
      </c>
      <c r="AB717" s="403">
        <f t="shared" si="840"/>
        <v>220000000</v>
      </c>
      <c r="AC717" s="326">
        <f t="shared" si="881"/>
        <v>1</v>
      </c>
    </row>
    <row r="718" spans="1:29" ht="25.5" x14ac:dyDescent="0.2">
      <c r="B718" s="323" t="s">
        <v>1611</v>
      </c>
      <c r="C718" s="206" t="s">
        <v>1612</v>
      </c>
      <c r="D718" s="281"/>
      <c r="E718" s="325">
        <f>SUM('ADICIONES  2021'!C718:N718)</f>
        <v>500000000</v>
      </c>
      <c r="F718" s="281"/>
      <c r="G718" s="281"/>
      <c r="H718" s="281"/>
      <c r="I718" s="281"/>
      <c r="J718" s="281"/>
      <c r="K718" s="281">
        <f t="shared" si="835"/>
        <v>500000000</v>
      </c>
      <c r="L718" s="281"/>
      <c r="M718" s="281"/>
      <c r="N718" s="281"/>
      <c r="O718" s="281"/>
      <c r="P718" s="281"/>
      <c r="Q718" s="281"/>
      <c r="R718" s="281">
        <f t="shared" si="875"/>
        <v>0</v>
      </c>
      <c r="S718" s="281"/>
      <c r="T718" s="281">
        <v>500000000</v>
      </c>
      <c r="U718" s="281"/>
      <c r="V718" s="281"/>
      <c r="W718" s="281"/>
      <c r="X718" s="281"/>
      <c r="Y718" s="281"/>
      <c r="Z718" s="281"/>
      <c r="AA718" s="281">
        <f t="shared" si="877"/>
        <v>500000000</v>
      </c>
      <c r="AB718" s="403">
        <f t="shared" si="840"/>
        <v>500000000</v>
      </c>
      <c r="AC718" s="326">
        <f t="shared" si="881"/>
        <v>1</v>
      </c>
    </row>
    <row r="719" spans="1:29" s="185" customFormat="1" ht="19.5" x14ac:dyDescent="0.2">
      <c r="A719" s="182"/>
      <c r="B719" s="343" t="s">
        <v>1613</v>
      </c>
      <c r="C719" s="344" t="s">
        <v>1614</v>
      </c>
      <c r="D719" s="285">
        <f>+D720</f>
        <v>0</v>
      </c>
      <c r="E719" s="320">
        <f>SUM('ADICIONES  2021'!C719:N719)</f>
        <v>137470491076.75</v>
      </c>
      <c r="F719" s="285">
        <f t="shared" ref="F719:J722" si="904">+F720</f>
        <v>0</v>
      </c>
      <c r="G719" s="285">
        <f t="shared" si="904"/>
        <v>0</v>
      </c>
      <c r="H719" s="285">
        <f t="shared" si="904"/>
        <v>0</v>
      </c>
      <c r="I719" s="285">
        <f t="shared" si="904"/>
        <v>0</v>
      </c>
      <c r="J719" s="285">
        <f t="shared" si="904"/>
        <v>0</v>
      </c>
      <c r="K719" s="316">
        <f t="shared" si="835"/>
        <v>137470491076.75</v>
      </c>
      <c r="L719" s="285">
        <f t="shared" ref="L719:Q722" si="905">+L720</f>
        <v>0</v>
      </c>
      <c r="M719" s="285">
        <f t="shared" si="905"/>
        <v>0</v>
      </c>
      <c r="N719" s="285">
        <f t="shared" si="905"/>
        <v>0</v>
      </c>
      <c r="O719" s="285">
        <f t="shared" si="905"/>
        <v>0</v>
      </c>
      <c r="P719" s="285">
        <f t="shared" si="905"/>
        <v>0</v>
      </c>
      <c r="Q719" s="285">
        <f t="shared" si="905"/>
        <v>0</v>
      </c>
      <c r="R719" s="316">
        <f t="shared" si="875"/>
        <v>0</v>
      </c>
      <c r="S719" s="285">
        <f t="shared" ref="S719:Z722" si="906">+S720</f>
        <v>81854176518.970001</v>
      </c>
      <c r="T719" s="285">
        <f t="shared" si="906"/>
        <v>0</v>
      </c>
      <c r="U719" s="285">
        <f t="shared" si="906"/>
        <v>0</v>
      </c>
      <c r="V719" s="285">
        <f t="shared" si="906"/>
        <v>0</v>
      </c>
      <c r="W719" s="285">
        <f t="shared" si="906"/>
        <v>0</v>
      </c>
      <c r="X719" s="285">
        <f t="shared" si="906"/>
        <v>17010953802.65</v>
      </c>
      <c r="Y719" s="285">
        <f t="shared" si="906"/>
        <v>0</v>
      </c>
      <c r="Z719" s="285">
        <f t="shared" si="906"/>
        <v>0</v>
      </c>
      <c r="AA719" s="316">
        <f t="shared" si="877"/>
        <v>98865130321.619995</v>
      </c>
      <c r="AB719" s="401">
        <f t="shared" si="840"/>
        <v>98865130321.619995</v>
      </c>
      <c r="AC719" s="317">
        <f t="shared" si="881"/>
        <v>0.71917347168290413</v>
      </c>
    </row>
    <row r="720" spans="1:29" ht="14.25" x14ac:dyDescent="0.2">
      <c r="B720" s="318" t="s">
        <v>1615</v>
      </c>
      <c r="C720" s="319" t="s">
        <v>1127</v>
      </c>
      <c r="D720" s="276">
        <f>+D721</f>
        <v>0</v>
      </c>
      <c r="E720" s="322">
        <f>SUM('ADICIONES  2021'!C720:N720)</f>
        <v>137470491076.75</v>
      </c>
      <c r="F720" s="276">
        <f t="shared" si="904"/>
        <v>0</v>
      </c>
      <c r="G720" s="276">
        <f t="shared" si="904"/>
        <v>0</v>
      </c>
      <c r="H720" s="276">
        <f t="shared" si="904"/>
        <v>0</v>
      </c>
      <c r="I720" s="276">
        <f t="shared" si="904"/>
        <v>0</v>
      </c>
      <c r="J720" s="276">
        <f t="shared" si="904"/>
        <v>0</v>
      </c>
      <c r="K720" s="281">
        <f t="shared" si="835"/>
        <v>137470491076.75</v>
      </c>
      <c r="L720" s="276">
        <f t="shared" si="905"/>
        <v>0</v>
      </c>
      <c r="M720" s="276">
        <f t="shared" si="905"/>
        <v>0</v>
      </c>
      <c r="N720" s="276">
        <f t="shared" si="905"/>
        <v>0</v>
      </c>
      <c r="O720" s="276">
        <f t="shared" si="905"/>
        <v>0</v>
      </c>
      <c r="P720" s="276">
        <f t="shared" si="905"/>
        <v>0</v>
      </c>
      <c r="Q720" s="276">
        <f t="shared" si="905"/>
        <v>0</v>
      </c>
      <c r="R720" s="281">
        <f t="shared" si="875"/>
        <v>0</v>
      </c>
      <c r="S720" s="276">
        <f t="shared" si="906"/>
        <v>81854176518.970001</v>
      </c>
      <c r="T720" s="276">
        <f t="shared" si="906"/>
        <v>0</v>
      </c>
      <c r="U720" s="276">
        <f t="shared" si="906"/>
        <v>0</v>
      </c>
      <c r="V720" s="276">
        <f t="shared" si="906"/>
        <v>0</v>
      </c>
      <c r="W720" s="276">
        <f t="shared" si="906"/>
        <v>0</v>
      </c>
      <c r="X720" s="276">
        <f t="shared" si="906"/>
        <v>17010953802.65</v>
      </c>
      <c r="Y720" s="276">
        <f t="shared" si="906"/>
        <v>0</v>
      </c>
      <c r="Z720" s="276">
        <f t="shared" si="906"/>
        <v>0</v>
      </c>
      <c r="AA720" s="281">
        <f t="shared" si="877"/>
        <v>98865130321.619995</v>
      </c>
      <c r="AB720" s="403">
        <f t="shared" si="840"/>
        <v>98865130321.619995</v>
      </c>
      <c r="AC720" s="326">
        <f t="shared" si="881"/>
        <v>0.71917347168290413</v>
      </c>
    </row>
    <row r="721" spans="1:29" ht="14.25" x14ac:dyDescent="0.2">
      <c r="A721" s="420">
        <v>1</v>
      </c>
      <c r="B721" s="318" t="s">
        <v>1616</v>
      </c>
      <c r="C721" s="319" t="s">
        <v>1617</v>
      </c>
      <c r="D721" s="276">
        <f>+D722</f>
        <v>0</v>
      </c>
      <c r="E721" s="322">
        <f>SUM('ADICIONES  2021'!C721:N721)</f>
        <v>137470491076.75</v>
      </c>
      <c r="F721" s="276">
        <f t="shared" si="904"/>
        <v>0</v>
      </c>
      <c r="G721" s="276">
        <f t="shared" si="904"/>
        <v>0</v>
      </c>
      <c r="H721" s="276">
        <f t="shared" si="904"/>
        <v>0</v>
      </c>
      <c r="I721" s="276">
        <f t="shared" si="904"/>
        <v>0</v>
      </c>
      <c r="J721" s="276">
        <f t="shared" si="904"/>
        <v>0</v>
      </c>
      <c r="K721" s="281">
        <f t="shared" si="835"/>
        <v>137470491076.75</v>
      </c>
      <c r="L721" s="276">
        <f t="shared" si="905"/>
        <v>0</v>
      </c>
      <c r="M721" s="276">
        <f t="shared" si="905"/>
        <v>0</v>
      </c>
      <c r="N721" s="276">
        <f t="shared" si="905"/>
        <v>0</v>
      </c>
      <c r="O721" s="276">
        <f t="shared" si="905"/>
        <v>0</v>
      </c>
      <c r="P721" s="276">
        <f t="shared" si="905"/>
        <v>0</v>
      </c>
      <c r="Q721" s="276">
        <f t="shared" si="905"/>
        <v>0</v>
      </c>
      <c r="R721" s="281">
        <f t="shared" si="875"/>
        <v>0</v>
      </c>
      <c r="S721" s="276">
        <f t="shared" si="906"/>
        <v>81854176518.970001</v>
      </c>
      <c r="T721" s="276">
        <f t="shared" si="906"/>
        <v>0</v>
      </c>
      <c r="U721" s="276">
        <f t="shared" si="906"/>
        <v>0</v>
      </c>
      <c r="V721" s="276">
        <f t="shared" si="906"/>
        <v>0</v>
      </c>
      <c r="W721" s="276">
        <f t="shared" si="906"/>
        <v>0</v>
      </c>
      <c r="X721" s="276">
        <f t="shared" si="906"/>
        <v>17010953802.65</v>
      </c>
      <c r="Y721" s="276">
        <f t="shared" si="906"/>
        <v>0</v>
      </c>
      <c r="Z721" s="276">
        <f t="shared" si="906"/>
        <v>0</v>
      </c>
      <c r="AA721" s="281">
        <f t="shared" si="877"/>
        <v>98865130321.619995</v>
      </c>
      <c r="AB721" s="403">
        <f t="shared" si="840"/>
        <v>98865130321.619995</v>
      </c>
      <c r="AC721" s="326">
        <f t="shared" si="881"/>
        <v>0.71917347168290413</v>
      </c>
    </row>
    <row r="722" spans="1:29" ht="14.25" x14ac:dyDescent="0.2">
      <c r="B722" s="318" t="s">
        <v>1618</v>
      </c>
      <c r="C722" s="319" t="s">
        <v>1619</v>
      </c>
      <c r="D722" s="276">
        <f>+D723</f>
        <v>0</v>
      </c>
      <c r="E722" s="322">
        <f>SUM('ADICIONES  2021'!C722:N722)</f>
        <v>137470491076.75</v>
      </c>
      <c r="F722" s="276">
        <f t="shared" si="904"/>
        <v>0</v>
      </c>
      <c r="G722" s="276">
        <f t="shared" si="904"/>
        <v>0</v>
      </c>
      <c r="H722" s="276">
        <f t="shared" si="904"/>
        <v>0</v>
      </c>
      <c r="I722" s="276">
        <f t="shared" si="904"/>
        <v>0</v>
      </c>
      <c r="J722" s="276">
        <f t="shared" si="904"/>
        <v>0</v>
      </c>
      <c r="K722" s="281">
        <f t="shared" si="835"/>
        <v>137470491076.75</v>
      </c>
      <c r="L722" s="276">
        <f t="shared" si="905"/>
        <v>0</v>
      </c>
      <c r="M722" s="276">
        <f t="shared" si="905"/>
        <v>0</v>
      </c>
      <c r="N722" s="276">
        <f t="shared" si="905"/>
        <v>0</v>
      </c>
      <c r="O722" s="276">
        <f t="shared" si="905"/>
        <v>0</v>
      </c>
      <c r="P722" s="276">
        <f t="shared" si="905"/>
        <v>0</v>
      </c>
      <c r="Q722" s="276">
        <f t="shared" si="905"/>
        <v>0</v>
      </c>
      <c r="R722" s="281">
        <f t="shared" si="875"/>
        <v>0</v>
      </c>
      <c r="S722" s="276">
        <f t="shared" si="906"/>
        <v>81854176518.970001</v>
      </c>
      <c r="T722" s="276">
        <f t="shared" si="906"/>
        <v>0</v>
      </c>
      <c r="U722" s="276">
        <f t="shared" si="906"/>
        <v>0</v>
      </c>
      <c r="V722" s="276">
        <f t="shared" si="906"/>
        <v>0</v>
      </c>
      <c r="W722" s="276">
        <f t="shared" si="906"/>
        <v>0</v>
      </c>
      <c r="X722" s="276">
        <f t="shared" si="906"/>
        <v>17010953802.65</v>
      </c>
      <c r="Y722" s="276">
        <f t="shared" si="906"/>
        <v>0</v>
      </c>
      <c r="Z722" s="276">
        <f t="shared" si="906"/>
        <v>0</v>
      </c>
      <c r="AA722" s="281">
        <f t="shared" si="877"/>
        <v>98865130321.619995</v>
      </c>
      <c r="AB722" s="403">
        <f t="shared" si="840"/>
        <v>98865130321.619995</v>
      </c>
      <c r="AC722" s="326">
        <f t="shared" si="881"/>
        <v>0.71917347168290413</v>
      </c>
    </row>
    <row r="723" spans="1:29" ht="14.25" x14ac:dyDescent="0.2">
      <c r="B723" s="318" t="s">
        <v>1620</v>
      </c>
      <c r="C723" s="319" t="s">
        <v>1621</v>
      </c>
      <c r="D723" s="276">
        <f>+D724+D729+D731+D733+D735+D737+D739+D741+D743+D745+D753+D758+D769+D771</f>
        <v>0</v>
      </c>
      <c r="E723" s="322">
        <f>SUM('ADICIONES  2021'!C723:N723)</f>
        <v>137470491076.75</v>
      </c>
      <c r="F723" s="276">
        <f>+F724+F729+F731+F733+F735+F737+F739+F741+F743+F745+F753+F758+F769+F771</f>
        <v>0</v>
      </c>
      <c r="G723" s="276">
        <f>+G724+G729+G731+G733+G735+G737+G739+G741+G743+G745+G753+G758+G769+G771</f>
        <v>0</v>
      </c>
      <c r="H723" s="276">
        <f>+H724+H729+H731+H733+H735+H737+H739+H741+H743+H745+H753+H758+H769+H771</f>
        <v>0</v>
      </c>
      <c r="I723" s="276">
        <f>+I724+I729+I731+I733+I735+I737+I739+I741+I743+I745+I753+I758+I769+I771</f>
        <v>0</v>
      </c>
      <c r="J723" s="276">
        <f>+J724+J729+J731+J733+J735+J737+J739+J741+J743+J745+J753+J758+J769+J771</f>
        <v>0</v>
      </c>
      <c r="K723" s="281">
        <f t="shared" si="835"/>
        <v>137470491076.75</v>
      </c>
      <c r="L723" s="276">
        <f t="shared" ref="L723:Q723" si="907">+L724+L729+L731+L733+L735+L737+L739+L741+L743+L745+L753+L758+L769+L771</f>
        <v>0</v>
      </c>
      <c r="M723" s="276">
        <f t="shared" si="907"/>
        <v>0</v>
      </c>
      <c r="N723" s="276">
        <f t="shared" si="907"/>
        <v>0</v>
      </c>
      <c r="O723" s="276">
        <f t="shared" si="907"/>
        <v>0</v>
      </c>
      <c r="P723" s="276">
        <f t="shared" si="907"/>
        <v>0</v>
      </c>
      <c r="Q723" s="276">
        <f t="shared" si="907"/>
        <v>0</v>
      </c>
      <c r="R723" s="281">
        <f t="shared" si="875"/>
        <v>0</v>
      </c>
      <c r="S723" s="276">
        <f>+S724+S729+S731+S733+S735+S737+S739+S741+S743+S745+S753+S758+S769+S771</f>
        <v>81854176518.970001</v>
      </c>
      <c r="T723" s="276">
        <f t="shared" ref="T723:Z723" si="908">+T724+T729+T731+T733+T735+T737+T739+T741+T743+T745+T753+T758+T769+T771</f>
        <v>0</v>
      </c>
      <c r="U723" s="276">
        <f t="shared" si="908"/>
        <v>0</v>
      </c>
      <c r="V723" s="276">
        <f t="shared" si="908"/>
        <v>0</v>
      </c>
      <c r="W723" s="276">
        <f t="shared" si="908"/>
        <v>0</v>
      </c>
      <c r="X723" s="276">
        <f t="shared" si="908"/>
        <v>17010953802.65</v>
      </c>
      <c r="Y723" s="276">
        <f t="shared" si="908"/>
        <v>0</v>
      </c>
      <c r="Z723" s="276">
        <f t="shared" si="908"/>
        <v>0</v>
      </c>
      <c r="AA723" s="281">
        <f t="shared" si="877"/>
        <v>98865130321.619995</v>
      </c>
      <c r="AB723" s="403">
        <f t="shared" si="840"/>
        <v>98865130321.619995</v>
      </c>
      <c r="AC723" s="326">
        <f t="shared" si="881"/>
        <v>0.71917347168290413</v>
      </c>
    </row>
    <row r="724" spans="1:29" ht="14.25" x14ac:dyDescent="0.2">
      <c r="B724" s="318" t="s">
        <v>1622</v>
      </c>
      <c r="C724" s="319" t="s">
        <v>1623</v>
      </c>
      <c r="D724" s="276">
        <f>+D725</f>
        <v>0</v>
      </c>
      <c r="E724" s="322">
        <f>SUM('ADICIONES  2021'!C724:N724)</f>
        <v>9474523795.8700008</v>
      </c>
      <c r="F724" s="276">
        <f>+F725</f>
        <v>0</v>
      </c>
      <c r="G724" s="276">
        <f>+G725</f>
        <v>0</v>
      </c>
      <c r="H724" s="276">
        <f>+H725</f>
        <v>0</v>
      </c>
      <c r="I724" s="276">
        <f>+I725</f>
        <v>0</v>
      </c>
      <c r="J724" s="276">
        <f>+J725</f>
        <v>0</v>
      </c>
      <c r="K724" s="281">
        <f t="shared" si="835"/>
        <v>9474523795.8700008</v>
      </c>
      <c r="L724" s="276">
        <f t="shared" ref="L724:Q724" si="909">+L725</f>
        <v>0</v>
      </c>
      <c r="M724" s="276">
        <f t="shared" si="909"/>
        <v>0</v>
      </c>
      <c r="N724" s="276">
        <f t="shared" si="909"/>
        <v>0</v>
      </c>
      <c r="O724" s="276">
        <f t="shared" si="909"/>
        <v>0</v>
      </c>
      <c r="P724" s="276">
        <f t="shared" si="909"/>
        <v>0</v>
      </c>
      <c r="Q724" s="276">
        <f t="shared" si="909"/>
        <v>0</v>
      </c>
      <c r="R724" s="281">
        <f t="shared" si="875"/>
        <v>0</v>
      </c>
      <c r="S724" s="276">
        <f>+S725</f>
        <v>9474523795.8700008</v>
      </c>
      <c r="T724" s="276">
        <f t="shared" ref="T724:Z724" si="910">+T725</f>
        <v>0</v>
      </c>
      <c r="U724" s="276">
        <f t="shared" si="910"/>
        <v>0</v>
      </c>
      <c r="V724" s="276">
        <f t="shared" si="910"/>
        <v>0</v>
      </c>
      <c r="W724" s="276">
        <f t="shared" si="910"/>
        <v>0</v>
      </c>
      <c r="X724" s="276">
        <f t="shared" si="910"/>
        <v>0</v>
      </c>
      <c r="Y724" s="276">
        <f t="shared" si="910"/>
        <v>0</v>
      </c>
      <c r="Z724" s="276">
        <f t="shared" si="910"/>
        <v>0</v>
      </c>
      <c r="AA724" s="281">
        <f t="shared" si="877"/>
        <v>9474523795.8700008</v>
      </c>
      <c r="AB724" s="403">
        <f t="shared" si="840"/>
        <v>9474523795.8700008</v>
      </c>
      <c r="AC724" s="326">
        <f t="shared" si="881"/>
        <v>1</v>
      </c>
    </row>
    <row r="725" spans="1:29" ht="38.25" x14ac:dyDescent="0.2">
      <c r="B725" s="318" t="s">
        <v>1624</v>
      </c>
      <c r="C725" s="319" t="s">
        <v>1625</v>
      </c>
      <c r="D725" s="276">
        <f>SUM(D726:D728)</f>
        <v>0</v>
      </c>
      <c r="E725" s="322">
        <f>SUM('ADICIONES  2021'!C725:N725)</f>
        <v>9474523795.8700008</v>
      </c>
      <c r="F725" s="276">
        <f>SUM(F726:F728)</f>
        <v>0</v>
      </c>
      <c r="G725" s="276">
        <f>SUM(G726:G728)</f>
        <v>0</v>
      </c>
      <c r="H725" s="276">
        <f>SUM(H726:H728)</f>
        <v>0</v>
      </c>
      <c r="I725" s="276">
        <f>SUM(I726:I728)</f>
        <v>0</v>
      </c>
      <c r="J725" s="276">
        <f>SUM(J726:J728)</f>
        <v>0</v>
      </c>
      <c r="K725" s="281">
        <f t="shared" si="835"/>
        <v>9474523795.8700008</v>
      </c>
      <c r="L725" s="276">
        <f t="shared" ref="L725:Q725" si="911">SUM(L726:L728)</f>
        <v>0</v>
      </c>
      <c r="M725" s="276">
        <f t="shared" si="911"/>
        <v>0</v>
      </c>
      <c r="N725" s="276">
        <f t="shared" si="911"/>
        <v>0</v>
      </c>
      <c r="O725" s="276">
        <f t="shared" si="911"/>
        <v>0</v>
      </c>
      <c r="P725" s="276">
        <f t="shared" si="911"/>
        <v>0</v>
      </c>
      <c r="Q725" s="276">
        <f t="shared" si="911"/>
        <v>0</v>
      </c>
      <c r="R725" s="281">
        <f t="shared" si="875"/>
        <v>0</v>
      </c>
      <c r="S725" s="276">
        <f>SUM(S726:S728)</f>
        <v>9474523795.8700008</v>
      </c>
      <c r="T725" s="276">
        <f t="shared" ref="T725:Z725" si="912">SUM(T726:T728)</f>
        <v>0</v>
      </c>
      <c r="U725" s="276">
        <f t="shared" si="912"/>
        <v>0</v>
      </c>
      <c r="V725" s="276">
        <f t="shared" si="912"/>
        <v>0</v>
      </c>
      <c r="W725" s="276">
        <f t="shared" si="912"/>
        <v>0</v>
      </c>
      <c r="X725" s="276">
        <f t="shared" si="912"/>
        <v>0</v>
      </c>
      <c r="Y725" s="276">
        <f t="shared" si="912"/>
        <v>0</v>
      </c>
      <c r="Z725" s="276">
        <f t="shared" si="912"/>
        <v>0</v>
      </c>
      <c r="AA725" s="281">
        <f t="shared" si="877"/>
        <v>9474523795.8700008</v>
      </c>
      <c r="AB725" s="403">
        <f t="shared" si="840"/>
        <v>9474523795.8700008</v>
      </c>
      <c r="AC725" s="326">
        <f t="shared" si="881"/>
        <v>1</v>
      </c>
    </row>
    <row r="726" spans="1:29" ht="14.25" x14ac:dyDescent="0.2">
      <c r="B726" s="323" t="s">
        <v>1626</v>
      </c>
      <c r="C726" s="206" t="s">
        <v>1627</v>
      </c>
      <c r="D726" s="281"/>
      <c r="E726" s="325">
        <f>SUM('ADICIONES  2021'!C726:N726)</f>
        <v>9462323795.8700008</v>
      </c>
      <c r="F726" s="281"/>
      <c r="G726" s="281"/>
      <c r="H726" s="281"/>
      <c r="I726" s="281"/>
      <c r="J726" s="281"/>
      <c r="K726" s="281">
        <f t="shared" si="835"/>
        <v>9462323795.8700008</v>
      </c>
      <c r="L726" s="281"/>
      <c r="M726" s="281"/>
      <c r="N726" s="281"/>
      <c r="O726" s="281"/>
      <c r="P726" s="281"/>
      <c r="Q726" s="281"/>
      <c r="R726" s="281">
        <f t="shared" si="875"/>
        <v>0</v>
      </c>
      <c r="S726" s="281">
        <v>9462323795.8700008</v>
      </c>
      <c r="T726" s="281"/>
      <c r="U726" s="281"/>
      <c r="V726" s="281"/>
      <c r="W726" s="281"/>
      <c r="X726" s="281"/>
      <c r="Y726" s="281"/>
      <c r="Z726" s="281"/>
      <c r="AA726" s="281">
        <f t="shared" si="877"/>
        <v>9462323795.8700008</v>
      </c>
      <c r="AB726" s="403">
        <f t="shared" si="840"/>
        <v>9462323795.8700008</v>
      </c>
      <c r="AC726" s="326">
        <f t="shared" si="881"/>
        <v>1</v>
      </c>
    </row>
    <row r="727" spans="1:29" ht="14.25" x14ac:dyDescent="0.2">
      <c r="B727" s="323" t="s">
        <v>1628</v>
      </c>
      <c r="C727" s="206" t="s">
        <v>1629</v>
      </c>
      <c r="D727" s="281"/>
      <c r="E727" s="325">
        <f>SUM('ADICIONES  2021'!C727:N727)</f>
        <v>9500000</v>
      </c>
      <c r="F727" s="281"/>
      <c r="G727" s="281"/>
      <c r="H727" s="281"/>
      <c r="I727" s="281"/>
      <c r="J727" s="281"/>
      <c r="K727" s="281">
        <f t="shared" si="835"/>
        <v>9500000</v>
      </c>
      <c r="L727" s="281"/>
      <c r="M727" s="281"/>
      <c r="N727" s="281"/>
      <c r="O727" s="281"/>
      <c r="P727" s="281"/>
      <c r="Q727" s="281"/>
      <c r="R727" s="281">
        <f t="shared" si="875"/>
        <v>0</v>
      </c>
      <c r="S727" s="281">
        <v>9500000</v>
      </c>
      <c r="T727" s="281"/>
      <c r="U727" s="281"/>
      <c r="V727" s="281"/>
      <c r="W727" s="281"/>
      <c r="X727" s="281"/>
      <c r="Y727" s="281"/>
      <c r="Z727" s="281"/>
      <c r="AA727" s="281">
        <f t="shared" si="877"/>
        <v>9500000</v>
      </c>
      <c r="AB727" s="403">
        <f t="shared" si="840"/>
        <v>9500000</v>
      </c>
      <c r="AC727" s="326">
        <f t="shared" si="881"/>
        <v>1</v>
      </c>
    </row>
    <row r="728" spans="1:29" ht="14.25" x14ac:dyDescent="0.2">
      <c r="B728" s="323" t="s">
        <v>1630</v>
      </c>
      <c r="C728" s="206" t="s">
        <v>1631</v>
      </c>
      <c r="D728" s="281"/>
      <c r="E728" s="325">
        <f>SUM('ADICIONES  2021'!C728:N728)</f>
        <v>2700000</v>
      </c>
      <c r="F728" s="281"/>
      <c r="G728" s="281"/>
      <c r="H728" s="281"/>
      <c r="I728" s="281"/>
      <c r="J728" s="281"/>
      <c r="K728" s="281">
        <f t="shared" si="835"/>
        <v>2700000</v>
      </c>
      <c r="L728" s="281"/>
      <c r="M728" s="281"/>
      <c r="N728" s="281"/>
      <c r="O728" s="281"/>
      <c r="P728" s="281"/>
      <c r="Q728" s="281"/>
      <c r="R728" s="281">
        <f t="shared" si="875"/>
        <v>0</v>
      </c>
      <c r="S728" s="281">
        <v>2700000</v>
      </c>
      <c r="T728" s="281"/>
      <c r="U728" s="281"/>
      <c r="V728" s="281"/>
      <c r="W728" s="281"/>
      <c r="X728" s="281"/>
      <c r="Y728" s="281"/>
      <c r="Z728" s="281"/>
      <c r="AA728" s="281">
        <f t="shared" si="877"/>
        <v>2700000</v>
      </c>
      <c r="AB728" s="403">
        <f t="shared" si="840"/>
        <v>2700000</v>
      </c>
      <c r="AC728" s="326">
        <f t="shared" si="881"/>
        <v>1</v>
      </c>
    </row>
    <row r="729" spans="1:29" ht="25.5" x14ac:dyDescent="0.2">
      <c r="B729" s="318" t="s">
        <v>1632</v>
      </c>
      <c r="C729" s="319" t="s">
        <v>1633</v>
      </c>
      <c r="D729" s="276">
        <f>+D730</f>
        <v>0</v>
      </c>
      <c r="E729" s="322">
        <f>SUM('ADICIONES  2021'!C729:N729)</f>
        <v>36050864285.730003</v>
      </c>
      <c r="F729" s="276">
        <f>+F730</f>
        <v>0</v>
      </c>
      <c r="G729" s="276">
        <f>+G730</f>
        <v>0</v>
      </c>
      <c r="H729" s="276">
        <f>+H730</f>
        <v>0</v>
      </c>
      <c r="I729" s="276">
        <f>+I730</f>
        <v>0</v>
      </c>
      <c r="J729" s="276">
        <f>+J730</f>
        <v>0</v>
      </c>
      <c r="K729" s="281">
        <f t="shared" si="835"/>
        <v>36050864285.730003</v>
      </c>
      <c r="L729" s="276">
        <f t="shared" ref="L729:Q729" si="913">+L730</f>
        <v>0</v>
      </c>
      <c r="M729" s="276">
        <f t="shared" si="913"/>
        <v>0</v>
      </c>
      <c r="N729" s="276">
        <f t="shared" si="913"/>
        <v>0</v>
      </c>
      <c r="O729" s="276">
        <f t="shared" si="913"/>
        <v>0</v>
      </c>
      <c r="P729" s="276">
        <f t="shared" si="913"/>
        <v>0</v>
      </c>
      <c r="Q729" s="276">
        <f t="shared" si="913"/>
        <v>0</v>
      </c>
      <c r="R729" s="281">
        <f t="shared" si="875"/>
        <v>0</v>
      </c>
      <c r="S729" s="276">
        <f t="shared" ref="S729:Z729" si="914">+S730</f>
        <v>0</v>
      </c>
      <c r="T729" s="276">
        <f t="shared" si="914"/>
        <v>0</v>
      </c>
      <c r="U729" s="276">
        <f t="shared" si="914"/>
        <v>0</v>
      </c>
      <c r="V729" s="276">
        <f t="shared" si="914"/>
        <v>0</v>
      </c>
      <c r="W729" s="276">
        <f t="shared" si="914"/>
        <v>0</v>
      </c>
      <c r="X729" s="276">
        <f t="shared" si="914"/>
        <v>0</v>
      </c>
      <c r="Y729" s="276">
        <f t="shared" si="914"/>
        <v>0</v>
      </c>
      <c r="Z729" s="276">
        <f t="shared" si="914"/>
        <v>0</v>
      </c>
      <c r="AA729" s="281">
        <f t="shared" si="877"/>
        <v>0</v>
      </c>
      <c r="AB729" s="403">
        <f t="shared" si="840"/>
        <v>0</v>
      </c>
      <c r="AC729" s="326">
        <f t="shared" si="881"/>
        <v>0</v>
      </c>
    </row>
    <row r="730" spans="1:29" ht="14.25" x14ac:dyDescent="0.2">
      <c r="B730" s="323" t="s">
        <v>1634</v>
      </c>
      <c r="C730" s="206" t="s">
        <v>1635</v>
      </c>
      <c r="D730" s="281"/>
      <c r="E730" s="325">
        <f>SUM('ADICIONES  2021'!C730:N730)</f>
        <v>36050864285.730003</v>
      </c>
      <c r="F730" s="281"/>
      <c r="G730" s="281"/>
      <c r="H730" s="281"/>
      <c r="I730" s="281"/>
      <c r="J730" s="281"/>
      <c r="K730" s="281">
        <f t="shared" si="835"/>
        <v>36050864285.730003</v>
      </c>
      <c r="L730" s="281"/>
      <c r="M730" s="281"/>
      <c r="N730" s="281"/>
      <c r="O730" s="281"/>
      <c r="P730" s="281"/>
      <c r="Q730" s="281"/>
      <c r="R730" s="281">
        <f t="shared" si="875"/>
        <v>0</v>
      </c>
      <c r="S730" s="281"/>
      <c r="T730" s="281"/>
      <c r="U730" s="281"/>
      <c r="V730" s="281"/>
      <c r="W730" s="281"/>
      <c r="X730" s="281"/>
      <c r="Y730" s="281"/>
      <c r="Z730" s="281"/>
      <c r="AA730" s="281">
        <f t="shared" si="877"/>
        <v>0</v>
      </c>
      <c r="AB730" s="403">
        <f t="shared" si="840"/>
        <v>0</v>
      </c>
      <c r="AC730" s="326">
        <f t="shared" si="881"/>
        <v>0</v>
      </c>
    </row>
    <row r="731" spans="1:29" ht="14.25" x14ac:dyDescent="0.2">
      <c r="B731" s="318" t="s">
        <v>1636</v>
      </c>
      <c r="C731" s="319" t="s">
        <v>1637</v>
      </c>
      <c r="D731" s="276">
        <f>+D732</f>
        <v>0</v>
      </c>
      <c r="E731" s="322">
        <f>SUM('ADICIONES  2021'!C731:N731)</f>
        <v>10500000</v>
      </c>
      <c r="F731" s="276">
        <f>+F732</f>
        <v>0</v>
      </c>
      <c r="G731" s="276">
        <f>+G732</f>
        <v>0</v>
      </c>
      <c r="H731" s="276">
        <f>+H732</f>
        <v>0</v>
      </c>
      <c r="I731" s="276">
        <f>+I732</f>
        <v>0</v>
      </c>
      <c r="J731" s="276">
        <f>+J732</f>
        <v>0</v>
      </c>
      <c r="K731" s="281">
        <f t="shared" si="835"/>
        <v>10500000</v>
      </c>
      <c r="L731" s="276">
        <f t="shared" ref="L731:Q731" si="915">+L732</f>
        <v>0</v>
      </c>
      <c r="M731" s="276">
        <f t="shared" si="915"/>
        <v>0</v>
      </c>
      <c r="N731" s="276">
        <f t="shared" si="915"/>
        <v>0</v>
      </c>
      <c r="O731" s="276">
        <f t="shared" si="915"/>
        <v>0</v>
      </c>
      <c r="P731" s="276">
        <f t="shared" si="915"/>
        <v>0</v>
      </c>
      <c r="Q731" s="276">
        <f t="shared" si="915"/>
        <v>0</v>
      </c>
      <c r="R731" s="281">
        <f t="shared" si="875"/>
        <v>0</v>
      </c>
      <c r="S731" s="276">
        <f t="shared" ref="S731:Z731" si="916">+S732</f>
        <v>10500000</v>
      </c>
      <c r="T731" s="276">
        <f t="shared" si="916"/>
        <v>0</v>
      </c>
      <c r="U731" s="276">
        <f t="shared" si="916"/>
        <v>0</v>
      </c>
      <c r="V731" s="276">
        <f t="shared" si="916"/>
        <v>0</v>
      </c>
      <c r="W731" s="276">
        <f t="shared" si="916"/>
        <v>0</v>
      </c>
      <c r="X731" s="276">
        <f t="shared" si="916"/>
        <v>0</v>
      </c>
      <c r="Y731" s="276">
        <f t="shared" si="916"/>
        <v>0</v>
      </c>
      <c r="Z731" s="276">
        <f t="shared" si="916"/>
        <v>0</v>
      </c>
      <c r="AA731" s="281">
        <f t="shared" si="877"/>
        <v>10500000</v>
      </c>
      <c r="AB731" s="403">
        <f t="shared" si="840"/>
        <v>10500000</v>
      </c>
      <c r="AC731" s="326">
        <f t="shared" si="881"/>
        <v>1</v>
      </c>
    </row>
    <row r="732" spans="1:29" ht="14.25" x14ac:dyDescent="0.2">
      <c r="B732" s="323" t="s">
        <v>1638</v>
      </c>
      <c r="C732" s="206" t="s">
        <v>1639</v>
      </c>
      <c r="D732" s="281"/>
      <c r="E732" s="325">
        <f>SUM('ADICIONES  2021'!C732:N732)</f>
        <v>10500000</v>
      </c>
      <c r="F732" s="281"/>
      <c r="G732" s="281"/>
      <c r="H732" s="281"/>
      <c r="I732" s="281"/>
      <c r="J732" s="281"/>
      <c r="K732" s="281">
        <f t="shared" si="835"/>
        <v>10500000</v>
      </c>
      <c r="L732" s="281"/>
      <c r="M732" s="281"/>
      <c r="N732" s="281"/>
      <c r="O732" s="281"/>
      <c r="P732" s="281"/>
      <c r="Q732" s="281"/>
      <c r="R732" s="281">
        <f t="shared" si="875"/>
        <v>0</v>
      </c>
      <c r="S732" s="281">
        <v>10500000</v>
      </c>
      <c r="T732" s="281"/>
      <c r="U732" s="281"/>
      <c r="V732" s="281"/>
      <c r="W732" s="281"/>
      <c r="X732" s="281"/>
      <c r="Y732" s="281"/>
      <c r="Z732" s="281"/>
      <c r="AA732" s="281">
        <f t="shared" si="877"/>
        <v>10500000</v>
      </c>
      <c r="AB732" s="403">
        <f t="shared" si="840"/>
        <v>10500000</v>
      </c>
      <c r="AC732" s="326">
        <f t="shared" si="881"/>
        <v>1</v>
      </c>
    </row>
    <row r="733" spans="1:29" ht="25.5" x14ac:dyDescent="0.2">
      <c r="B733" s="318" t="s">
        <v>1640</v>
      </c>
      <c r="C733" s="319" t="s">
        <v>1641</v>
      </c>
      <c r="D733" s="276">
        <f>+D734</f>
        <v>0</v>
      </c>
      <c r="E733" s="322">
        <f>SUM('ADICIONES  2021'!C733:N733)</f>
        <v>7462000</v>
      </c>
      <c r="F733" s="276">
        <f>+F734</f>
        <v>0</v>
      </c>
      <c r="G733" s="276">
        <f>+G734</f>
        <v>0</v>
      </c>
      <c r="H733" s="276">
        <f>+H734</f>
        <v>0</v>
      </c>
      <c r="I733" s="276">
        <f>+I734</f>
        <v>0</v>
      </c>
      <c r="J733" s="276">
        <f>+J734</f>
        <v>0</v>
      </c>
      <c r="K733" s="281">
        <f t="shared" si="835"/>
        <v>7462000</v>
      </c>
      <c r="L733" s="276">
        <f t="shared" ref="L733:Q733" si="917">+L734</f>
        <v>0</v>
      </c>
      <c r="M733" s="276">
        <f t="shared" si="917"/>
        <v>0</v>
      </c>
      <c r="N733" s="276">
        <f t="shared" si="917"/>
        <v>0</v>
      </c>
      <c r="O733" s="276">
        <f t="shared" si="917"/>
        <v>0</v>
      </c>
      <c r="P733" s="276">
        <f t="shared" si="917"/>
        <v>0</v>
      </c>
      <c r="Q733" s="276">
        <f t="shared" si="917"/>
        <v>0</v>
      </c>
      <c r="R733" s="281">
        <f t="shared" si="875"/>
        <v>0</v>
      </c>
      <c r="S733" s="276">
        <f t="shared" ref="S733:Z733" si="918">+S734</f>
        <v>7462000</v>
      </c>
      <c r="T733" s="276">
        <f t="shared" si="918"/>
        <v>0</v>
      </c>
      <c r="U733" s="276">
        <f t="shared" si="918"/>
        <v>0</v>
      </c>
      <c r="V733" s="276">
        <f t="shared" si="918"/>
        <v>0</v>
      </c>
      <c r="W733" s="276">
        <f t="shared" si="918"/>
        <v>0</v>
      </c>
      <c r="X733" s="276">
        <f t="shared" si="918"/>
        <v>0</v>
      </c>
      <c r="Y733" s="276">
        <f t="shared" si="918"/>
        <v>0</v>
      </c>
      <c r="Z733" s="276">
        <f t="shared" si="918"/>
        <v>0</v>
      </c>
      <c r="AA733" s="281">
        <f t="shared" si="877"/>
        <v>7462000</v>
      </c>
      <c r="AB733" s="403">
        <f t="shared" si="840"/>
        <v>7462000</v>
      </c>
      <c r="AC733" s="326">
        <f t="shared" si="881"/>
        <v>1</v>
      </c>
    </row>
    <row r="734" spans="1:29" ht="14.25" x14ac:dyDescent="0.2">
      <c r="B734" s="323" t="s">
        <v>1642</v>
      </c>
      <c r="C734" s="206" t="s">
        <v>1643</v>
      </c>
      <c r="D734" s="281"/>
      <c r="E734" s="325">
        <f>SUM('ADICIONES  2021'!C734:N734)</f>
        <v>7462000</v>
      </c>
      <c r="F734" s="281"/>
      <c r="G734" s="281"/>
      <c r="H734" s="281"/>
      <c r="I734" s="281"/>
      <c r="J734" s="281"/>
      <c r="K734" s="281">
        <f t="shared" si="835"/>
        <v>7462000</v>
      </c>
      <c r="L734" s="281"/>
      <c r="M734" s="281"/>
      <c r="N734" s="281"/>
      <c r="O734" s="281"/>
      <c r="P734" s="281"/>
      <c r="Q734" s="281"/>
      <c r="R734" s="281">
        <f t="shared" si="875"/>
        <v>0</v>
      </c>
      <c r="S734" s="281">
        <v>7462000</v>
      </c>
      <c r="T734" s="281"/>
      <c r="U734" s="281"/>
      <c r="V734" s="281"/>
      <c r="W734" s="281"/>
      <c r="X734" s="281"/>
      <c r="Y734" s="281"/>
      <c r="Z734" s="281"/>
      <c r="AA734" s="281">
        <f t="shared" si="877"/>
        <v>7462000</v>
      </c>
      <c r="AB734" s="403">
        <f t="shared" si="840"/>
        <v>7462000</v>
      </c>
      <c r="AC734" s="326">
        <f t="shared" si="881"/>
        <v>1</v>
      </c>
    </row>
    <row r="735" spans="1:29" ht="38.25" x14ac:dyDescent="0.2">
      <c r="B735" s="318" t="s">
        <v>1644</v>
      </c>
      <c r="C735" s="319" t="s">
        <v>1645</v>
      </c>
      <c r="D735" s="276">
        <f>+D736</f>
        <v>0</v>
      </c>
      <c r="E735" s="322">
        <f>SUM('ADICIONES  2021'!C735:N735)</f>
        <v>27103488.100000001</v>
      </c>
      <c r="F735" s="276">
        <f>+F736</f>
        <v>0</v>
      </c>
      <c r="G735" s="276">
        <f>+G736</f>
        <v>0</v>
      </c>
      <c r="H735" s="276">
        <f>+H736</f>
        <v>0</v>
      </c>
      <c r="I735" s="276">
        <f>+I736</f>
        <v>0</v>
      </c>
      <c r="J735" s="276">
        <f>+J736</f>
        <v>0</v>
      </c>
      <c r="K735" s="281">
        <f t="shared" si="835"/>
        <v>27103488.100000001</v>
      </c>
      <c r="L735" s="276">
        <f t="shared" ref="L735:Q735" si="919">+L736</f>
        <v>0</v>
      </c>
      <c r="M735" s="276">
        <f t="shared" si="919"/>
        <v>0</v>
      </c>
      <c r="N735" s="276">
        <f t="shared" si="919"/>
        <v>0</v>
      </c>
      <c r="O735" s="276">
        <f t="shared" si="919"/>
        <v>0</v>
      </c>
      <c r="P735" s="276">
        <f t="shared" si="919"/>
        <v>0</v>
      </c>
      <c r="Q735" s="276">
        <f t="shared" si="919"/>
        <v>0</v>
      </c>
      <c r="R735" s="281">
        <f t="shared" si="875"/>
        <v>0</v>
      </c>
      <c r="S735" s="276">
        <f t="shared" ref="S735:Z735" si="920">+S736</f>
        <v>27103488.100000001</v>
      </c>
      <c r="T735" s="276">
        <f t="shared" si="920"/>
        <v>0</v>
      </c>
      <c r="U735" s="276">
        <f t="shared" si="920"/>
        <v>0</v>
      </c>
      <c r="V735" s="276">
        <f t="shared" si="920"/>
        <v>0</v>
      </c>
      <c r="W735" s="276">
        <f t="shared" si="920"/>
        <v>0</v>
      </c>
      <c r="X735" s="276">
        <f t="shared" si="920"/>
        <v>0</v>
      </c>
      <c r="Y735" s="276">
        <f t="shared" si="920"/>
        <v>0</v>
      </c>
      <c r="Z735" s="276">
        <f t="shared" si="920"/>
        <v>0</v>
      </c>
      <c r="AA735" s="281">
        <f t="shared" si="877"/>
        <v>27103488.100000001</v>
      </c>
      <c r="AB735" s="403">
        <f t="shared" si="840"/>
        <v>27103488.100000001</v>
      </c>
      <c r="AC735" s="326">
        <f t="shared" si="881"/>
        <v>1</v>
      </c>
    </row>
    <row r="736" spans="1:29" ht="38.25" x14ac:dyDescent="0.2">
      <c r="B736" s="323" t="s">
        <v>1646</v>
      </c>
      <c r="C736" s="206" t="s">
        <v>1645</v>
      </c>
      <c r="D736" s="281"/>
      <c r="E736" s="325">
        <f>SUM('ADICIONES  2021'!C736:N736)</f>
        <v>27103488.100000001</v>
      </c>
      <c r="F736" s="281"/>
      <c r="G736" s="281"/>
      <c r="H736" s="281"/>
      <c r="I736" s="281"/>
      <c r="J736" s="281"/>
      <c r="K736" s="281">
        <f t="shared" si="835"/>
        <v>27103488.100000001</v>
      </c>
      <c r="L736" s="281"/>
      <c r="M736" s="281"/>
      <c r="N736" s="281"/>
      <c r="O736" s="281"/>
      <c r="P736" s="281"/>
      <c r="Q736" s="281"/>
      <c r="R736" s="281">
        <f t="shared" si="875"/>
        <v>0</v>
      </c>
      <c r="S736" s="281">
        <v>27103488.100000001</v>
      </c>
      <c r="T736" s="281"/>
      <c r="U736" s="281"/>
      <c r="V736" s="281"/>
      <c r="W736" s="281"/>
      <c r="X736" s="281"/>
      <c r="Y736" s="281"/>
      <c r="Z736" s="281"/>
      <c r="AA736" s="281">
        <f t="shared" si="877"/>
        <v>27103488.100000001</v>
      </c>
      <c r="AB736" s="403">
        <f t="shared" si="840"/>
        <v>27103488.100000001</v>
      </c>
      <c r="AC736" s="326">
        <f t="shared" si="881"/>
        <v>1</v>
      </c>
    </row>
    <row r="737" spans="2:29" ht="14.25" x14ac:dyDescent="0.2">
      <c r="B737" s="318" t="s">
        <v>1647</v>
      </c>
      <c r="C737" s="319" t="s">
        <v>1648</v>
      </c>
      <c r="D737" s="276">
        <f>+D738</f>
        <v>0</v>
      </c>
      <c r="E737" s="322">
        <f>SUM('ADICIONES  2021'!C737:N737)</f>
        <v>259662713</v>
      </c>
      <c r="F737" s="276">
        <f>+F738</f>
        <v>0</v>
      </c>
      <c r="G737" s="276">
        <f>+G738</f>
        <v>0</v>
      </c>
      <c r="H737" s="276">
        <f>+H738</f>
        <v>0</v>
      </c>
      <c r="I737" s="276">
        <f>+I738</f>
        <v>0</v>
      </c>
      <c r="J737" s="276">
        <f>+J738</f>
        <v>0</v>
      </c>
      <c r="K737" s="281">
        <f t="shared" si="835"/>
        <v>259662713</v>
      </c>
      <c r="L737" s="276">
        <f t="shared" ref="L737:Q737" si="921">+L738</f>
        <v>0</v>
      </c>
      <c r="M737" s="276">
        <f t="shared" si="921"/>
        <v>0</v>
      </c>
      <c r="N737" s="276">
        <f t="shared" si="921"/>
        <v>0</v>
      </c>
      <c r="O737" s="276">
        <f t="shared" si="921"/>
        <v>0</v>
      </c>
      <c r="P737" s="276">
        <f t="shared" si="921"/>
        <v>0</v>
      </c>
      <c r="Q737" s="276">
        <f t="shared" si="921"/>
        <v>0</v>
      </c>
      <c r="R737" s="281">
        <f t="shared" si="875"/>
        <v>0</v>
      </c>
      <c r="S737" s="276">
        <f t="shared" ref="S737:Z737" si="922">+S738</f>
        <v>259662713</v>
      </c>
      <c r="T737" s="276">
        <f t="shared" si="922"/>
        <v>0</v>
      </c>
      <c r="U737" s="276">
        <f t="shared" si="922"/>
        <v>0</v>
      </c>
      <c r="V737" s="276">
        <f t="shared" si="922"/>
        <v>0</v>
      </c>
      <c r="W737" s="276">
        <f t="shared" si="922"/>
        <v>0</v>
      </c>
      <c r="X737" s="276">
        <f t="shared" si="922"/>
        <v>0</v>
      </c>
      <c r="Y737" s="276">
        <f t="shared" si="922"/>
        <v>0</v>
      </c>
      <c r="Z737" s="276">
        <f t="shared" si="922"/>
        <v>0</v>
      </c>
      <c r="AA737" s="281">
        <f t="shared" si="877"/>
        <v>259662713</v>
      </c>
      <c r="AB737" s="403">
        <f t="shared" si="840"/>
        <v>259662713</v>
      </c>
      <c r="AC737" s="326">
        <f t="shared" si="881"/>
        <v>1</v>
      </c>
    </row>
    <row r="738" spans="2:29" ht="14.25" x14ac:dyDescent="0.2">
      <c r="B738" s="323" t="s">
        <v>1649</v>
      </c>
      <c r="C738" s="206" t="s">
        <v>1476</v>
      </c>
      <c r="D738" s="281"/>
      <c r="E738" s="325">
        <f>SUM('ADICIONES  2021'!C738:N738)</f>
        <v>259662713</v>
      </c>
      <c r="F738" s="281"/>
      <c r="G738" s="281"/>
      <c r="H738" s="281"/>
      <c r="I738" s="281"/>
      <c r="J738" s="281"/>
      <c r="K738" s="281">
        <f t="shared" si="835"/>
        <v>259662713</v>
      </c>
      <c r="L738" s="281"/>
      <c r="M738" s="281"/>
      <c r="N738" s="281"/>
      <c r="O738" s="281"/>
      <c r="P738" s="281"/>
      <c r="Q738" s="281"/>
      <c r="R738" s="281">
        <f t="shared" si="875"/>
        <v>0</v>
      </c>
      <c r="S738" s="281">
        <v>259662713</v>
      </c>
      <c r="T738" s="281"/>
      <c r="U738" s="281"/>
      <c r="V738" s="281"/>
      <c r="W738" s="281"/>
      <c r="X738" s="281"/>
      <c r="Y738" s="281"/>
      <c r="Z738" s="281"/>
      <c r="AA738" s="281">
        <f t="shared" si="877"/>
        <v>259662713</v>
      </c>
      <c r="AB738" s="403">
        <f t="shared" si="840"/>
        <v>259662713</v>
      </c>
      <c r="AC738" s="326">
        <f t="shared" si="881"/>
        <v>1</v>
      </c>
    </row>
    <row r="739" spans="2:29" ht="25.5" x14ac:dyDescent="0.2">
      <c r="B739" s="318" t="s">
        <v>1650</v>
      </c>
      <c r="C739" s="319" t="s">
        <v>1651</v>
      </c>
      <c r="D739" s="276">
        <f>+D740</f>
        <v>0</v>
      </c>
      <c r="E739" s="322">
        <f>SUM('ADICIONES  2021'!C739:N739)</f>
        <v>98246400</v>
      </c>
      <c r="F739" s="276">
        <f>+F740</f>
        <v>0</v>
      </c>
      <c r="G739" s="276">
        <f>+G740</f>
        <v>0</v>
      </c>
      <c r="H739" s="276">
        <f>+H740</f>
        <v>0</v>
      </c>
      <c r="I739" s="276">
        <f>+I740</f>
        <v>0</v>
      </c>
      <c r="J739" s="276">
        <f>+J740</f>
        <v>0</v>
      </c>
      <c r="K739" s="281">
        <f t="shared" si="835"/>
        <v>98246400</v>
      </c>
      <c r="L739" s="276">
        <f t="shared" ref="L739:Q739" si="923">+L740</f>
        <v>0</v>
      </c>
      <c r="M739" s="276">
        <f t="shared" si="923"/>
        <v>0</v>
      </c>
      <c r="N739" s="276">
        <f t="shared" si="923"/>
        <v>0</v>
      </c>
      <c r="O739" s="276">
        <f t="shared" si="923"/>
        <v>0</v>
      </c>
      <c r="P739" s="276">
        <f t="shared" si="923"/>
        <v>0</v>
      </c>
      <c r="Q739" s="276">
        <f t="shared" si="923"/>
        <v>0</v>
      </c>
      <c r="R739" s="281">
        <f t="shared" si="875"/>
        <v>0</v>
      </c>
      <c r="S739" s="276">
        <f t="shared" ref="S739:Z739" si="924">+S740</f>
        <v>98246400</v>
      </c>
      <c r="T739" s="276">
        <f t="shared" si="924"/>
        <v>0</v>
      </c>
      <c r="U739" s="276">
        <f t="shared" si="924"/>
        <v>0</v>
      </c>
      <c r="V739" s="276">
        <f t="shared" si="924"/>
        <v>0</v>
      </c>
      <c r="W739" s="276">
        <f t="shared" si="924"/>
        <v>0</v>
      </c>
      <c r="X739" s="276">
        <f t="shared" si="924"/>
        <v>0</v>
      </c>
      <c r="Y739" s="276">
        <f t="shared" si="924"/>
        <v>0</v>
      </c>
      <c r="Z739" s="276">
        <f t="shared" si="924"/>
        <v>0</v>
      </c>
      <c r="AA739" s="281">
        <f t="shared" si="877"/>
        <v>98246400</v>
      </c>
      <c r="AB739" s="403">
        <f t="shared" si="840"/>
        <v>98246400</v>
      </c>
      <c r="AC739" s="326">
        <f t="shared" si="881"/>
        <v>1</v>
      </c>
    </row>
    <row r="740" spans="2:29" ht="25.5" x14ac:dyDescent="0.2">
      <c r="B740" s="323" t="s">
        <v>1652</v>
      </c>
      <c r="C740" s="206" t="s">
        <v>1653</v>
      </c>
      <c r="D740" s="281"/>
      <c r="E740" s="325">
        <f>SUM('ADICIONES  2021'!C740:N740)</f>
        <v>98246400</v>
      </c>
      <c r="F740" s="281"/>
      <c r="G740" s="281"/>
      <c r="H740" s="281"/>
      <c r="I740" s="281"/>
      <c r="J740" s="281"/>
      <c r="K740" s="281">
        <f t="shared" si="835"/>
        <v>98246400</v>
      </c>
      <c r="L740" s="281"/>
      <c r="M740" s="281"/>
      <c r="N740" s="281"/>
      <c r="O740" s="281"/>
      <c r="P740" s="281"/>
      <c r="Q740" s="281"/>
      <c r="R740" s="281">
        <f t="shared" si="875"/>
        <v>0</v>
      </c>
      <c r="S740" s="281">
        <v>98246400</v>
      </c>
      <c r="T740" s="281"/>
      <c r="U740" s="281"/>
      <c r="V740" s="281"/>
      <c r="W740" s="281"/>
      <c r="X740" s="281"/>
      <c r="Y740" s="281"/>
      <c r="Z740" s="281"/>
      <c r="AA740" s="281">
        <f t="shared" si="877"/>
        <v>98246400</v>
      </c>
      <c r="AB740" s="403">
        <f t="shared" si="840"/>
        <v>98246400</v>
      </c>
      <c r="AC740" s="326">
        <f t="shared" si="881"/>
        <v>1</v>
      </c>
    </row>
    <row r="741" spans="2:29" ht="25.5" x14ac:dyDescent="0.2">
      <c r="B741" s="318" t="s">
        <v>1654</v>
      </c>
      <c r="C741" s="319" t="s">
        <v>1655</v>
      </c>
      <c r="D741" s="276">
        <f>+D742</f>
        <v>0</v>
      </c>
      <c r="E741" s="322">
        <f>SUM('ADICIONES  2021'!C741:N741)</f>
        <v>506016671</v>
      </c>
      <c r="F741" s="276">
        <f>+F742</f>
        <v>0</v>
      </c>
      <c r="G741" s="276">
        <f>+G742</f>
        <v>0</v>
      </c>
      <c r="H741" s="276">
        <f>+H742</f>
        <v>0</v>
      </c>
      <c r="I741" s="276">
        <f>+I742</f>
        <v>0</v>
      </c>
      <c r="J741" s="276">
        <f>+J742</f>
        <v>0</v>
      </c>
      <c r="K741" s="281">
        <f t="shared" si="835"/>
        <v>506016671</v>
      </c>
      <c r="L741" s="276">
        <f t="shared" ref="L741:Q741" si="925">+L742</f>
        <v>0</v>
      </c>
      <c r="M741" s="276">
        <f t="shared" si="925"/>
        <v>0</v>
      </c>
      <c r="N741" s="276">
        <f t="shared" si="925"/>
        <v>0</v>
      </c>
      <c r="O741" s="276">
        <f t="shared" si="925"/>
        <v>0</v>
      </c>
      <c r="P741" s="276">
        <f t="shared" si="925"/>
        <v>0</v>
      </c>
      <c r="Q741" s="276">
        <f t="shared" si="925"/>
        <v>0</v>
      </c>
      <c r="R741" s="281">
        <f t="shared" si="875"/>
        <v>0</v>
      </c>
      <c r="S741" s="276">
        <f t="shared" ref="S741:Z741" si="926">+S742</f>
        <v>506016671</v>
      </c>
      <c r="T741" s="276">
        <f t="shared" si="926"/>
        <v>0</v>
      </c>
      <c r="U741" s="276">
        <f t="shared" si="926"/>
        <v>0</v>
      </c>
      <c r="V741" s="276">
        <f t="shared" si="926"/>
        <v>0</v>
      </c>
      <c r="W741" s="276">
        <f t="shared" si="926"/>
        <v>0</v>
      </c>
      <c r="X741" s="276">
        <f t="shared" si="926"/>
        <v>0</v>
      </c>
      <c r="Y741" s="276">
        <f t="shared" si="926"/>
        <v>0</v>
      </c>
      <c r="Z741" s="276">
        <f t="shared" si="926"/>
        <v>0</v>
      </c>
      <c r="AA741" s="281">
        <f t="shared" si="877"/>
        <v>506016671</v>
      </c>
      <c r="AB741" s="403">
        <f t="shared" si="840"/>
        <v>506016671</v>
      </c>
      <c r="AC741" s="326">
        <f t="shared" si="881"/>
        <v>1</v>
      </c>
    </row>
    <row r="742" spans="2:29" ht="14.25" x14ac:dyDescent="0.2">
      <c r="B742" s="323" t="s">
        <v>1656</v>
      </c>
      <c r="C742" s="206" t="s">
        <v>1657</v>
      </c>
      <c r="D742" s="281"/>
      <c r="E742" s="325">
        <f>SUM('ADICIONES  2021'!C742:N742)</f>
        <v>506016671</v>
      </c>
      <c r="F742" s="281"/>
      <c r="G742" s="281"/>
      <c r="H742" s="281"/>
      <c r="I742" s="281"/>
      <c r="J742" s="281"/>
      <c r="K742" s="281">
        <f t="shared" si="835"/>
        <v>506016671</v>
      </c>
      <c r="L742" s="281"/>
      <c r="M742" s="281"/>
      <c r="N742" s="281"/>
      <c r="O742" s="281"/>
      <c r="P742" s="281"/>
      <c r="Q742" s="281"/>
      <c r="R742" s="281">
        <f t="shared" si="875"/>
        <v>0</v>
      </c>
      <c r="S742" s="281">
        <v>506016671</v>
      </c>
      <c r="T742" s="281"/>
      <c r="U742" s="281"/>
      <c r="V742" s="281"/>
      <c r="W742" s="281"/>
      <c r="X742" s="281"/>
      <c r="Y742" s="281"/>
      <c r="Z742" s="281"/>
      <c r="AA742" s="281">
        <f t="shared" si="877"/>
        <v>506016671</v>
      </c>
      <c r="AB742" s="403">
        <f t="shared" si="840"/>
        <v>506016671</v>
      </c>
      <c r="AC742" s="326">
        <f t="shared" si="881"/>
        <v>1</v>
      </c>
    </row>
    <row r="743" spans="2:29" ht="25.5" x14ac:dyDescent="0.2">
      <c r="B743" s="318" t="s">
        <v>1658</v>
      </c>
      <c r="C743" s="319" t="s">
        <v>1659</v>
      </c>
      <c r="D743" s="276">
        <f>+D744</f>
        <v>0</v>
      </c>
      <c r="E743" s="322">
        <f>SUM('ADICIONES  2021'!C743:N743)</f>
        <v>1984436974.3900001</v>
      </c>
      <c r="F743" s="276">
        <f>+F744</f>
        <v>0</v>
      </c>
      <c r="G743" s="276">
        <f>+G744</f>
        <v>0</v>
      </c>
      <c r="H743" s="276">
        <f>+H744</f>
        <v>0</v>
      </c>
      <c r="I743" s="276">
        <f>+I744</f>
        <v>0</v>
      </c>
      <c r="J743" s="276">
        <f>+J744</f>
        <v>0</v>
      </c>
      <c r="K743" s="281">
        <f t="shared" si="835"/>
        <v>1984436974.3900001</v>
      </c>
      <c r="L743" s="276">
        <f t="shared" ref="L743:Q743" si="927">+L744</f>
        <v>0</v>
      </c>
      <c r="M743" s="276">
        <f t="shared" si="927"/>
        <v>0</v>
      </c>
      <c r="N743" s="276">
        <f t="shared" si="927"/>
        <v>0</v>
      </c>
      <c r="O743" s="276">
        <f t="shared" si="927"/>
        <v>0</v>
      </c>
      <c r="P743" s="276">
        <f t="shared" si="927"/>
        <v>0</v>
      </c>
      <c r="Q743" s="276">
        <f t="shared" si="927"/>
        <v>0</v>
      </c>
      <c r="R743" s="281">
        <f t="shared" si="875"/>
        <v>0</v>
      </c>
      <c r="S743" s="276">
        <f t="shared" ref="S743:Z743" si="928">+S744</f>
        <v>1984436974.3900001</v>
      </c>
      <c r="T743" s="276">
        <f t="shared" si="928"/>
        <v>0</v>
      </c>
      <c r="U743" s="276">
        <f t="shared" si="928"/>
        <v>0</v>
      </c>
      <c r="V743" s="276">
        <f t="shared" si="928"/>
        <v>0</v>
      </c>
      <c r="W743" s="276">
        <f t="shared" si="928"/>
        <v>0</v>
      </c>
      <c r="X743" s="276">
        <f t="shared" si="928"/>
        <v>0</v>
      </c>
      <c r="Y743" s="276">
        <f t="shared" si="928"/>
        <v>0</v>
      </c>
      <c r="Z743" s="276">
        <f t="shared" si="928"/>
        <v>0</v>
      </c>
      <c r="AA743" s="281">
        <f t="shared" si="877"/>
        <v>1984436974.3900001</v>
      </c>
      <c r="AB743" s="403">
        <f t="shared" si="840"/>
        <v>1984436974.3900001</v>
      </c>
      <c r="AC743" s="326">
        <f t="shared" si="881"/>
        <v>1</v>
      </c>
    </row>
    <row r="744" spans="2:29" ht="25.5" x14ac:dyDescent="0.2">
      <c r="B744" s="323" t="s">
        <v>1660</v>
      </c>
      <c r="C744" s="206" t="s">
        <v>1661</v>
      </c>
      <c r="D744" s="281"/>
      <c r="E744" s="325">
        <f>SUM('ADICIONES  2021'!C744:N744)</f>
        <v>1984436974.3900001</v>
      </c>
      <c r="F744" s="281"/>
      <c r="G744" s="281"/>
      <c r="H744" s="281"/>
      <c r="I744" s="281"/>
      <c r="J744" s="281"/>
      <c r="K744" s="281">
        <f t="shared" si="835"/>
        <v>1984436974.3900001</v>
      </c>
      <c r="L744" s="281"/>
      <c r="M744" s="281"/>
      <c r="N744" s="281"/>
      <c r="O744" s="281"/>
      <c r="P744" s="281"/>
      <c r="Q744" s="281"/>
      <c r="R744" s="281">
        <f t="shared" si="875"/>
        <v>0</v>
      </c>
      <c r="S744" s="281">
        <v>1984436974.3900001</v>
      </c>
      <c r="T744" s="281"/>
      <c r="U744" s="281"/>
      <c r="V744" s="281"/>
      <c r="W744" s="281"/>
      <c r="X744" s="281"/>
      <c r="Y744" s="281"/>
      <c r="Z744" s="281"/>
      <c r="AA744" s="281">
        <f t="shared" si="877"/>
        <v>1984436974.3900001</v>
      </c>
      <c r="AB744" s="403">
        <f t="shared" si="840"/>
        <v>1984436974.3900001</v>
      </c>
      <c r="AC744" s="326">
        <f t="shared" si="881"/>
        <v>1</v>
      </c>
    </row>
    <row r="745" spans="2:29" ht="14.25" x14ac:dyDescent="0.2">
      <c r="B745" s="318" t="s">
        <v>1662</v>
      </c>
      <c r="C745" s="319" t="s">
        <v>1663</v>
      </c>
      <c r="D745" s="276">
        <f>+D746+D749+D751</f>
        <v>0</v>
      </c>
      <c r="E745" s="322">
        <f>SUM('ADICIONES  2021'!C745:N745)</f>
        <v>9114153339.3700008</v>
      </c>
      <c r="F745" s="276">
        <f>+F746+F749+F751</f>
        <v>0</v>
      </c>
      <c r="G745" s="276">
        <f>+G746+G749+G751</f>
        <v>0</v>
      </c>
      <c r="H745" s="276">
        <f>+H746+H749+H751</f>
        <v>0</v>
      </c>
      <c r="I745" s="276">
        <f>+I746+I749+I751</f>
        <v>0</v>
      </c>
      <c r="J745" s="276">
        <f>+J746+J749+J751</f>
        <v>0</v>
      </c>
      <c r="K745" s="281">
        <f t="shared" si="835"/>
        <v>9114153339.3700008</v>
      </c>
      <c r="L745" s="276">
        <f t="shared" ref="L745:Q745" si="929">+L746+L749+L751</f>
        <v>0</v>
      </c>
      <c r="M745" s="276">
        <f t="shared" si="929"/>
        <v>0</v>
      </c>
      <c r="N745" s="276">
        <f t="shared" si="929"/>
        <v>0</v>
      </c>
      <c r="O745" s="276">
        <f t="shared" si="929"/>
        <v>0</v>
      </c>
      <c r="P745" s="276">
        <f t="shared" si="929"/>
        <v>0</v>
      </c>
      <c r="Q745" s="276">
        <f t="shared" si="929"/>
        <v>0</v>
      </c>
      <c r="R745" s="281">
        <f t="shared" si="875"/>
        <v>0</v>
      </c>
      <c r="S745" s="276">
        <f t="shared" ref="S745:Z745" si="930">+S746+S749+S751</f>
        <v>9114153339.3700008</v>
      </c>
      <c r="T745" s="276">
        <f t="shared" si="930"/>
        <v>0</v>
      </c>
      <c r="U745" s="276">
        <f t="shared" si="930"/>
        <v>0</v>
      </c>
      <c r="V745" s="276">
        <f t="shared" si="930"/>
        <v>0</v>
      </c>
      <c r="W745" s="276">
        <f t="shared" si="930"/>
        <v>0</v>
      </c>
      <c r="X745" s="276">
        <f t="shared" si="930"/>
        <v>0</v>
      </c>
      <c r="Y745" s="276">
        <f t="shared" si="930"/>
        <v>0</v>
      </c>
      <c r="Z745" s="276">
        <f t="shared" si="930"/>
        <v>0</v>
      </c>
      <c r="AA745" s="281">
        <f t="shared" si="877"/>
        <v>9114153339.3700008</v>
      </c>
      <c r="AB745" s="403">
        <f t="shared" si="840"/>
        <v>9114153339.3700008</v>
      </c>
      <c r="AC745" s="326">
        <f t="shared" si="881"/>
        <v>1</v>
      </c>
    </row>
    <row r="746" spans="2:29" ht="14.25" x14ac:dyDescent="0.2">
      <c r="B746" s="318" t="s">
        <v>1664</v>
      </c>
      <c r="C746" s="319" t="s">
        <v>1665</v>
      </c>
      <c r="D746" s="276">
        <f>SUM(D747:D748)</f>
        <v>0</v>
      </c>
      <c r="E746" s="322">
        <f>SUM('ADICIONES  2021'!C746:N746)</f>
        <v>3130592786.1300001</v>
      </c>
      <c r="F746" s="276">
        <f>SUM(F747:F748)</f>
        <v>0</v>
      </c>
      <c r="G746" s="276">
        <f>SUM(G747:G748)</f>
        <v>0</v>
      </c>
      <c r="H746" s="276">
        <f>SUM(H747:H748)</f>
        <v>0</v>
      </c>
      <c r="I746" s="276">
        <f>SUM(I747:I748)</f>
        <v>0</v>
      </c>
      <c r="J746" s="276">
        <f>SUM(J747:J748)</f>
        <v>0</v>
      </c>
      <c r="K746" s="281">
        <f t="shared" si="835"/>
        <v>3130592786.1300001</v>
      </c>
      <c r="L746" s="276">
        <f t="shared" ref="L746:Q746" si="931">SUM(L747:L748)</f>
        <v>0</v>
      </c>
      <c r="M746" s="276">
        <f t="shared" si="931"/>
        <v>0</v>
      </c>
      <c r="N746" s="276">
        <f t="shared" si="931"/>
        <v>0</v>
      </c>
      <c r="O746" s="276">
        <f t="shared" si="931"/>
        <v>0</v>
      </c>
      <c r="P746" s="276">
        <f t="shared" si="931"/>
        <v>0</v>
      </c>
      <c r="Q746" s="276">
        <f t="shared" si="931"/>
        <v>0</v>
      </c>
      <c r="R746" s="281">
        <f t="shared" si="875"/>
        <v>0</v>
      </c>
      <c r="S746" s="276">
        <f t="shared" ref="S746:Z746" si="932">SUM(S747:S748)</f>
        <v>3130592786.1300001</v>
      </c>
      <c r="T746" s="276">
        <f t="shared" si="932"/>
        <v>0</v>
      </c>
      <c r="U746" s="276">
        <f t="shared" si="932"/>
        <v>0</v>
      </c>
      <c r="V746" s="276">
        <f t="shared" si="932"/>
        <v>0</v>
      </c>
      <c r="W746" s="276">
        <f t="shared" si="932"/>
        <v>0</v>
      </c>
      <c r="X746" s="276">
        <f t="shared" si="932"/>
        <v>0</v>
      </c>
      <c r="Y746" s="276">
        <f t="shared" si="932"/>
        <v>0</v>
      </c>
      <c r="Z746" s="276">
        <f t="shared" si="932"/>
        <v>0</v>
      </c>
      <c r="AA746" s="281">
        <f t="shared" si="877"/>
        <v>3130592786.1300001</v>
      </c>
      <c r="AB746" s="403">
        <f t="shared" si="840"/>
        <v>3130592786.1300001</v>
      </c>
      <c r="AC746" s="326">
        <f t="shared" si="881"/>
        <v>1</v>
      </c>
    </row>
    <row r="747" spans="2:29" ht="14.25" x14ac:dyDescent="0.2">
      <c r="B747" s="323" t="s">
        <v>1666</v>
      </c>
      <c r="C747" s="206" t="s">
        <v>1667</v>
      </c>
      <c r="D747" s="281"/>
      <c r="E747" s="325">
        <f>SUM('ADICIONES  2021'!C747:N747)</f>
        <v>2075464682.5699999</v>
      </c>
      <c r="F747" s="281"/>
      <c r="G747" s="281"/>
      <c r="H747" s="281"/>
      <c r="I747" s="281"/>
      <c r="J747" s="281"/>
      <c r="K747" s="281">
        <f t="shared" si="835"/>
        <v>2075464682.5699999</v>
      </c>
      <c r="L747" s="281"/>
      <c r="M747" s="281"/>
      <c r="N747" s="281"/>
      <c r="O747" s="281"/>
      <c r="P747" s="281"/>
      <c r="Q747" s="281"/>
      <c r="R747" s="281">
        <f t="shared" si="875"/>
        <v>0</v>
      </c>
      <c r="S747" s="281">
        <v>2075464682.5699999</v>
      </c>
      <c r="T747" s="281"/>
      <c r="U747" s="281"/>
      <c r="V747" s="281"/>
      <c r="W747" s="281"/>
      <c r="X747" s="281"/>
      <c r="Y747" s="281"/>
      <c r="Z747" s="281"/>
      <c r="AA747" s="281">
        <f t="shared" si="877"/>
        <v>2075464682.5699999</v>
      </c>
      <c r="AB747" s="403">
        <f t="shared" si="840"/>
        <v>2075464682.5699999</v>
      </c>
      <c r="AC747" s="326">
        <f t="shared" si="881"/>
        <v>1</v>
      </c>
    </row>
    <row r="748" spans="2:29" ht="25.5" x14ac:dyDescent="0.2">
      <c r="B748" s="323" t="s">
        <v>1668</v>
      </c>
      <c r="C748" s="206" t="s">
        <v>1669</v>
      </c>
      <c r="D748" s="281"/>
      <c r="E748" s="325">
        <f>SUM('ADICIONES  2021'!C748:N748)</f>
        <v>1055128103.5599999</v>
      </c>
      <c r="F748" s="281"/>
      <c r="G748" s="281"/>
      <c r="H748" s="281"/>
      <c r="I748" s="281"/>
      <c r="J748" s="281"/>
      <c r="K748" s="281">
        <f t="shared" si="835"/>
        <v>1055128103.5599999</v>
      </c>
      <c r="L748" s="281"/>
      <c r="M748" s="281"/>
      <c r="N748" s="281"/>
      <c r="O748" s="281"/>
      <c r="P748" s="281"/>
      <c r="Q748" s="281"/>
      <c r="R748" s="281">
        <f t="shared" si="875"/>
        <v>0</v>
      </c>
      <c r="S748" s="281">
        <v>1055128103.5599999</v>
      </c>
      <c r="T748" s="281"/>
      <c r="U748" s="281"/>
      <c r="V748" s="281"/>
      <c r="W748" s="281"/>
      <c r="X748" s="281"/>
      <c r="Y748" s="281"/>
      <c r="Z748" s="281"/>
      <c r="AA748" s="281">
        <f t="shared" si="877"/>
        <v>1055128103.5599999</v>
      </c>
      <c r="AB748" s="403">
        <f t="shared" si="840"/>
        <v>1055128103.5599999</v>
      </c>
      <c r="AC748" s="326">
        <f t="shared" si="881"/>
        <v>1</v>
      </c>
    </row>
    <row r="749" spans="2:29" ht="14.25" x14ac:dyDescent="0.2">
      <c r="B749" s="318" t="s">
        <v>1670</v>
      </c>
      <c r="C749" s="319" t="s">
        <v>1671</v>
      </c>
      <c r="D749" s="276">
        <f>+D750</f>
        <v>0</v>
      </c>
      <c r="E749" s="322">
        <f>SUM('ADICIONES  2021'!C749:N749)</f>
        <v>5521777550.8400002</v>
      </c>
      <c r="F749" s="276">
        <f>+F750</f>
        <v>0</v>
      </c>
      <c r="G749" s="276">
        <f>+G750</f>
        <v>0</v>
      </c>
      <c r="H749" s="276">
        <f>+H750</f>
        <v>0</v>
      </c>
      <c r="I749" s="276">
        <f>+I750</f>
        <v>0</v>
      </c>
      <c r="J749" s="276">
        <f>+J750</f>
        <v>0</v>
      </c>
      <c r="K749" s="281">
        <f t="shared" si="835"/>
        <v>5521777550.8400002</v>
      </c>
      <c r="L749" s="276">
        <f t="shared" ref="L749:Q749" si="933">+L750</f>
        <v>0</v>
      </c>
      <c r="M749" s="276">
        <f t="shared" si="933"/>
        <v>0</v>
      </c>
      <c r="N749" s="276">
        <f t="shared" si="933"/>
        <v>0</v>
      </c>
      <c r="O749" s="276">
        <f t="shared" si="933"/>
        <v>0</v>
      </c>
      <c r="P749" s="276">
        <f t="shared" si="933"/>
        <v>0</v>
      </c>
      <c r="Q749" s="276">
        <f t="shared" si="933"/>
        <v>0</v>
      </c>
      <c r="R749" s="281">
        <f t="shared" si="875"/>
        <v>0</v>
      </c>
      <c r="S749" s="276">
        <f t="shared" ref="S749:Z749" si="934">+S750</f>
        <v>5521777550.8400002</v>
      </c>
      <c r="T749" s="276">
        <f t="shared" si="934"/>
        <v>0</v>
      </c>
      <c r="U749" s="276">
        <f t="shared" si="934"/>
        <v>0</v>
      </c>
      <c r="V749" s="276">
        <f t="shared" si="934"/>
        <v>0</v>
      </c>
      <c r="W749" s="276">
        <f t="shared" si="934"/>
        <v>0</v>
      </c>
      <c r="X749" s="276">
        <f t="shared" si="934"/>
        <v>0</v>
      </c>
      <c r="Y749" s="276">
        <f t="shared" si="934"/>
        <v>0</v>
      </c>
      <c r="Z749" s="276">
        <f t="shared" si="934"/>
        <v>0</v>
      </c>
      <c r="AA749" s="281">
        <f t="shared" si="877"/>
        <v>5521777550.8400002</v>
      </c>
      <c r="AB749" s="403">
        <f t="shared" si="840"/>
        <v>5521777550.8400002</v>
      </c>
      <c r="AC749" s="326">
        <f t="shared" si="881"/>
        <v>1</v>
      </c>
    </row>
    <row r="750" spans="2:29" ht="14.25" x14ac:dyDescent="0.2">
      <c r="B750" s="323" t="s">
        <v>1672</v>
      </c>
      <c r="C750" s="206" t="s">
        <v>1673</v>
      </c>
      <c r="D750" s="281"/>
      <c r="E750" s="325">
        <f>SUM('ADICIONES  2021'!C750:N750)</f>
        <v>5521777550.8400002</v>
      </c>
      <c r="F750" s="281"/>
      <c r="G750" s="281"/>
      <c r="H750" s="281"/>
      <c r="I750" s="281"/>
      <c r="J750" s="281"/>
      <c r="K750" s="281">
        <f t="shared" si="835"/>
        <v>5521777550.8400002</v>
      </c>
      <c r="L750" s="281"/>
      <c r="M750" s="281"/>
      <c r="N750" s="281"/>
      <c r="O750" s="281"/>
      <c r="P750" s="281"/>
      <c r="Q750" s="281"/>
      <c r="R750" s="281">
        <f t="shared" ref="R750:R813" si="935">SUM(L750:Q750)</f>
        <v>0</v>
      </c>
      <c r="S750" s="281">
        <v>5521777550.8400002</v>
      </c>
      <c r="T750" s="281"/>
      <c r="U750" s="281"/>
      <c r="V750" s="281"/>
      <c r="W750" s="281"/>
      <c r="X750" s="281"/>
      <c r="Y750" s="281"/>
      <c r="Z750" s="281"/>
      <c r="AA750" s="281">
        <f t="shared" si="877"/>
        <v>5521777550.8400002</v>
      </c>
      <c r="AB750" s="403">
        <f t="shared" si="840"/>
        <v>5521777550.8400002</v>
      </c>
      <c r="AC750" s="326">
        <f t="shared" si="881"/>
        <v>1</v>
      </c>
    </row>
    <row r="751" spans="2:29" ht="14.25" x14ac:dyDescent="0.2">
      <c r="B751" s="318" t="s">
        <v>1674</v>
      </c>
      <c r="C751" s="319" t="s">
        <v>1675</v>
      </c>
      <c r="D751" s="276">
        <f>+D752</f>
        <v>0</v>
      </c>
      <c r="E751" s="322">
        <f>SUM('ADICIONES  2021'!C751:N751)</f>
        <v>461783002.39999998</v>
      </c>
      <c r="F751" s="276">
        <f>+F752</f>
        <v>0</v>
      </c>
      <c r="G751" s="276">
        <f>+G752</f>
        <v>0</v>
      </c>
      <c r="H751" s="276">
        <f>+H752</f>
        <v>0</v>
      </c>
      <c r="I751" s="276">
        <f>+I752</f>
        <v>0</v>
      </c>
      <c r="J751" s="276">
        <f>+J752</f>
        <v>0</v>
      </c>
      <c r="K751" s="281">
        <f t="shared" si="835"/>
        <v>461783002.39999998</v>
      </c>
      <c r="L751" s="276">
        <f t="shared" ref="L751:Q751" si="936">+L752</f>
        <v>0</v>
      </c>
      <c r="M751" s="276">
        <f t="shared" si="936"/>
        <v>0</v>
      </c>
      <c r="N751" s="276">
        <f t="shared" si="936"/>
        <v>0</v>
      </c>
      <c r="O751" s="276">
        <f t="shared" si="936"/>
        <v>0</v>
      </c>
      <c r="P751" s="276">
        <f t="shared" si="936"/>
        <v>0</v>
      </c>
      <c r="Q751" s="276">
        <f t="shared" si="936"/>
        <v>0</v>
      </c>
      <c r="R751" s="281">
        <f t="shared" si="935"/>
        <v>0</v>
      </c>
      <c r="S751" s="276">
        <f t="shared" ref="S751:Z751" si="937">+S752</f>
        <v>461783002.39999998</v>
      </c>
      <c r="T751" s="276">
        <f t="shared" si="937"/>
        <v>0</v>
      </c>
      <c r="U751" s="276">
        <f t="shared" si="937"/>
        <v>0</v>
      </c>
      <c r="V751" s="276">
        <f t="shared" si="937"/>
        <v>0</v>
      </c>
      <c r="W751" s="276">
        <f t="shared" si="937"/>
        <v>0</v>
      </c>
      <c r="X751" s="276">
        <f t="shared" si="937"/>
        <v>0</v>
      </c>
      <c r="Y751" s="276">
        <f t="shared" si="937"/>
        <v>0</v>
      </c>
      <c r="Z751" s="276">
        <f t="shared" si="937"/>
        <v>0</v>
      </c>
      <c r="AA751" s="281">
        <f t="shared" si="877"/>
        <v>461783002.39999998</v>
      </c>
      <c r="AB751" s="403">
        <f t="shared" si="840"/>
        <v>461783002.39999998</v>
      </c>
      <c r="AC751" s="326">
        <f t="shared" si="881"/>
        <v>1</v>
      </c>
    </row>
    <row r="752" spans="2:29" ht="14.25" x14ac:dyDescent="0.2">
      <c r="B752" s="323" t="s">
        <v>1676</v>
      </c>
      <c r="C752" s="206" t="s">
        <v>1677</v>
      </c>
      <c r="D752" s="281"/>
      <c r="E752" s="325">
        <f>SUM('ADICIONES  2021'!C752:N752)</f>
        <v>461783002.39999998</v>
      </c>
      <c r="F752" s="281"/>
      <c r="G752" s="281"/>
      <c r="H752" s="281"/>
      <c r="I752" s="281"/>
      <c r="J752" s="281"/>
      <c r="K752" s="281">
        <f t="shared" si="835"/>
        <v>461783002.39999998</v>
      </c>
      <c r="L752" s="281"/>
      <c r="M752" s="281"/>
      <c r="N752" s="281"/>
      <c r="O752" s="281"/>
      <c r="P752" s="281"/>
      <c r="Q752" s="281"/>
      <c r="R752" s="281">
        <f t="shared" si="935"/>
        <v>0</v>
      </c>
      <c r="S752" s="281">
        <v>461783002.39999998</v>
      </c>
      <c r="T752" s="281"/>
      <c r="U752" s="281"/>
      <c r="V752" s="281"/>
      <c r="W752" s="281"/>
      <c r="X752" s="281"/>
      <c r="Y752" s="281"/>
      <c r="Z752" s="281"/>
      <c r="AA752" s="281">
        <f t="shared" si="877"/>
        <v>461783002.39999998</v>
      </c>
      <c r="AB752" s="403">
        <f t="shared" si="840"/>
        <v>461783002.39999998</v>
      </c>
      <c r="AC752" s="326">
        <f t="shared" si="881"/>
        <v>1</v>
      </c>
    </row>
    <row r="753" spans="2:29" ht="25.5" x14ac:dyDescent="0.2">
      <c r="B753" s="318" t="s">
        <v>1678</v>
      </c>
      <c r="C753" s="319" t="s">
        <v>1679</v>
      </c>
      <c r="D753" s="276">
        <f>SUM(D754:D757)</f>
        <v>0</v>
      </c>
      <c r="E753" s="322">
        <f>SUM('ADICIONES  2021'!C753:N753)</f>
        <v>1470257557.6600001</v>
      </c>
      <c r="F753" s="276">
        <f>SUM(F754:F757)</f>
        <v>0</v>
      </c>
      <c r="G753" s="276">
        <f>SUM(G754:G757)</f>
        <v>0</v>
      </c>
      <c r="H753" s="276">
        <f>SUM(H754:H757)</f>
        <v>0</v>
      </c>
      <c r="I753" s="276">
        <f>SUM(I754:I757)</f>
        <v>0</v>
      </c>
      <c r="J753" s="276">
        <f>SUM(J754:J757)</f>
        <v>0</v>
      </c>
      <c r="K753" s="281">
        <f t="shared" si="835"/>
        <v>1470257557.6600001</v>
      </c>
      <c r="L753" s="276">
        <f t="shared" ref="L753:Q753" si="938">SUM(L754:L757)</f>
        <v>0</v>
      </c>
      <c r="M753" s="276">
        <f t="shared" si="938"/>
        <v>0</v>
      </c>
      <c r="N753" s="276">
        <f t="shared" si="938"/>
        <v>0</v>
      </c>
      <c r="O753" s="276">
        <f t="shared" si="938"/>
        <v>0</v>
      </c>
      <c r="P753" s="276">
        <f t="shared" si="938"/>
        <v>0</v>
      </c>
      <c r="Q753" s="276">
        <f t="shared" si="938"/>
        <v>0</v>
      </c>
      <c r="R753" s="281">
        <f t="shared" si="935"/>
        <v>0</v>
      </c>
      <c r="S753" s="276">
        <f t="shared" ref="S753:Z753" si="939">SUM(S754:S757)</f>
        <v>1470257557.6600001</v>
      </c>
      <c r="T753" s="276">
        <f t="shared" si="939"/>
        <v>0</v>
      </c>
      <c r="U753" s="276">
        <f t="shared" si="939"/>
        <v>0</v>
      </c>
      <c r="V753" s="276">
        <f t="shared" si="939"/>
        <v>0</v>
      </c>
      <c r="W753" s="276">
        <f t="shared" si="939"/>
        <v>0</v>
      </c>
      <c r="X753" s="276">
        <f t="shared" si="939"/>
        <v>0</v>
      </c>
      <c r="Y753" s="276">
        <f t="shared" si="939"/>
        <v>0</v>
      </c>
      <c r="Z753" s="276">
        <f t="shared" si="939"/>
        <v>0</v>
      </c>
      <c r="AA753" s="281">
        <f t="shared" si="877"/>
        <v>1470257557.6600001</v>
      </c>
      <c r="AB753" s="403">
        <f t="shared" si="840"/>
        <v>1470257557.6600001</v>
      </c>
      <c r="AC753" s="326">
        <f t="shared" si="881"/>
        <v>1</v>
      </c>
    </row>
    <row r="754" spans="2:29" ht="25.5" x14ac:dyDescent="0.2">
      <c r="B754" s="323" t="s">
        <v>1680</v>
      </c>
      <c r="C754" s="206" t="s">
        <v>1681</v>
      </c>
      <c r="D754" s="281"/>
      <c r="E754" s="325">
        <f>SUM('ADICIONES  2021'!C754:N754)</f>
        <v>387647145.37</v>
      </c>
      <c r="F754" s="281"/>
      <c r="G754" s="281"/>
      <c r="H754" s="281"/>
      <c r="I754" s="281"/>
      <c r="J754" s="281"/>
      <c r="K754" s="281">
        <f t="shared" si="835"/>
        <v>387647145.37</v>
      </c>
      <c r="L754" s="281"/>
      <c r="M754" s="281"/>
      <c r="N754" s="281"/>
      <c r="O754" s="281"/>
      <c r="P754" s="281"/>
      <c r="Q754" s="281"/>
      <c r="R754" s="281">
        <f t="shared" si="935"/>
        <v>0</v>
      </c>
      <c r="S754" s="281">
        <v>387647145.37</v>
      </c>
      <c r="T754" s="281"/>
      <c r="U754" s="281"/>
      <c r="V754" s="281"/>
      <c r="W754" s="281"/>
      <c r="X754" s="281"/>
      <c r="Y754" s="281"/>
      <c r="Z754" s="281"/>
      <c r="AA754" s="281">
        <f t="shared" si="877"/>
        <v>387647145.37</v>
      </c>
      <c r="AB754" s="403">
        <f t="shared" si="840"/>
        <v>387647145.37</v>
      </c>
      <c r="AC754" s="326">
        <f t="shared" si="881"/>
        <v>1</v>
      </c>
    </row>
    <row r="755" spans="2:29" ht="25.5" x14ac:dyDescent="0.2">
      <c r="B755" s="323" t="s">
        <v>1682</v>
      </c>
      <c r="C755" s="206" t="s">
        <v>1683</v>
      </c>
      <c r="D755" s="281"/>
      <c r="E755" s="325">
        <f>SUM('ADICIONES  2021'!C755:N755)</f>
        <v>2113377.75</v>
      </c>
      <c r="F755" s="281"/>
      <c r="G755" s="281"/>
      <c r="H755" s="281"/>
      <c r="I755" s="281"/>
      <c r="J755" s="281"/>
      <c r="K755" s="281">
        <f t="shared" si="835"/>
        <v>2113377.75</v>
      </c>
      <c r="L755" s="281"/>
      <c r="M755" s="281"/>
      <c r="N755" s="281"/>
      <c r="O755" s="281"/>
      <c r="P755" s="281"/>
      <c r="Q755" s="281"/>
      <c r="R755" s="281">
        <f t="shared" si="935"/>
        <v>0</v>
      </c>
      <c r="S755" s="281">
        <v>2113377.75</v>
      </c>
      <c r="T755" s="281"/>
      <c r="U755" s="281"/>
      <c r="V755" s="281"/>
      <c r="W755" s="281"/>
      <c r="X755" s="281"/>
      <c r="Y755" s="281"/>
      <c r="Z755" s="281"/>
      <c r="AA755" s="281">
        <f t="shared" si="877"/>
        <v>2113377.75</v>
      </c>
      <c r="AB755" s="403">
        <f t="shared" si="840"/>
        <v>2113377.75</v>
      </c>
      <c r="AC755" s="326">
        <f t="shared" si="881"/>
        <v>1</v>
      </c>
    </row>
    <row r="756" spans="2:29" ht="25.5" x14ac:dyDescent="0.2">
      <c r="B756" s="323" t="s">
        <v>1684</v>
      </c>
      <c r="C756" s="206" t="s">
        <v>1685</v>
      </c>
      <c r="D756" s="281"/>
      <c r="E756" s="325">
        <f>SUM('ADICIONES  2021'!C756:N756)</f>
        <v>751847814.38</v>
      </c>
      <c r="F756" s="281"/>
      <c r="G756" s="281"/>
      <c r="H756" s="281"/>
      <c r="I756" s="281"/>
      <c r="J756" s="281"/>
      <c r="K756" s="281">
        <f t="shared" si="835"/>
        <v>751847814.38</v>
      </c>
      <c r="L756" s="281"/>
      <c r="M756" s="281"/>
      <c r="N756" s="281"/>
      <c r="O756" s="281"/>
      <c r="P756" s="281"/>
      <c r="Q756" s="281"/>
      <c r="R756" s="281">
        <f t="shared" si="935"/>
        <v>0</v>
      </c>
      <c r="S756" s="281">
        <v>751847814.38</v>
      </c>
      <c r="T756" s="281"/>
      <c r="U756" s="281"/>
      <c r="V756" s="281"/>
      <c r="W756" s="281"/>
      <c r="X756" s="281"/>
      <c r="Y756" s="281"/>
      <c r="Z756" s="281"/>
      <c r="AA756" s="281">
        <f t="shared" si="877"/>
        <v>751847814.38</v>
      </c>
      <c r="AB756" s="403">
        <f t="shared" si="840"/>
        <v>751847814.38</v>
      </c>
      <c r="AC756" s="326">
        <f t="shared" si="881"/>
        <v>1</v>
      </c>
    </row>
    <row r="757" spans="2:29" ht="25.5" x14ac:dyDescent="0.2">
      <c r="B757" s="323" t="s">
        <v>1686</v>
      </c>
      <c r="C757" s="206" t="s">
        <v>1687</v>
      </c>
      <c r="D757" s="281"/>
      <c r="E757" s="325">
        <f>SUM('ADICIONES  2021'!C757:N757)</f>
        <v>328649220.16000003</v>
      </c>
      <c r="F757" s="281"/>
      <c r="G757" s="281"/>
      <c r="H757" s="281"/>
      <c r="I757" s="281"/>
      <c r="J757" s="281"/>
      <c r="K757" s="281">
        <f t="shared" si="835"/>
        <v>328649220.16000003</v>
      </c>
      <c r="L757" s="281"/>
      <c r="M757" s="281"/>
      <c r="N757" s="281"/>
      <c r="O757" s="281"/>
      <c r="P757" s="281"/>
      <c r="Q757" s="281"/>
      <c r="R757" s="281">
        <f t="shared" si="935"/>
        <v>0</v>
      </c>
      <c r="S757" s="281">
        <v>328649220.16000003</v>
      </c>
      <c r="T757" s="281"/>
      <c r="U757" s="281"/>
      <c r="V757" s="281"/>
      <c r="W757" s="281"/>
      <c r="X757" s="281"/>
      <c r="Y757" s="281"/>
      <c r="Z757" s="281"/>
      <c r="AA757" s="281">
        <f t="shared" si="877"/>
        <v>328649220.16000003</v>
      </c>
      <c r="AB757" s="403">
        <f t="shared" si="840"/>
        <v>328649220.16000003</v>
      </c>
      <c r="AC757" s="326">
        <f t="shared" si="881"/>
        <v>1</v>
      </c>
    </row>
    <row r="758" spans="2:29" ht="14.25" x14ac:dyDescent="0.2">
      <c r="B758" s="318" t="s">
        <v>1688</v>
      </c>
      <c r="C758" s="319" t="s">
        <v>1689</v>
      </c>
      <c r="D758" s="276">
        <f>+D759+D761+D763+D765+D767</f>
        <v>0</v>
      </c>
      <c r="E758" s="322">
        <f>SUM('ADICIONES  2021'!C758:N758)</f>
        <v>407056991.80000001</v>
      </c>
      <c r="F758" s="276">
        <f>+F759+F761+F763+F765+F767</f>
        <v>0</v>
      </c>
      <c r="G758" s="276">
        <f>+G759+G761+G763+G765+G767</f>
        <v>0</v>
      </c>
      <c r="H758" s="276">
        <f>+H759+H761+H763+H765+H767</f>
        <v>0</v>
      </c>
      <c r="I758" s="276">
        <f>+I759+I761+I763+I765+I767</f>
        <v>0</v>
      </c>
      <c r="J758" s="276">
        <f>+J759+J761+J763+J765+J767</f>
        <v>0</v>
      </c>
      <c r="K758" s="281">
        <f t="shared" si="835"/>
        <v>407056991.80000001</v>
      </c>
      <c r="L758" s="276">
        <f t="shared" ref="L758:Q758" si="940">+L759+L761+L763+L765+L767</f>
        <v>0</v>
      </c>
      <c r="M758" s="276">
        <f t="shared" si="940"/>
        <v>0</v>
      </c>
      <c r="N758" s="276">
        <f t="shared" si="940"/>
        <v>0</v>
      </c>
      <c r="O758" s="276">
        <f t="shared" si="940"/>
        <v>0</v>
      </c>
      <c r="P758" s="276">
        <f t="shared" si="940"/>
        <v>0</v>
      </c>
      <c r="Q758" s="276">
        <f t="shared" si="940"/>
        <v>0</v>
      </c>
      <c r="R758" s="281">
        <f t="shared" si="935"/>
        <v>0</v>
      </c>
      <c r="S758" s="276">
        <f t="shared" ref="S758:Z758" si="941">+S759+S761+S763+S765+S767</f>
        <v>407056991.80000001</v>
      </c>
      <c r="T758" s="276">
        <f t="shared" si="941"/>
        <v>0</v>
      </c>
      <c r="U758" s="276">
        <f t="shared" si="941"/>
        <v>0</v>
      </c>
      <c r="V758" s="276">
        <f t="shared" si="941"/>
        <v>0</v>
      </c>
      <c r="W758" s="276">
        <f t="shared" si="941"/>
        <v>0</v>
      </c>
      <c r="X758" s="276">
        <f t="shared" si="941"/>
        <v>0</v>
      </c>
      <c r="Y758" s="276">
        <f t="shared" si="941"/>
        <v>0</v>
      </c>
      <c r="Z758" s="276">
        <f t="shared" si="941"/>
        <v>0</v>
      </c>
      <c r="AA758" s="281">
        <f t="shared" si="877"/>
        <v>407056991.80000001</v>
      </c>
      <c r="AB758" s="403">
        <f t="shared" si="840"/>
        <v>407056991.80000001</v>
      </c>
      <c r="AC758" s="326">
        <f t="shared" si="881"/>
        <v>1</v>
      </c>
    </row>
    <row r="759" spans="2:29" ht="25.5" x14ac:dyDescent="0.2">
      <c r="B759" s="318" t="s">
        <v>1690</v>
      </c>
      <c r="C759" s="319" t="s">
        <v>110</v>
      </c>
      <c r="D759" s="276">
        <f>+D760</f>
        <v>0</v>
      </c>
      <c r="E759" s="322">
        <f>SUM('ADICIONES  2021'!C759:N759)</f>
        <v>145325420.40000001</v>
      </c>
      <c r="F759" s="276">
        <f>+F760</f>
        <v>0</v>
      </c>
      <c r="G759" s="276">
        <f>+G760</f>
        <v>0</v>
      </c>
      <c r="H759" s="276">
        <f>+H760</f>
        <v>0</v>
      </c>
      <c r="I759" s="276">
        <f>+I760</f>
        <v>0</v>
      </c>
      <c r="J759" s="276">
        <f>+J760</f>
        <v>0</v>
      </c>
      <c r="K759" s="281">
        <f t="shared" si="835"/>
        <v>145325420.40000001</v>
      </c>
      <c r="L759" s="276">
        <f t="shared" ref="L759:Q759" si="942">+L760</f>
        <v>0</v>
      </c>
      <c r="M759" s="276">
        <f t="shared" si="942"/>
        <v>0</v>
      </c>
      <c r="N759" s="276">
        <f t="shared" si="942"/>
        <v>0</v>
      </c>
      <c r="O759" s="276">
        <f t="shared" si="942"/>
        <v>0</v>
      </c>
      <c r="P759" s="276">
        <f t="shared" si="942"/>
        <v>0</v>
      </c>
      <c r="Q759" s="276">
        <f t="shared" si="942"/>
        <v>0</v>
      </c>
      <c r="R759" s="281">
        <f t="shared" si="935"/>
        <v>0</v>
      </c>
      <c r="S759" s="276">
        <f t="shared" ref="S759:Z759" si="943">+S760</f>
        <v>145325420.40000001</v>
      </c>
      <c r="T759" s="276">
        <f t="shared" si="943"/>
        <v>0</v>
      </c>
      <c r="U759" s="276">
        <f t="shared" si="943"/>
        <v>0</v>
      </c>
      <c r="V759" s="276">
        <f t="shared" si="943"/>
        <v>0</v>
      </c>
      <c r="W759" s="276">
        <f t="shared" si="943"/>
        <v>0</v>
      </c>
      <c r="X759" s="276">
        <f t="shared" si="943"/>
        <v>0</v>
      </c>
      <c r="Y759" s="276">
        <f t="shared" si="943"/>
        <v>0</v>
      </c>
      <c r="Z759" s="276">
        <f t="shared" si="943"/>
        <v>0</v>
      </c>
      <c r="AA759" s="281">
        <f t="shared" si="877"/>
        <v>145325420.40000001</v>
      </c>
      <c r="AB759" s="403">
        <f t="shared" si="840"/>
        <v>145325420.40000001</v>
      </c>
      <c r="AC759" s="326">
        <f t="shared" si="881"/>
        <v>1</v>
      </c>
    </row>
    <row r="760" spans="2:29" ht="25.5" x14ac:dyDescent="0.2">
      <c r="B760" s="323" t="s">
        <v>1691</v>
      </c>
      <c r="C760" s="206" t="s">
        <v>1692</v>
      </c>
      <c r="D760" s="281"/>
      <c r="E760" s="325">
        <f>SUM('ADICIONES  2021'!C760:N760)</f>
        <v>145325420.40000001</v>
      </c>
      <c r="F760" s="281"/>
      <c r="G760" s="281"/>
      <c r="H760" s="281"/>
      <c r="I760" s="281"/>
      <c r="J760" s="281"/>
      <c r="K760" s="281">
        <f t="shared" si="835"/>
        <v>145325420.40000001</v>
      </c>
      <c r="L760" s="281"/>
      <c r="M760" s="281"/>
      <c r="N760" s="281"/>
      <c r="O760" s="281"/>
      <c r="P760" s="281"/>
      <c r="Q760" s="281"/>
      <c r="R760" s="281">
        <f t="shared" si="935"/>
        <v>0</v>
      </c>
      <c r="S760" s="281">
        <v>145325420.40000001</v>
      </c>
      <c r="T760" s="281"/>
      <c r="U760" s="281"/>
      <c r="V760" s="281"/>
      <c r="W760" s="281"/>
      <c r="X760" s="281"/>
      <c r="Y760" s="281"/>
      <c r="Z760" s="281"/>
      <c r="AA760" s="281">
        <f t="shared" si="877"/>
        <v>145325420.40000001</v>
      </c>
      <c r="AB760" s="403">
        <f t="shared" si="840"/>
        <v>145325420.40000001</v>
      </c>
      <c r="AC760" s="326">
        <f t="shared" si="881"/>
        <v>1</v>
      </c>
    </row>
    <row r="761" spans="2:29" ht="25.5" x14ac:dyDescent="0.2">
      <c r="B761" s="318" t="s">
        <v>1693</v>
      </c>
      <c r="C761" s="319" t="s">
        <v>1694</v>
      </c>
      <c r="D761" s="276">
        <f>+D762</f>
        <v>0</v>
      </c>
      <c r="E761" s="322">
        <f>SUM('ADICIONES  2021'!C761:N761)</f>
        <v>95830968</v>
      </c>
      <c r="F761" s="276">
        <f>+F762</f>
        <v>0</v>
      </c>
      <c r="G761" s="276">
        <f>+G762</f>
        <v>0</v>
      </c>
      <c r="H761" s="276">
        <f>+H762</f>
        <v>0</v>
      </c>
      <c r="I761" s="276">
        <f>+I762</f>
        <v>0</v>
      </c>
      <c r="J761" s="276">
        <f>+J762</f>
        <v>0</v>
      </c>
      <c r="K761" s="281">
        <f t="shared" si="835"/>
        <v>95830968</v>
      </c>
      <c r="L761" s="276">
        <f t="shared" ref="L761:Q761" si="944">+L762</f>
        <v>0</v>
      </c>
      <c r="M761" s="276">
        <f t="shared" si="944"/>
        <v>0</v>
      </c>
      <c r="N761" s="276">
        <f t="shared" si="944"/>
        <v>0</v>
      </c>
      <c r="O761" s="276">
        <f t="shared" si="944"/>
        <v>0</v>
      </c>
      <c r="P761" s="276">
        <f t="shared" si="944"/>
        <v>0</v>
      </c>
      <c r="Q761" s="276">
        <f t="shared" si="944"/>
        <v>0</v>
      </c>
      <c r="R761" s="281">
        <f t="shared" si="935"/>
        <v>0</v>
      </c>
      <c r="S761" s="276">
        <f t="shared" ref="S761:Z761" si="945">+S762</f>
        <v>95830968</v>
      </c>
      <c r="T761" s="276">
        <f t="shared" si="945"/>
        <v>0</v>
      </c>
      <c r="U761" s="276">
        <f t="shared" si="945"/>
        <v>0</v>
      </c>
      <c r="V761" s="276">
        <f t="shared" si="945"/>
        <v>0</v>
      </c>
      <c r="W761" s="276">
        <f t="shared" si="945"/>
        <v>0</v>
      </c>
      <c r="X761" s="276">
        <f t="shared" si="945"/>
        <v>0</v>
      </c>
      <c r="Y761" s="276">
        <f t="shared" si="945"/>
        <v>0</v>
      </c>
      <c r="Z761" s="276">
        <f t="shared" si="945"/>
        <v>0</v>
      </c>
      <c r="AA761" s="281">
        <f t="shared" si="877"/>
        <v>95830968</v>
      </c>
      <c r="AB761" s="403">
        <f t="shared" si="840"/>
        <v>95830968</v>
      </c>
      <c r="AC761" s="326">
        <f t="shared" si="881"/>
        <v>1</v>
      </c>
    </row>
    <row r="762" spans="2:29" ht="25.5" x14ac:dyDescent="0.2">
      <c r="B762" s="323" t="s">
        <v>1695</v>
      </c>
      <c r="C762" s="206" t="s">
        <v>1694</v>
      </c>
      <c r="D762" s="281"/>
      <c r="E762" s="325">
        <f>SUM('ADICIONES  2021'!C762:N762)</f>
        <v>95830968</v>
      </c>
      <c r="F762" s="281"/>
      <c r="G762" s="281"/>
      <c r="H762" s="281"/>
      <c r="I762" s="281"/>
      <c r="J762" s="281"/>
      <c r="K762" s="281">
        <f t="shared" si="835"/>
        <v>95830968</v>
      </c>
      <c r="L762" s="281"/>
      <c r="M762" s="281"/>
      <c r="N762" s="281"/>
      <c r="O762" s="281"/>
      <c r="P762" s="281"/>
      <c r="Q762" s="281"/>
      <c r="R762" s="281">
        <f t="shared" si="935"/>
        <v>0</v>
      </c>
      <c r="S762" s="281">
        <v>95830968</v>
      </c>
      <c r="T762" s="281"/>
      <c r="U762" s="281"/>
      <c r="V762" s="281"/>
      <c r="W762" s="281"/>
      <c r="X762" s="281"/>
      <c r="Y762" s="281"/>
      <c r="Z762" s="281"/>
      <c r="AA762" s="281">
        <f t="shared" si="877"/>
        <v>95830968</v>
      </c>
      <c r="AB762" s="403">
        <f t="shared" si="840"/>
        <v>95830968</v>
      </c>
      <c r="AC762" s="326">
        <f t="shared" si="881"/>
        <v>1</v>
      </c>
    </row>
    <row r="763" spans="2:29" ht="25.5" x14ac:dyDescent="0.2">
      <c r="B763" s="318" t="s">
        <v>1696</v>
      </c>
      <c r="C763" s="319" t="s">
        <v>1697</v>
      </c>
      <c r="D763" s="276">
        <f>+D764</f>
        <v>0</v>
      </c>
      <c r="E763" s="322">
        <f>SUM('ADICIONES  2021'!C763:N763)</f>
        <v>14844803.4</v>
      </c>
      <c r="F763" s="276">
        <f>+F764</f>
        <v>0</v>
      </c>
      <c r="G763" s="276">
        <f>+G764</f>
        <v>0</v>
      </c>
      <c r="H763" s="276">
        <f>+H764</f>
        <v>0</v>
      </c>
      <c r="I763" s="276">
        <f>+I764</f>
        <v>0</v>
      </c>
      <c r="J763" s="276">
        <f>+J764</f>
        <v>0</v>
      </c>
      <c r="K763" s="281">
        <f t="shared" si="835"/>
        <v>14844803.4</v>
      </c>
      <c r="L763" s="276">
        <f t="shared" ref="L763:Q763" si="946">+L764</f>
        <v>0</v>
      </c>
      <c r="M763" s="276">
        <f t="shared" si="946"/>
        <v>0</v>
      </c>
      <c r="N763" s="276">
        <f t="shared" si="946"/>
        <v>0</v>
      </c>
      <c r="O763" s="276">
        <f t="shared" si="946"/>
        <v>0</v>
      </c>
      <c r="P763" s="276">
        <f t="shared" si="946"/>
        <v>0</v>
      </c>
      <c r="Q763" s="276">
        <f t="shared" si="946"/>
        <v>0</v>
      </c>
      <c r="R763" s="281">
        <f t="shared" si="935"/>
        <v>0</v>
      </c>
      <c r="S763" s="276">
        <f t="shared" ref="S763:Z763" si="947">+S764</f>
        <v>14844803.4</v>
      </c>
      <c r="T763" s="276">
        <f t="shared" si="947"/>
        <v>0</v>
      </c>
      <c r="U763" s="276">
        <f t="shared" si="947"/>
        <v>0</v>
      </c>
      <c r="V763" s="276">
        <f t="shared" si="947"/>
        <v>0</v>
      </c>
      <c r="W763" s="276">
        <f t="shared" si="947"/>
        <v>0</v>
      </c>
      <c r="X763" s="276">
        <f t="shared" si="947"/>
        <v>0</v>
      </c>
      <c r="Y763" s="276">
        <f t="shared" si="947"/>
        <v>0</v>
      </c>
      <c r="Z763" s="276">
        <f t="shared" si="947"/>
        <v>0</v>
      </c>
      <c r="AA763" s="281">
        <f t="shared" si="877"/>
        <v>14844803.4</v>
      </c>
      <c r="AB763" s="403">
        <f t="shared" si="840"/>
        <v>14844803.4</v>
      </c>
      <c r="AC763" s="326">
        <f t="shared" si="881"/>
        <v>1</v>
      </c>
    </row>
    <row r="764" spans="2:29" ht="14.25" x14ac:dyDescent="0.2">
      <c r="B764" s="323" t="s">
        <v>1698</v>
      </c>
      <c r="C764" s="206" t="s">
        <v>1699</v>
      </c>
      <c r="D764" s="281"/>
      <c r="E764" s="325">
        <f>SUM('ADICIONES  2021'!C764:N764)</f>
        <v>14844803.4</v>
      </c>
      <c r="F764" s="281"/>
      <c r="G764" s="281"/>
      <c r="H764" s="281"/>
      <c r="I764" s="281"/>
      <c r="J764" s="281"/>
      <c r="K764" s="281">
        <f t="shared" si="835"/>
        <v>14844803.4</v>
      </c>
      <c r="L764" s="281"/>
      <c r="M764" s="281"/>
      <c r="N764" s="281"/>
      <c r="O764" s="281"/>
      <c r="P764" s="281"/>
      <c r="Q764" s="281"/>
      <c r="R764" s="281">
        <f t="shared" si="935"/>
        <v>0</v>
      </c>
      <c r="S764" s="281">
        <v>14844803.4</v>
      </c>
      <c r="T764" s="281"/>
      <c r="U764" s="281"/>
      <c r="V764" s="281"/>
      <c r="W764" s="281"/>
      <c r="X764" s="281"/>
      <c r="Y764" s="281"/>
      <c r="Z764" s="281"/>
      <c r="AA764" s="281">
        <f t="shared" si="877"/>
        <v>14844803.4</v>
      </c>
      <c r="AB764" s="403">
        <f t="shared" si="840"/>
        <v>14844803.4</v>
      </c>
      <c r="AC764" s="326">
        <f t="shared" si="881"/>
        <v>1</v>
      </c>
    </row>
    <row r="765" spans="2:29" ht="25.5" x14ac:dyDescent="0.2">
      <c r="B765" s="318" t="s">
        <v>1700</v>
      </c>
      <c r="C765" s="319" t="s">
        <v>1701</v>
      </c>
      <c r="D765" s="276">
        <f>+D766</f>
        <v>0</v>
      </c>
      <c r="E765" s="322">
        <f>SUM('ADICIONES  2021'!C765:N765)</f>
        <v>112000000</v>
      </c>
      <c r="F765" s="276">
        <f>+F766</f>
        <v>0</v>
      </c>
      <c r="G765" s="276">
        <f>+G766</f>
        <v>0</v>
      </c>
      <c r="H765" s="276">
        <f>+H766</f>
        <v>0</v>
      </c>
      <c r="I765" s="276">
        <f>+I766</f>
        <v>0</v>
      </c>
      <c r="J765" s="276">
        <f>+J766</f>
        <v>0</v>
      </c>
      <c r="K765" s="281">
        <f t="shared" si="835"/>
        <v>112000000</v>
      </c>
      <c r="L765" s="276">
        <f t="shared" ref="L765:Q765" si="948">+L766</f>
        <v>0</v>
      </c>
      <c r="M765" s="276">
        <f t="shared" si="948"/>
        <v>0</v>
      </c>
      <c r="N765" s="276">
        <f t="shared" si="948"/>
        <v>0</v>
      </c>
      <c r="O765" s="276">
        <f t="shared" si="948"/>
        <v>0</v>
      </c>
      <c r="P765" s="276">
        <f t="shared" si="948"/>
        <v>0</v>
      </c>
      <c r="Q765" s="276">
        <f t="shared" si="948"/>
        <v>0</v>
      </c>
      <c r="R765" s="281">
        <f t="shared" si="935"/>
        <v>0</v>
      </c>
      <c r="S765" s="276">
        <f t="shared" ref="S765:Z765" si="949">+S766</f>
        <v>112000000</v>
      </c>
      <c r="T765" s="276">
        <f t="shared" si="949"/>
        <v>0</v>
      </c>
      <c r="U765" s="276">
        <f t="shared" si="949"/>
        <v>0</v>
      </c>
      <c r="V765" s="276">
        <f t="shared" si="949"/>
        <v>0</v>
      </c>
      <c r="W765" s="276">
        <f t="shared" si="949"/>
        <v>0</v>
      </c>
      <c r="X765" s="276">
        <f t="shared" si="949"/>
        <v>0</v>
      </c>
      <c r="Y765" s="276">
        <f t="shared" si="949"/>
        <v>0</v>
      </c>
      <c r="Z765" s="276">
        <f t="shared" si="949"/>
        <v>0</v>
      </c>
      <c r="AA765" s="281">
        <f t="shared" si="877"/>
        <v>112000000</v>
      </c>
      <c r="AB765" s="403">
        <f t="shared" si="840"/>
        <v>112000000</v>
      </c>
      <c r="AC765" s="326">
        <f t="shared" si="881"/>
        <v>1</v>
      </c>
    </row>
    <row r="766" spans="2:29" ht="25.5" x14ac:dyDescent="0.2">
      <c r="B766" s="323" t="s">
        <v>1702</v>
      </c>
      <c r="C766" s="206" t="s">
        <v>1703</v>
      </c>
      <c r="D766" s="281"/>
      <c r="E766" s="325">
        <f>SUM('ADICIONES  2021'!C766:N766)</f>
        <v>112000000</v>
      </c>
      <c r="F766" s="281"/>
      <c r="G766" s="281"/>
      <c r="H766" s="281"/>
      <c r="I766" s="281"/>
      <c r="J766" s="281"/>
      <c r="K766" s="281">
        <f t="shared" si="835"/>
        <v>112000000</v>
      </c>
      <c r="L766" s="281"/>
      <c r="M766" s="281"/>
      <c r="N766" s="281"/>
      <c r="O766" s="281"/>
      <c r="P766" s="281"/>
      <c r="Q766" s="281"/>
      <c r="R766" s="281">
        <f t="shared" si="935"/>
        <v>0</v>
      </c>
      <c r="S766" s="281">
        <v>112000000</v>
      </c>
      <c r="T766" s="281"/>
      <c r="U766" s="281"/>
      <c r="V766" s="281"/>
      <c r="W766" s="281"/>
      <c r="X766" s="281"/>
      <c r="Y766" s="281"/>
      <c r="Z766" s="281"/>
      <c r="AA766" s="281">
        <f t="shared" si="877"/>
        <v>112000000</v>
      </c>
      <c r="AB766" s="403">
        <f t="shared" si="840"/>
        <v>112000000</v>
      </c>
      <c r="AC766" s="326">
        <f t="shared" si="881"/>
        <v>1</v>
      </c>
    </row>
    <row r="767" spans="2:29" ht="14.25" x14ac:dyDescent="0.2">
      <c r="B767" s="318" t="s">
        <v>1704</v>
      </c>
      <c r="C767" s="319" t="s">
        <v>1705</v>
      </c>
      <c r="D767" s="276">
        <f>+D768</f>
        <v>0</v>
      </c>
      <c r="E767" s="322">
        <f>SUM('ADICIONES  2021'!C767:N767)</f>
        <v>39055800</v>
      </c>
      <c r="F767" s="276">
        <f>+F768</f>
        <v>0</v>
      </c>
      <c r="G767" s="276">
        <f>+G768</f>
        <v>0</v>
      </c>
      <c r="H767" s="276">
        <f>+H768</f>
        <v>0</v>
      </c>
      <c r="I767" s="276">
        <f>+I768</f>
        <v>0</v>
      </c>
      <c r="J767" s="276">
        <f>+J768</f>
        <v>0</v>
      </c>
      <c r="K767" s="281">
        <f t="shared" si="835"/>
        <v>39055800</v>
      </c>
      <c r="L767" s="276">
        <f t="shared" ref="L767:Q767" si="950">+L768</f>
        <v>0</v>
      </c>
      <c r="M767" s="276">
        <f t="shared" si="950"/>
        <v>0</v>
      </c>
      <c r="N767" s="276">
        <f t="shared" si="950"/>
        <v>0</v>
      </c>
      <c r="O767" s="276">
        <f t="shared" si="950"/>
        <v>0</v>
      </c>
      <c r="P767" s="276">
        <f t="shared" si="950"/>
        <v>0</v>
      </c>
      <c r="Q767" s="276">
        <f t="shared" si="950"/>
        <v>0</v>
      </c>
      <c r="R767" s="281">
        <f t="shared" si="935"/>
        <v>0</v>
      </c>
      <c r="S767" s="276">
        <f t="shared" ref="S767:Z767" si="951">+S768</f>
        <v>39055800</v>
      </c>
      <c r="T767" s="276">
        <f t="shared" si="951"/>
        <v>0</v>
      </c>
      <c r="U767" s="276">
        <f t="shared" si="951"/>
        <v>0</v>
      </c>
      <c r="V767" s="276">
        <f t="shared" si="951"/>
        <v>0</v>
      </c>
      <c r="W767" s="276">
        <f t="shared" si="951"/>
        <v>0</v>
      </c>
      <c r="X767" s="276">
        <f t="shared" si="951"/>
        <v>0</v>
      </c>
      <c r="Y767" s="276">
        <f t="shared" si="951"/>
        <v>0</v>
      </c>
      <c r="Z767" s="276">
        <f t="shared" si="951"/>
        <v>0</v>
      </c>
      <c r="AA767" s="281">
        <f t="shared" si="877"/>
        <v>39055800</v>
      </c>
      <c r="AB767" s="403">
        <f t="shared" si="840"/>
        <v>39055800</v>
      </c>
      <c r="AC767" s="326">
        <f t="shared" si="881"/>
        <v>1</v>
      </c>
    </row>
    <row r="768" spans="2:29" ht="14.25" x14ac:dyDescent="0.2">
      <c r="B768" s="323" t="s">
        <v>1706</v>
      </c>
      <c r="C768" s="206" t="s">
        <v>1707</v>
      </c>
      <c r="D768" s="281"/>
      <c r="E768" s="325">
        <f>SUM('ADICIONES  2021'!C768:N768)</f>
        <v>39055800</v>
      </c>
      <c r="F768" s="281"/>
      <c r="G768" s="281"/>
      <c r="H768" s="281"/>
      <c r="I768" s="281"/>
      <c r="J768" s="281"/>
      <c r="K768" s="281">
        <f t="shared" si="835"/>
        <v>39055800</v>
      </c>
      <c r="L768" s="281"/>
      <c r="M768" s="281"/>
      <c r="N768" s="281"/>
      <c r="O768" s="281"/>
      <c r="P768" s="281"/>
      <c r="Q768" s="281"/>
      <c r="R768" s="281">
        <f t="shared" si="935"/>
        <v>0</v>
      </c>
      <c r="S768" s="281">
        <v>39055800</v>
      </c>
      <c r="T768" s="281"/>
      <c r="U768" s="281"/>
      <c r="V768" s="281"/>
      <c r="W768" s="281"/>
      <c r="X768" s="281"/>
      <c r="Y768" s="281"/>
      <c r="Z768" s="281"/>
      <c r="AA768" s="281">
        <f t="shared" ref="AA768:AA816" si="952">SUM(S768:Z768)</f>
        <v>39055800</v>
      </c>
      <c r="AB768" s="403">
        <f t="shared" si="840"/>
        <v>39055800</v>
      </c>
      <c r="AC768" s="326">
        <f t="shared" si="881"/>
        <v>1</v>
      </c>
    </row>
    <row r="769" spans="2:29" ht="14.25" x14ac:dyDescent="0.2">
      <c r="B769" s="318" t="s">
        <v>1708</v>
      </c>
      <c r="C769" s="319" t="s">
        <v>1709</v>
      </c>
      <c r="D769" s="276">
        <f>+D770</f>
        <v>0</v>
      </c>
      <c r="E769" s="322">
        <f>SUM('ADICIONES  2021'!C769:N769)</f>
        <v>6171202231.1300001</v>
      </c>
      <c r="F769" s="276">
        <f>+F770</f>
        <v>0</v>
      </c>
      <c r="G769" s="276">
        <f>+G770</f>
        <v>0</v>
      </c>
      <c r="H769" s="276">
        <f>+H770</f>
        <v>0</v>
      </c>
      <c r="I769" s="276">
        <f>+I770</f>
        <v>0</v>
      </c>
      <c r="J769" s="276">
        <f>+J770</f>
        <v>0</v>
      </c>
      <c r="K769" s="281">
        <f t="shared" si="835"/>
        <v>6171202231.1300001</v>
      </c>
      <c r="L769" s="276">
        <f t="shared" ref="L769:Q769" si="953">+L770</f>
        <v>0</v>
      </c>
      <c r="M769" s="276">
        <f t="shared" si="953"/>
        <v>0</v>
      </c>
      <c r="N769" s="276">
        <f t="shared" si="953"/>
        <v>0</v>
      </c>
      <c r="O769" s="276">
        <f t="shared" si="953"/>
        <v>0</v>
      </c>
      <c r="P769" s="276">
        <f t="shared" si="953"/>
        <v>0</v>
      </c>
      <c r="Q769" s="276">
        <f t="shared" si="953"/>
        <v>0</v>
      </c>
      <c r="R769" s="281">
        <f t="shared" si="935"/>
        <v>0</v>
      </c>
      <c r="S769" s="276">
        <f t="shared" ref="S769:Z769" si="954">+S770</f>
        <v>6171202231.1300001</v>
      </c>
      <c r="T769" s="276">
        <f t="shared" si="954"/>
        <v>0</v>
      </c>
      <c r="U769" s="276">
        <f t="shared" si="954"/>
        <v>0</v>
      </c>
      <c r="V769" s="276">
        <f t="shared" si="954"/>
        <v>0</v>
      </c>
      <c r="W769" s="276">
        <f t="shared" si="954"/>
        <v>0</v>
      </c>
      <c r="X769" s="276">
        <f t="shared" si="954"/>
        <v>0</v>
      </c>
      <c r="Y769" s="276">
        <f t="shared" si="954"/>
        <v>0</v>
      </c>
      <c r="Z769" s="276">
        <f t="shared" si="954"/>
        <v>0</v>
      </c>
      <c r="AA769" s="281">
        <f t="shared" si="952"/>
        <v>6171202231.1300001</v>
      </c>
      <c r="AB769" s="403">
        <f t="shared" si="840"/>
        <v>6171202231.1300001</v>
      </c>
      <c r="AC769" s="326">
        <f t="shared" ref="AC769:AC816" si="955">+AB769/K769</f>
        <v>1</v>
      </c>
    </row>
    <row r="770" spans="2:29" ht="14.25" x14ac:dyDescent="0.2">
      <c r="B770" s="323" t="s">
        <v>1710</v>
      </c>
      <c r="C770" s="206" t="s">
        <v>1711</v>
      </c>
      <c r="D770" s="281"/>
      <c r="E770" s="325">
        <f>SUM('ADICIONES  2021'!C770:N770)</f>
        <v>6171202231.1300001</v>
      </c>
      <c r="F770" s="281"/>
      <c r="G770" s="281"/>
      <c r="H770" s="281"/>
      <c r="I770" s="281"/>
      <c r="J770" s="281"/>
      <c r="K770" s="281">
        <f t="shared" si="835"/>
        <v>6171202231.1300001</v>
      </c>
      <c r="L770" s="281"/>
      <c r="M770" s="281"/>
      <c r="N770" s="281"/>
      <c r="O770" s="281"/>
      <c r="P770" s="281"/>
      <c r="Q770" s="281"/>
      <c r="R770" s="281">
        <f t="shared" si="935"/>
        <v>0</v>
      </c>
      <c r="S770" s="281">
        <v>6171202231.1300001</v>
      </c>
      <c r="T770" s="281"/>
      <c r="U770" s="281"/>
      <c r="V770" s="281"/>
      <c r="W770" s="281"/>
      <c r="X770" s="281"/>
      <c r="Y770" s="281"/>
      <c r="Z770" s="281"/>
      <c r="AA770" s="281">
        <f t="shared" si="952"/>
        <v>6171202231.1300001</v>
      </c>
      <c r="AB770" s="403">
        <f t="shared" si="840"/>
        <v>6171202231.1300001</v>
      </c>
      <c r="AC770" s="326">
        <f t="shared" si="955"/>
        <v>1</v>
      </c>
    </row>
    <row r="771" spans="2:29" ht="14.25" x14ac:dyDescent="0.2">
      <c r="B771" s="318" t="s">
        <v>1712</v>
      </c>
      <c r="C771" s="319" t="s">
        <v>1713</v>
      </c>
      <c r="D771" s="276">
        <f>SUM(D772:D816)</f>
        <v>0</v>
      </c>
      <c r="E771" s="322">
        <f>SUM('ADICIONES  2021'!C771:N771)</f>
        <v>71889004628.699997</v>
      </c>
      <c r="F771" s="276">
        <f>SUM(F772:F816)</f>
        <v>0</v>
      </c>
      <c r="G771" s="276">
        <f>SUM(G772:G816)</f>
        <v>0</v>
      </c>
      <c r="H771" s="276">
        <f>SUM(H772:H816)</f>
        <v>0</v>
      </c>
      <c r="I771" s="276">
        <f>SUM(I772:I816)</f>
        <v>0</v>
      </c>
      <c r="J771" s="276">
        <f>SUM(J772:J816)</f>
        <v>0</v>
      </c>
      <c r="K771" s="281">
        <f t="shared" si="835"/>
        <v>71889004628.699997</v>
      </c>
      <c r="L771" s="276">
        <f t="shared" ref="L771:Q771" si="956">SUM(L772:L816)</f>
        <v>0</v>
      </c>
      <c r="M771" s="276">
        <f t="shared" si="956"/>
        <v>0</v>
      </c>
      <c r="N771" s="276">
        <f t="shared" si="956"/>
        <v>0</v>
      </c>
      <c r="O771" s="276">
        <f t="shared" si="956"/>
        <v>0</v>
      </c>
      <c r="P771" s="276">
        <f t="shared" si="956"/>
        <v>0</v>
      </c>
      <c r="Q771" s="276">
        <f t="shared" si="956"/>
        <v>0</v>
      </c>
      <c r="R771" s="281">
        <f t="shared" si="935"/>
        <v>0</v>
      </c>
      <c r="S771" s="276">
        <f t="shared" ref="S771:Z771" si="957">SUM(S772:S816)</f>
        <v>52323554356.650002</v>
      </c>
      <c r="T771" s="276">
        <f t="shared" si="957"/>
        <v>0</v>
      </c>
      <c r="U771" s="276">
        <f t="shared" si="957"/>
        <v>0</v>
      </c>
      <c r="V771" s="276">
        <f t="shared" si="957"/>
        <v>0</v>
      </c>
      <c r="W771" s="276">
        <f t="shared" si="957"/>
        <v>0</v>
      </c>
      <c r="X771" s="276">
        <f t="shared" si="957"/>
        <v>17010953802.65</v>
      </c>
      <c r="Y771" s="276">
        <f t="shared" si="957"/>
        <v>0</v>
      </c>
      <c r="Z771" s="276">
        <f t="shared" si="957"/>
        <v>0</v>
      </c>
      <c r="AA771" s="281">
        <f t="shared" si="952"/>
        <v>69334508159.300003</v>
      </c>
      <c r="AB771" s="403">
        <f t="shared" si="840"/>
        <v>69334508159.300003</v>
      </c>
      <c r="AC771" s="326">
        <f t="shared" si="955"/>
        <v>0.96446610322964232</v>
      </c>
    </row>
    <row r="772" spans="2:29" ht="51" x14ac:dyDescent="0.2">
      <c r="B772" s="323" t="s">
        <v>1714</v>
      </c>
      <c r="C772" s="206" t="s">
        <v>1715</v>
      </c>
      <c r="D772" s="281"/>
      <c r="E772" s="325">
        <f>SUM('ADICIONES  2021'!C772:N772)</f>
        <v>200</v>
      </c>
      <c r="F772" s="281"/>
      <c r="G772" s="281"/>
      <c r="H772" s="281"/>
      <c r="I772" s="281"/>
      <c r="J772" s="281"/>
      <c r="K772" s="281">
        <f t="shared" si="835"/>
        <v>200</v>
      </c>
      <c r="L772" s="281"/>
      <c r="M772" s="281"/>
      <c r="N772" s="281"/>
      <c r="O772" s="281"/>
      <c r="P772" s="281"/>
      <c r="Q772" s="281"/>
      <c r="R772" s="281">
        <f t="shared" si="935"/>
        <v>0</v>
      </c>
      <c r="S772" s="281">
        <v>200</v>
      </c>
      <c r="T772" s="281"/>
      <c r="U772" s="281"/>
      <c r="V772" s="281"/>
      <c r="W772" s="281"/>
      <c r="X772" s="281">
        <v>0</v>
      </c>
      <c r="Y772" s="281"/>
      <c r="Z772" s="281"/>
      <c r="AA772" s="281">
        <f t="shared" si="952"/>
        <v>200</v>
      </c>
      <c r="AB772" s="403">
        <f t="shared" si="840"/>
        <v>200</v>
      </c>
      <c r="AC772" s="326">
        <f t="shared" si="955"/>
        <v>1</v>
      </c>
    </row>
    <row r="773" spans="2:29" ht="51" x14ac:dyDescent="0.2">
      <c r="B773" s="323" t="s">
        <v>1716</v>
      </c>
      <c r="C773" s="206" t="s">
        <v>1717</v>
      </c>
      <c r="D773" s="281"/>
      <c r="E773" s="325">
        <f>SUM('ADICIONES  2021'!C773:N773)</f>
        <v>694330329.00999999</v>
      </c>
      <c r="F773" s="281"/>
      <c r="G773" s="281"/>
      <c r="H773" s="281"/>
      <c r="I773" s="281"/>
      <c r="J773" s="281"/>
      <c r="K773" s="281">
        <f t="shared" si="835"/>
        <v>694330329.00999999</v>
      </c>
      <c r="L773" s="281"/>
      <c r="M773" s="281"/>
      <c r="N773" s="281"/>
      <c r="O773" s="281"/>
      <c r="P773" s="281"/>
      <c r="Q773" s="281"/>
      <c r="R773" s="281">
        <f t="shared" si="935"/>
        <v>0</v>
      </c>
      <c r="S773" s="281">
        <v>694330329.00999999</v>
      </c>
      <c r="T773" s="281"/>
      <c r="U773" s="281"/>
      <c r="V773" s="281"/>
      <c r="W773" s="281"/>
      <c r="X773" s="281">
        <v>0</v>
      </c>
      <c r="Y773" s="281"/>
      <c r="Z773" s="281"/>
      <c r="AA773" s="281">
        <f t="shared" si="952"/>
        <v>694330329.00999999</v>
      </c>
      <c r="AB773" s="403">
        <f t="shared" si="840"/>
        <v>694330329.00999999</v>
      </c>
      <c r="AC773" s="326">
        <f t="shared" si="955"/>
        <v>1</v>
      </c>
    </row>
    <row r="774" spans="2:29" ht="51" x14ac:dyDescent="0.2">
      <c r="B774" s="323" t="s">
        <v>1718</v>
      </c>
      <c r="C774" s="206" t="s">
        <v>1719</v>
      </c>
      <c r="D774" s="281"/>
      <c r="E774" s="325">
        <f>SUM('ADICIONES  2021'!C774:N774)</f>
        <v>769948698.44000006</v>
      </c>
      <c r="F774" s="281"/>
      <c r="G774" s="281"/>
      <c r="H774" s="281"/>
      <c r="I774" s="281"/>
      <c r="J774" s="281"/>
      <c r="K774" s="281">
        <f t="shared" si="835"/>
        <v>769948698.44000006</v>
      </c>
      <c r="L774" s="281"/>
      <c r="M774" s="281"/>
      <c r="N774" s="281"/>
      <c r="O774" s="281"/>
      <c r="P774" s="281"/>
      <c r="Q774" s="281"/>
      <c r="R774" s="281">
        <f t="shared" si="935"/>
        <v>0</v>
      </c>
      <c r="S774" s="281">
        <v>769948698.44000006</v>
      </c>
      <c r="T774" s="281"/>
      <c r="U774" s="281"/>
      <c r="V774" s="281"/>
      <c r="W774" s="281"/>
      <c r="X774" s="281">
        <v>0</v>
      </c>
      <c r="Y774" s="281"/>
      <c r="Z774" s="281"/>
      <c r="AA774" s="281">
        <f t="shared" si="952"/>
        <v>769948698.44000006</v>
      </c>
      <c r="AB774" s="403">
        <f t="shared" si="840"/>
        <v>769948698.44000006</v>
      </c>
      <c r="AC774" s="326">
        <f t="shared" si="955"/>
        <v>1</v>
      </c>
    </row>
    <row r="775" spans="2:29" ht="51" x14ac:dyDescent="0.2">
      <c r="B775" s="323" t="s">
        <v>1720</v>
      </c>
      <c r="C775" s="206" t="s">
        <v>1721</v>
      </c>
      <c r="D775" s="281"/>
      <c r="E775" s="325">
        <f>SUM('ADICIONES  2021'!C775:N775)</f>
        <v>145723443.94</v>
      </c>
      <c r="F775" s="281"/>
      <c r="G775" s="281"/>
      <c r="H775" s="281"/>
      <c r="I775" s="281"/>
      <c r="J775" s="281"/>
      <c r="K775" s="281">
        <f t="shared" si="835"/>
        <v>145723443.94</v>
      </c>
      <c r="L775" s="281"/>
      <c r="M775" s="281"/>
      <c r="N775" s="281"/>
      <c r="O775" s="281"/>
      <c r="P775" s="281"/>
      <c r="Q775" s="281"/>
      <c r="R775" s="281">
        <f t="shared" si="935"/>
        <v>0</v>
      </c>
      <c r="S775" s="281">
        <v>145723443.94</v>
      </c>
      <c r="T775" s="281"/>
      <c r="U775" s="281"/>
      <c r="V775" s="281"/>
      <c r="W775" s="281"/>
      <c r="X775" s="281">
        <v>0</v>
      </c>
      <c r="Y775" s="281"/>
      <c r="Z775" s="281"/>
      <c r="AA775" s="281">
        <f t="shared" si="952"/>
        <v>145723443.94</v>
      </c>
      <c r="AB775" s="403">
        <f t="shared" si="840"/>
        <v>145723443.94</v>
      </c>
      <c r="AC775" s="326">
        <f t="shared" si="955"/>
        <v>1</v>
      </c>
    </row>
    <row r="776" spans="2:29" ht="25.5" x14ac:dyDescent="0.2">
      <c r="B776" s="323" t="s">
        <v>1722</v>
      </c>
      <c r="C776" s="206" t="s">
        <v>1723</v>
      </c>
      <c r="D776" s="281"/>
      <c r="E776" s="325">
        <f>SUM('ADICIONES  2021'!C776:N776)</f>
        <v>892239699.46000004</v>
      </c>
      <c r="F776" s="281"/>
      <c r="G776" s="281"/>
      <c r="H776" s="281"/>
      <c r="I776" s="281"/>
      <c r="J776" s="281"/>
      <c r="K776" s="281">
        <f t="shared" si="835"/>
        <v>892239699.46000004</v>
      </c>
      <c r="L776" s="281"/>
      <c r="M776" s="281"/>
      <c r="N776" s="281"/>
      <c r="O776" s="281"/>
      <c r="P776" s="281"/>
      <c r="Q776" s="281"/>
      <c r="R776" s="281">
        <f t="shared" si="935"/>
        <v>0</v>
      </c>
      <c r="S776" s="281">
        <v>892239699.46000004</v>
      </c>
      <c r="T776" s="281"/>
      <c r="U776" s="281"/>
      <c r="V776" s="281"/>
      <c r="W776" s="281"/>
      <c r="X776" s="281">
        <v>0</v>
      </c>
      <c r="Y776" s="281"/>
      <c r="Z776" s="281"/>
      <c r="AA776" s="281">
        <f t="shared" si="952"/>
        <v>892239699.46000004</v>
      </c>
      <c r="AB776" s="403">
        <f t="shared" si="840"/>
        <v>892239699.46000004</v>
      </c>
      <c r="AC776" s="326">
        <f t="shared" si="955"/>
        <v>1</v>
      </c>
    </row>
    <row r="777" spans="2:29" ht="25.5" x14ac:dyDescent="0.2">
      <c r="B777" s="323" t="s">
        <v>1724</v>
      </c>
      <c r="C777" s="206" t="s">
        <v>1725</v>
      </c>
      <c r="D777" s="281"/>
      <c r="E777" s="325">
        <f>SUM('ADICIONES  2021'!C777:N777)</f>
        <v>126666013</v>
      </c>
      <c r="F777" s="281"/>
      <c r="G777" s="281"/>
      <c r="H777" s="281"/>
      <c r="I777" s="281"/>
      <c r="J777" s="281"/>
      <c r="K777" s="281">
        <f t="shared" si="835"/>
        <v>126666013</v>
      </c>
      <c r="L777" s="281"/>
      <c r="M777" s="281"/>
      <c r="N777" s="281"/>
      <c r="O777" s="281"/>
      <c r="P777" s="281"/>
      <c r="Q777" s="281"/>
      <c r="R777" s="281">
        <f t="shared" si="935"/>
        <v>0</v>
      </c>
      <c r="S777" s="281">
        <v>0</v>
      </c>
      <c r="T777" s="281"/>
      <c r="U777" s="281"/>
      <c r="V777" s="281"/>
      <c r="W777" s="281"/>
      <c r="X777" s="281">
        <v>126666013</v>
      </c>
      <c r="Y777" s="281"/>
      <c r="Z777" s="281"/>
      <c r="AA777" s="281">
        <f t="shared" si="952"/>
        <v>126666013</v>
      </c>
      <c r="AB777" s="403">
        <f t="shared" si="840"/>
        <v>126666013</v>
      </c>
      <c r="AC777" s="326">
        <f t="shared" si="955"/>
        <v>1</v>
      </c>
    </row>
    <row r="778" spans="2:29" ht="25.5" x14ac:dyDescent="0.2">
      <c r="B778" s="323" t="s">
        <v>1726</v>
      </c>
      <c r="C778" s="206" t="s">
        <v>1727</v>
      </c>
      <c r="D778" s="281"/>
      <c r="E778" s="325">
        <f>SUM('ADICIONES  2021'!C778:N778)</f>
        <v>3500000</v>
      </c>
      <c r="F778" s="281"/>
      <c r="G778" s="281"/>
      <c r="H778" s="281"/>
      <c r="I778" s="281"/>
      <c r="J778" s="281"/>
      <c r="K778" s="281">
        <f t="shared" si="835"/>
        <v>3500000</v>
      </c>
      <c r="L778" s="281"/>
      <c r="M778" s="281"/>
      <c r="N778" s="281"/>
      <c r="O778" s="281"/>
      <c r="P778" s="281"/>
      <c r="Q778" s="281"/>
      <c r="R778" s="281">
        <f t="shared" si="935"/>
        <v>0</v>
      </c>
      <c r="S778" s="281">
        <v>0</v>
      </c>
      <c r="T778" s="281"/>
      <c r="U778" s="281"/>
      <c r="V778" s="281"/>
      <c r="W778" s="281"/>
      <c r="X778" s="281">
        <v>0</v>
      </c>
      <c r="Y778" s="281"/>
      <c r="Z778" s="281"/>
      <c r="AA778" s="281">
        <f t="shared" si="952"/>
        <v>0</v>
      </c>
      <c r="AB778" s="403">
        <f t="shared" si="840"/>
        <v>0</v>
      </c>
      <c r="AC778" s="326">
        <f t="shared" si="955"/>
        <v>0</v>
      </c>
    </row>
    <row r="779" spans="2:29" ht="38.25" x14ac:dyDescent="0.2">
      <c r="B779" s="323" t="s">
        <v>1728</v>
      </c>
      <c r="C779" s="206" t="s">
        <v>1729</v>
      </c>
      <c r="D779" s="281"/>
      <c r="E779" s="325">
        <f>SUM('ADICIONES  2021'!C779:N779)</f>
        <v>21000000</v>
      </c>
      <c r="F779" s="281"/>
      <c r="G779" s="281"/>
      <c r="H779" s="281"/>
      <c r="I779" s="281"/>
      <c r="J779" s="281"/>
      <c r="K779" s="281">
        <f t="shared" si="835"/>
        <v>21000000</v>
      </c>
      <c r="L779" s="281"/>
      <c r="M779" s="281"/>
      <c r="N779" s="281"/>
      <c r="O779" s="281"/>
      <c r="P779" s="281"/>
      <c r="Q779" s="281"/>
      <c r="R779" s="281">
        <f t="shared" si="935"/>
        <v>0</v>
      </c>
      <c r="S779" s="281">
        <v>0</v>
      </c>
      <c r="T779" s="281"/>
      <c r="U779" s="281"/>
      <c r="V779" s="281"/>
      <c r="W779" s="281"/>
      <c r="X779" s="281">
        <v>0</v>
      </c>
      <c r="Y779" s="281"/>
      <c r="Z779" s="281"/>
      <c r="AA779" s="281">
        <f t="shared" si="952"/>
        <v>0</v>
      </c>
      <c r="AB779" s="403">
        <f t="shared" si="840"/>
        <v>0</v>
      </c>
      <c r="AC779" s="326">
        <f t="shared" si="955"/>
        <v>0</v>
      </c>
    </row>
    <row r="780" spans="2:29" ht="25.5" x14ac:dyDescent="0.2">
      <c r="B780" s="323" t="s">
        <v>1730</v>
      </c>
      <c r="C780" s="206" t="s">
        <v>1731</v>
      </c>
      <c r="D780" s="281"/>
      <c r="E780" s="325">
        <f>SUM('ADICIONES  2021'!C780:N780)</f>
        <v>1000000000</v>
      </c>
      <c r="F780" s="281"/>
      <c r="G780" s="281"/>
      <c r="H780" s="281"/>
      <c r="I780" s="281"/>
      <c r="J780" s="281"/>
      <c r="K780" s="281">
        <f t="shared" si="835"/>
        <v>1000000000</v>
      </c>
      <c r="L780" s="281"/>
      <c r="M780" s="281"/>
      <c r="N780" s="281"/>
      <c r="O780" s="281"/>
      <c r="P780" s="281"/>
      <c r="Q780" s="281"/>
      <c r="R780" s="281">
        <f t="shared" si="935"/>
        <v>0</v>
      </c>
      <c r="S780" s="281">
        <v>0</v>
      </c>
      <c r="T780" s="281"/>
      <c r="U780" s="281"/>
      <c r="V780" s="281"/>
      <c r="W780" s="281"/>
      <c r="X780" s="281">
        <v>1000000000</v>
      </c>
      <c r="Y780" s="281"/>
      <c r="Z780" s="281"/>
      <c r="AA780" s="281">
        <f t="shared" si="952"/>
        <v>1000000000</v>
      </c>
      <c r="AB780" s="403">
        <f t="shared" si="840"/>
        <v>1000000000</v>
      </c>
      <c r="AC780" s="326">
        <f t="shared" si="955"/>
        <v>1</v>
      </c>
    </row>
    <row r="781" spans="2:29" ht="38.25" x14ac:dyDescent="0.2">
      <c r="B781" s="323" t="s">
        <v>1732</v>
      </c>
      <c r="C781" s="206" t="s">
        <v>1733</v>
      </c>
      <c r="D781" s="281"/>
      <c r="E781" s="325">
        <f>SUM('ADICIONES  2021'!C781:N781)</f>
        <v>683484219.72000003</v>
      </c>
      <c r="F781" s="281"/>
      <c r="G781" s="281"/>
      <c r="H781" s="281"/>
      <c r="I781" s="281"/>
      <c r="J781" s="281"/>
      <c r="K781" s="281">
        <f t="shared" si="835"/>
        <v>683484219.72000003</v>
      </c>
      <c r="L781" s="281"/>
      <c r="M781" s="281"/>
      <c r="N781" s="281"/>
      <c r="O781" s="281"/>
      <c r="P781" s="281"/>
      <c r="Q781" s="281"/>
      <c r="R781" s="281">
        <f t="shared" si="935"/>
        <v>0</v>
      </c>
      <c r="S781" s="281">
        <v>683484219.72000003</v>
      </c>
      <c r="T781" s="281"/>
      <c r="U781" s="281"/>
      <c r="V781" s="281"/>
      <c r="W781" s="281"/>
      <c r="X781" s="281">
        <v>0</v>
      </c>
      <c r="Y781" s="281"/>
      <c r="Z781" s="281"/>
      <c r="AA781" s="281">
        <f t="shared" si="952"/>
        <v>683484219.72000003</v>
      </c>
      <c r="AB781" s="403">
        <f t="shared" si="840"/>
        <v>683484219.72000003</v>
      </c>
      <c r="AC781" s="326">
        <f t="shared" si="955"/>
        <v>1</v>
      </c>
    </row>
    <row r="782" spans="2:29" ht="25.5" x14ac:dyDescent="0.2">
      <c r="B782" s="323" t="s">
        <v>1734</v>
      </c>
      <c r="C782" s="206" t="s">
        <v>1735</v>
      </c>
      <c r="D782" s="281"/>
      <c r="E782" s="325">
        <f>SUM('ADICIONES  2021'!C782:N782)</f>
        <v>472953841.06</v>
      </c>
      <c r="F782" s="281"/>
      <c r="G782" s="281"/>
      <c r="H782" s="281"/>
      <c r="I782" s="281"/>
      <c r="J782" s="281"/>
      <c r="K782" s="281">
        <f t="shared" si="835"/>
        <v>472953841.06</v>
      </c>
      <c r="L782" s="281"/>
      <c r="M782" s="281"/>
      <c r="N782" s="281"/>
      <c r="O782" s="281"/>
      <c r="P782" s="281"/>
      <c r="Q782" s="281"/>
      <c r="R782" s="281">
        <f t="shared" si="935"/>
        <v>0</v>
      </c>
      <c r="S782" s="281">
        <v>230298044.47999999</v>
      </c>
      <c r="T782" s="281"/>
      <c r="U782" s="281"/>
      <c r="V782" s="281"/>
      <c r="W782" s="281"/>
      <c r="X782" s="281">
        <v>242655796.58000001</v>
      </c>
      <c r="Y782" s="281"/>
      <c r="Z782" s="281"/>
      <c r="AA782" s="281">
        <f t="shared" si="952"/>
        <v>472953841.06</v>
      </c>
      <c r="AB782" s="403">
        <f t="shared" si="840"/>
        <v>472953841.06</v>
      </c>
      <c r="AC782" s="326">
        <f t="shared" si="955"/>
        <v>1</v>
      </c>
    </row>
    <row r="783" spans="2:29" ht="38.25" x14ac:dyDescent="0.2">
      <c r="B783" s="323" t="s">
        <v>1736</v>
      </c>
      <c r="C783" s="206" t="s">
        <v>1737</v>
      </c>
      <c r="D783" s="281"/>
      <c r="E783" s="325">
        <f>SUM('ADICIONES  2021'!C783:N783)</f>
        <v>1662330762.3800001</v>
      </c>
      <c r="F783" s="281"/>
      <c r="G783" s="281"/>
      <c r="H783" s="281"/>
      <c r="I783" s="281"/>
      <c r="J783" s="281"/>
      <c r="K783" s="281">
        <f t="shared" si="835"/>
        <v>1662330762.3800001</v>
      </c>
      <c r="L783" s="281"/>
      <c r="M783" s="281"/>
      <c r="N783" s="281"/>
      <c r="O783" s="281"/>
      <c r="P783" s="281"/>
      <c r="Q783" s="281"/>
      <c r="R783" s="281">
        <f t="shared" si="935"/>
        <v>0</v>
      </c>
      <c r="S783" s="281">
        <v>1105031342</v>
      </c>
      <c r="T783" s="281"/>
      <c r="U783" s="281"/>
      <c r="V783" s="281"/>
      <c r="W783" s="281"/>
      <c r="X783" s="281">
        <v>0</v>
      </c>
      <c r="Y783" s="281"/>
      <c r="Z783" s="281"/>
      <c r="AA783" s="281">
        <f t="shared" si="952"/>
        <v>1105031342</v>
      </c>
      <c r="AB783" s="403">
        <f t="shared" si="840"/>
        <v>1105031342</v>
      </c>
      <c r="AC783" s="326">
        <f t="shared" si="955"/>
        <v>0.66474817587920909</v>
      </c>
    </row>
    <row r="784" spans="2:29" ht="38.25" x14ac:dyDescent="0.2">
      <c r="B784" s="323" t="s">
        <v>1738</v>
      </c>
      <c r="C784" s="206" t="s">
        <v>1739</v>
      </c>
      <c r="D784" s="281"/>
      <c r="E784" s="325">
        <f>SUM('ADICIONES  2021'!C784:N784)</f>
        <v>815428711.37</v>
      </c>
      <c r="F784" s="281"/>
      <c r="G784" s="281"/>
      <c r="H784" s="281"/>
      <c r="I784" s="281"/>
      <c r="J784" s="281"/>
      <c r="K784" s="281">
        <f t="shared" si="835"/>
        <v>815428711.37</v>
      </c>
      <c r="L784" s="281"/>
      <c r="M784" s="281"/>
      <c r="N784" s="281"/>
      <c r="O784" s="281"/>
      <c r="P784" s="281"/>
      <c r="Q784" s="281"/>
      <c r="R784" s="281">
        <f t="shared" si="935"/>
        <v>0</v>
      </c>
      <c r="S784" s="281">
        <v>476352429</v>
      </c>
      <c r="T784" s="281"/>
      <c r="U784" s="281"/>
      <c r="V784" s="281"/>
      <c r="W784" s="281"/>
      <c r="X784" s="281">
        <v>0</v>
      </c>
      <c r="Y784" s="281"/>
      <c r="Z784" s="281"/>
      <c r="AA784" s="281">
        <f t="shared" si="952"/>
        <v>476352429</v>
      </c>
      <c r="AB784" s="403">
        <f t="shared" si="840"/>
        <v>476352429</v>
      </c>
      <c r="AC784" s="326">
        <f t="shared" si="955"/>
        <v>0.58417421701975802</v>
      </c>
    </row>
    <row r="785" spans="2:29" ht="25.5" x14ac:dyDescent="0.2">
      <c r="B785" s="323" t="s">
        <v>1740</v>
      </c>
      <c r="C785" s="206" t="s">
        <v>1741</v>
      </c>
      <c r="D785" s="281"/>
      <c r="E785" s="325">
        <f>SUM('ADICIONES  2021'!C785:N785)</f>
        <v>920627571.64999998</v>
      </c>
      <c r="F785" s="281"/>
      <c r="G785" s="281"/>
      <c r="H785" s="281"/>
      <c r="I785" s="281"/>
      <c r="J785" s="281"/>
      <c r="K785" s="281">
        <f t="shared" si="835"/>
        <v>920627571.64999998</v>
      </c>
      <c r="L785" s="281"/>
      <c r="M785" s="281"/>
      <c r="N785" s="281"/>
      <c r="O785" s="281"/>
      <c r="P785" s="281"/>
      <c r="Q785" s="281"/>
      <c r="R785" s="281">
        <f t="shared" si="935"/>
        <v>0</v>
      </c>
      <c r="S785" s="281">
        <v>920627571.64999998</v>
      </c>
      <c r="T785" s="281"/>
      <c r="U785" s="281"/>
      <c r="V785" s="281"/>
      <c r="W785" s="281"/>
      <c r="X785" s="281">
        <v>0</v>
      </c>
      <c r="Y785" s="281"/>
      <c r="Z785" s="281"/>
      <c r="AA785" s="281">
        <f t="shared" si="952"/>
        <v>920627571.64999998</v>
      </c>
      <c r="AB785" s="403">
        <f t="shared" si="840"/>
        <v>920627571.64999998</v>
      </c>
      <c r="AC785" s="326">
        <f t="shared" si="955"/>
        <v>1</v>
      </c>
    </row>
    <row r="786" spans="2:29" ht="38.25" x14ac:dyDescent="0.2">
      <c r="B786" s="323" t="s">
        <v>1742</v>
      </c>
      <c r="C786" s="206" t="s">
        <v>1743</v>
      </c>
      <c r="D786" s="281"/>
      <c r="E786" s="325">
        <f>SUM('ADICIONES  2021'!C786:N786)</f>
        <v>1022061153.3200001</v>
      </c>
      <c r="F786" s="281"/>
      <c r="G786" s="281"/>
      <c r="H786" s="281"/>
      <c r="I786" s="281"/>
      <c r="J786" s="281"/>
      <c r="K786" s="281">
        <f t="shared" si="835"/>
        <v>1022061153.3200001</v>
      </c>
      <c r="L786" s="281"/>
      <c r="M786" s="281"/>
      <c r="N786" s="281"/>
      <c r="O786" s="281"/>
      <c r="P786" s="281"/>
      <c r="Q786" s="281"/>
      <c r="R786" s="281">
        <f t="shared" si="935"/>
        <v>0</v>
      </c>
      <c r="S786" s="281">
        <v>388337148.67000002</v>
      </c>
      <c r="T786" s="281"/>
      <c r="U786" s="281"/>
      <c r="V786" s="281"/>
      <c r="W786" s="281"/>
      <c r="X786" s="281">
        <v>0</v>
      </c>
      <c r="Y786" s="281"/>
      <c r="Z786" s="281"/>
      <c r="AA786" s="281">
        <f t="shared" si="952"/>
        <v>388337148.67000002</v>
      </c>
      <c r="AB786" s="403">
        <f t="shared" si="840"/>
        <v>388337148.67000002</v>
      </c>
      <c r="AC786" s="326">
        <f t="shared" si="955"/>
        <v>0.37995490525058084</v>
      </c>
    </row>
    <row r="787" spans="2:29" ht="25.5" x14ac:dyDescent="0.2">
      <c r="B787" s="323" t="s">
        <v>1744</v>
      </c>
      <c r="C787" s="206" t="s">
        <v>1745</v>
      </c>
      <c r="D787" s="281"/>
      <c r="E787" s="325">
        <f>SUM('ADICIONES  2021'!C787:N787)</f>
        <v>383136341.55000001</v>
      </c>
      <c r="F787" s="281"/>
      <c r="G787" s="281"/>
      <c r="H787" s="281"/>
      <c r="I787" s="281"/>
      <c r="J787" s="281"/>
      <c r="K787" s="281">
        <f t="shared" si="835"/>
        <v>383136341.55000001</v>
      </c>
      <c r="L787" s="281"/>
      <c r="M787" s="281"/>
      <c r="N787" s="281"/>
      <c r="O787" s="281"/>
      <c r="P787" s="281"/>
      <c r="Q787" s="281"/>
      <c r="R787" s="281">
        <f t="shared" si="935"/>
        <v>0</v>
      </c>
      <c r="S787" s="281">
        <v>0</v>
      </c>
      <c r="T787" s="281"/>
      <c r="U787" s="281"/>
      <c r="V787" s="281"/>
      <c r="W787" s="281"/>
      <c r="X787" s="281">
        <v>383136341.55000001</v>
      </c>
      <c r="Y787" s="281"/>
      <c r="Z787" s="281"/>
      <c r="AA787" s="281">
        <f t="shared" si="952"/>
        <v>383136341.55000001</v>
      </c>
      <c r="AB787" s="403">
        <f t="shared" si="840"/>
        <v>383136341.55000001</v>
      </c>
      <c r="AC787" s="326">
        <f t="shared" si="955"/>
        <v>1</v>
      </c>
    </row>
    <row r="788" spans="2:29" ht="38.25" x14ac:dyDescent="0.2">
      <c r="B788" s="323" t="s">
        <v>1746</v>
      </c>
      <c r="C788" s="206" t="s">
        <v>1747</v>
      </c>
      <c r="D788" s="281"/>
      <c r="E788" s="325">
        <f>SUM('ADICIONES  2021'!C788:N788)</f>
        <v>300000000</v>
      </c>
      <c r="F788" s="281"/>
      <c r="G788" s="281"/>
      <c r="H788" s="281"/>
      <c r="I788" s="281"/>
      <c r="J788" s="281"/>
      <c r="K788" s="281">
        <f t="shared" si="835"/>
        <v>300000000</v>
      </c>
      <c r="L788" s="281"/>
      <c r="M788" s="281"/>
      <c r="N788" s="281"/>
      <c r="O788" s="281"/>
      <c r="P788" s="281"/>
      <c r="Q788" s="281"/>
      <c r="R788" s="281">
        <f t="shared" si="935"/>
        <v>0</v>
      </c>
      <c r="S788" s="281">
        <v>300000000</v>
      </c>
      <c r="T788" s="281"/>
      <c r="U788" s="281"/>
      <c r="V788" s="281"/>
      <c r="W788" s="281"/>
      <c r="X788" s="281">
        <v>0</v>
      </c>
      <c r="Y788" s="281"/>
      <c r="Z788" s="281"/>
      <c r="AA788" s="281">
        <f t="shared" si="952"/>
        <v>300000000</v>
      </c>
      <c r="AB788" s="403">
        <f t="shared" si="840"/>
        <v>300000000</v>
      </c>
      <c r="AC788" s="326">
        <f t="shared" si="955"/>
        <v>1</v>
      </c>
    </row>
    <row r="789" spans="2:29" ht="38.25" x14ac:dyDescent="0.2">
      <c r="B789" s="323" t="s">
        <v>1748</v>
      </c>
      <c r="C789" s="206" t="s">
        <v>1749</v>
      </c>
      <c r="D789" s="281"/>
      <c r="E789" s="325">
        <f>SUM('ADICIONES  2021'!C789:N789)</f>
        <v>848374298</v>
      </c>
      <c r="F789" s="281"/>
      <c r="G789" s="281"/>
      <c r="H789" s="281"/>
      <c r="I789" s="281"/>
      <c r="J789" s="281"/>
      <c r="K789" s="281">
        <f t="shared" si="835"/>
        <v>848374298</v>
      </c>
      <c r="L789" s="281"/>
      <c r="M789" s="281"/>
      <c r="N789" s="281"/>
      <c r="O789" s="281"/>
      <c r="P789" s="281"/>
      <c r="Q789" s="281"/>
      <c r="R789" s="281">
        <f t="shared" si="935"/>
        <v>0</v>
      </c>
      <c r="S789" s="281">
        <v>848374298</v>
      </c>
      <c r="T789" s="281"/>
      <c r="U789" s="281"/>
      <c r="V789" s="281"/>
      <c r="W789" s="281"/>
      <c r="X789" s="281">
        <v>0</v>
      </c>
      <c r="Y789" s="281"/>
      <c r="Z789" s="281"/>
      <c r="AA789" s="281">
        <f t="shared" si="952"/>
        <v>848374298</v>
      </c>
      <c r="AB789" s="403">
        <f t="shared" si="840"/>
        <v>848374298</v>
      </c>
      <c r="AC789" s="326">
        <f t="shared" si="955"/>
        <v>1</v>
      </c>
    </row>
    <row r="790" spans="2:29" ht="38.25" x14ac:dyDescent="0.2">
      <c r="B790" s="323" t="s">
        <v>1750</v>
      </c>
      <c r="C790" s="206" t="s">
        <v>1751</v>
      </c>
      <c r="D790" s="281"/>
      <c r="E790" s="325">
        <f>SUM('ADICIONES  2021'!C790:N790)</f>
        <v>1062972259.02</v>
      </c>
      <c r="F790" s="281"/>
      <c r="G790" s="281"/>
      <c r="H790" s="281"/>
      <c r="I790" s="281"/>
      <c r="J790" s="281"/>
      <c r="K790" s="281">
        <f t="shared" si="835"/>
        <v>1062972259.02</v>
      </c>
      <c r="L790" s="281"/>
      <c r="M790" s="281"/>
      <c r="N790" s="281"/>
      <c r="O790" s="281"/>
      <c r="P790" s="281"/>
      <c r="Q790" s="281"/>
      <c r="R790" s="281">
        <f t="shared" si="935"/>
        <v>0</v>
      </c>
      <c r="S790" s="281">
        <v>1062972259.02</v>
      </c>
      <c r="T790" s="281"/>
      <c r="U790" s="281"/>
      <c r="V790" s="281"/>
      <c r="W790" s="281"/>
      <c r="X790" s="281">
        <v>0</v>
      </c>
      <c r="Y790" s="281"/>
      <c r="Z790" s="281"/>
      <c r="AA790" s="281">
        <f t="shared" si="952"/>
        <v>1062972259.02</v>
      </c>
      <c r="AB790" s="403">
        <f t="shared" si="840"/>
        <v>1062972259.02</v>
      </c>
      <c r="AC790" s="326">
        <f t="shared" si="955"/>
        <v>1</v>
      </c>
    </row>
    <row r="791" spans="2:29" ht="38.25" x14ac:dyDescent="0.2">
      <c r="B791" s="323" t="s">
        <v>1752</v>
      </c>
      <c r="C791" s="206" t="s">
        <v>1753</v>
      </c>
      <c r="D791" s="281"/>
      <c r="E791" s="325">
        <f>SUM('ADICIONES  2021'!C791:N791)</f>
        <v>3983440755.0700002</v>
      </c>
      <c r="F791" s="281"/>
      <c r="G791" s="281"/>
      <c r="H791" s="281"/>
      <c r="I791" s="281"/>
      <c r="J791" s="281"/>
      <c r="K791" s="281">
        <f t="shared" si="835"/>
        <v>3983440755.0700002</v>
      </c>
      <c r="L791" s="281"/>
      <c r="M791" s="281"/>
      <c r="N791" s="281"/>
      <c r="O791" s="281"/>
      <c r="P791" s="281"/>
      <c r="Q791" s="281"/>
      <c r="R791" s="281">
        <f t="shared" si="935"/>
        <v>0</v>
      </c>
      <c r="S791" s="281">
        <v>3983440755.0700002</v>
      </c>
      <c r="T791" s="281"/>
      <c r="U791" s="281"/>
      <c r="V791" s="281"/>
      <c r="W791" s="281"/>
      <c r="X791" s="281">
        <v>0</v>
      </c>
      <c r="Y791" s="281"/>
      <c r="Z791" s="281"/>
      <c r="AA791" s="281">
        <f t="shared" si="952"/>
        <v>3983440755.0700002</v>
      </c>
      <c r="AB791" s="403">
        <f t="shared" si="840"/>
        <v>3983440755.0700002</v>
      </c>
      <c r="AC791" s="326">
        <f t="shared" si="955"/>
        <v>1</v>
      </c>
    </row>
    <row r="792" spans="2:29" ht="38.25" x14ac:dyDescent="0.2">
      <c r="B792" s="323" t="s">
        <v>1754</v>
      </c>
      <c r="C792" s="206" t="s">
        <v>1755</v>
      </c>
      <c r="D792" s="281"/>
      <c r="E792" s="325">
        <f>SUM('ADICIONES  2021'!C792:N792)</f>
        <v>3146700090.6999998</v>
      </c>
      <c r="F792" s="281"/>
      <c r="G792" s="281"/>
      <c r="H792" s="281"/>
      <c r="I792" s="281"/>
      <c r="J792" s="281"/>
      <c r="K792" s="281">
        <f t="shared" si="835"/>
        <v>3146700090.6999998</v>
      </c>
      <c r="L792" s="281"/>
      <c r="M792" s="281"/>
      <c r="N792" s="281"/>
      <c r="O792" s="281"/>
      <c r="P792" s="281"/>
      <c r="Q792" s="281"/>
      <c r="R792" s="281">
        <f t="shared" si="935"/>
        <v>0</v>
      </c>
      <c r="S792" s="281">
        <v>3146700090.6999998</v>
      </c>
      <c r="T792" s="281"/>
      <c r="U792" s="281"/>
      <c r="V792" s="281"/>
      <c r="W792" s="281"/>
      <c r="X792" s="281">
        <v>0</v>
      </c>
      <c r="Y792" s="281"/>
      <c r="Z792" s="281"/>
      <c r="AA792" s="281">
        <f t="shared" si="952"/>
        <v>3146700090.6999998</v>
      </c>
      <c r="AB792" s="403">
        <f t="shared" si="840"/>
        <v>3146700090.6999998</v>
      </c>
      <c r="AC792" s="326">
        <f t="shared" si="955"/>
        <v>1</v>
      </c>
    </row>
    <row r="793" spans="2:29" ht="38.25" x14ac:dyDescent="0.2">
      <c r="B793" s="323" t="s">
        <v>1756</v>
      </c>
      <c r="C793" s="206" t="s">
        <v>1757</v>
      </c>
      <c r="D793" s="281"/>
      <c r="E793" s="325">
        <f>SUM('ADICIONES  2021'!C793:N793)</f>
        <v>2369302779</v>
      </c>
      <c r="F793" s="281"/>
      <c r="G793" s="281"/>
      <c r="H793" s="281"/>
      <c r="I793" s="281"/>
      <c r="J793" s="281"/>
      <c r="K793" s="281">
        <f t="shared" si="835"/>
        <v>2369302779</v>
      </c>
      <c r="L793" s="281"/>
      <c r="M793" s="281"/>
      <c r="N793" s="281"/>
      <c r="O793" s="281"/>
      <c r="P793" s="281"/>
      <c r="Q793" s="281"/>
      <c r="R793" s="281">
        <f t="shared" si="935"/>
        <v>0</v>
      </c>
      <c r="S793" s="281">
        <v>2369302779</v>
      </c>
      <c r="T793" s="281"/>
      <c r="U793" s="281"/>
      <c r="V793" s="281"/>
      <c r="W793" s="281"/>
      <c r="X793" s="281">
        <v>0</v>
      </c>
      <c r="Y793" s="281"/>
      <c r="Z793" s="281"/>
      <c r="AA793" s="281">
        <f t="shared" si="952"/>
        <v>2369302779</v>
      </c>
      <c r="AB793" s="403">
        <f t="shared" si="840"/>
        <v>2369302779</v>
      </c>
      <c r="AC793" s="326">
        <f t="shared" si="955"/>
        <v>1</v>
      </c>
    </row>
    <row r="794" spans="2:29" ht="38.25" x14ac:dyDescent="0.2">
      <c r="B794" s="323" t="s">
        <v>1758</v>
      </c>
      <c r="C794" s="206" t="s">
        <v>1759</v>
      </c>
      <c r="D794" s="281"/>
      <c r="E794" s="325">
        <f>SUM('ADICIONES  2021'!C794:N794)</f>
        <v>576779027.73000002</v>
      </c>
      <c r="F794" s="281"/>
      <c r="G794" s="281"/>
      <c r="H794" s="281"/>
      <c r="I794" s="281"/>
      <c r="J794" s="281"/>
      <c r="K794" s="281">
        <f t="shared" si="835"/>
        <v>576779027.73000002</v>
      </c>
      <c r="L794" s="281"/>
      <c r="M794" s="281"/>
      <c r="N794" s="281"/>
      <c r="O794" s="281"/>
      <c r="P794" s="281"/>
      <c r="Q794" s="281"/>
      <c r="R794" s="281">
        <f t="shared" si="935"/>
        <v>0</v>
      </c>
      <c r="S794" s="281">
        <v>576779027.73000002</v>
      </c>
      <c r="T794" s="281"/>
      <c r="U794" s="281"/>
      <c r="V794" s="281"/>
      <c r="W794" s="281"/>
      <c r="X794" s="281">
        <v>0</v>
      </c>
      <c r="Y794" s="281"/>
      <c r="Z794" s="281"/>
      <c r="AA794" s="281">
        <f t="shared" si="952"/>
        <v>576779027.73000002</v>
      </c>
      <c r="AB794" s="403">
        <f t="shared" si="840"/>
        <v>576779027.73000002</v>
      </c>
      <c r="AC794" s="326">
        <f t="shared" si="955"/>
        <v>1</v>
      </c>
    </row>
    <row r="795" spans="2:29" ht="38.25" x14ac:dyDescent="0.2">
      <c r="B795" s="323" t="s">
        <v>1760</v>
      </c>
      <c r="C795" s="206" t="s">
        <v>1761</v>
      </c>
      <c r="D795" s="281"/>
      <c r="E795" s="325">
        <f>SUM('ADICIONES  2021'!C795:N795)</f>
        <v>108000000</v>
      </c>
      <c r="F795" s="281"/>
      <c r="G795" s="281"/>
      <c r="H795" s="281"/>
      <c r="I795" s="281"/>
      <c r="J795" s="281"/>
      <c r="K795" s="281">
        <f t="shared" si="835"/>
        <v>108000000</v>
      </c>
      <c r="L795" s="281"/>
      <c r="M795" s="281"/>
      <c r="N795" s="281"/>
      <c r="O795" s="281"/>
      <c r="P795" s="281"/>
      <c r="Q795" s="281"/>
      <c r="R795" s="281">
        <f t="shared" si="935"/>
        <v>0</v>
      </c>
      <c r="S795" s="281">
        <v>108000000</v>
      </c>
      <c r="T795" s="281"/>
      <c r="U795" s="281"/>
      <c r="V795" s="281"/>
      <c r="W795" s="281"/>
      <c r="X795" s="281">
        <v>0</v>
      </c>
      <c r="Y795" s="281"/>
      <c r="Z795" s="281"/>
      <c r="AA795" s="281">
        <f t="shared" si="952"/>
        <v>108000000</v>
      </c>
      <c r="AB795" s="403">
        <f t="shared" si="840"/>
        <v>108000000</v>
      </c>
      <c r="AC795" s="326">
        <f t="shared" si="955"/>
        <v>1</v>
      </c>
    </row>
    <row r="796" spans="2:29" ht="38.25" x14ac:dyDescent="0.2">
      <c r="B796" s="323" t="s">
        <v>1762</v>
      </c>
      <c r="C796" s="206" t="s">
        <v>1763</v>
      </c>
      <c r="D796" s="281"/>
      <c r="E796" s="325">
        <f>SUM('ADICIONES  2021'!C796:N796)</f>
        <v>896854534.5</v>
      </c>
      <c r="F796" s="281"/>
      <c r="G796" s="281"/>
      <c r="H796" s="281"/>
      <c r="I796" s="281"/>
      <c r="J796" s="281"/>
      <c r="K796" s="281">
        <f t="shared" si="835"/>
        <v>896854534.5</v>
      </c>
      <c r="L796" s="281"/>
      <c r="M796" s="281"/>
      <c r="N796" s="281"/>
      <c r="O796" s="281"/>
      <c r="P796" s="281"/>
      <c r="Q796" s="281"/>
      <c r="R796" s="281">
        <f t="shared" si="935"/>
        <v>0</v>
      </c>
      <c r="S796" s="281">
        <v>896854534.5</v>
      </c>
      <c r="T796" s="281"/>
      <c r="U796" s="281"/>
      <c r="V796" s="281"/>
      <c r="W796" s="281"/>
      <c r="X796" s="281">
        <v>0</v>
      </c>
      <c r="Y796" s="281"/>
      <c r="Z796" s="281"/>
      <c r="AA796" s="281">
        <f t="shared" si="952"/>
        <v>896854534.5</v>
      </c>
      <c r="AB796" s="403">
        <f t="shared" si="840"/>
        <v>896854534.5</v>
      </c>
      <c r="AC796" s="326">
        <f t="shared" si="955"/>
        <v>1</v>
      </c>
    </row>
    <row r="797" spans="2:29" ht="38.25" x14ac:dyDescent="0.2">
      <c r="B797" s="323" t="s">
        <v>1764</v>
      </c>
      <c r="C797" s="206" t="s">
        <v>1765</v>
      </c>
      <c r="D797" s="281"/>
      <c r="E797" s="325">
        <f>SUM('ADICIONES  2021'!C797:N797)</f>
        <v>3884758760.5799999</v>
      </c>
      <c r="F797" s="281"/>
      <c r="G797" s="281"/>
      <c r="H797" s="281"/>
      <c r="I797" s="281"/>
      <c r="J797" s="281"/>
      <c r="K797" s="281">
        <f t="shared" si="835"/>
        <v>3884758760.5799999</v>
      </c>
      <c r="L797" s="281"/>
      <c r="M797" s="281"/>
      <c r="N797" s="281"/>
      <c r="O797" s="281"/>
      <c r="P797" s="281"/>
      <c r="Q797" s="281"/>
      <c r="R797" s="281">
        <f t="shared" si="935"/>
        <v>0</v>
      </c>
      <c r="S797" s="281">
        <v>3884758760.5799999</v>
      </c>
      <c r="T797" s="281"/>
      <c r="U797" s="281"/>
      <c r="V797" s="281"/>
      <c r="W797" s="281"/>
      <c r="X797" s="281">
        <v>0</v>
      </c>
      <c r="Y797" s="281"/>
      <c r="Z797" s="281"/>
      <c r="AA797" s="281">
        <f t="shared" si="952"/>
        <v>3884758760.5799999</v>
      </c>
      <c r="AB797" s="403">
        <f t="shared" si="840"/>
        <v>3884758760.5799999</v>
      </c>
      <c r="AC797" s="326">
        <f t="shared" si="955"/>
        <v>1</v>
      </c>
    </row>
    <row r="798" spans="2:29" ht="38.25" x14ac:dyDescent="0.2">
      <c r="B798" s="323" t="s">
        <v>1766</v>
      </c>
      <c r="C798" s="206" t="s">
        <v>1767</v>
      </c>
      <c r="D798" s="281"/>
      <c r="E798" s="325">
        <f>SUM('ADICIONES  2021'!C798:N798)</f>
        <v>386354618.76999998</v>
      </c>
      <c r="F798" s="281"/>
      <c r="G798" s="281"/>
      <c r="H798" s="281"/>
      <c r="I798" s="281"/>
      <c r="J798" s="281"/>
      <c r="K798" s="281">
        <f t="shared" si="835"/>
        <v>386354618.76999998</v>
      </c>
      <c r="L798" s="281"/>
      <c r="M798" s="281"/>
      <c r="N798" s="281"/>
      <c r="O798" s="281"/>
      <c r="P798" s="281"/>
      <c r="Q798" s="281"/>
      <c r="R798" s="281">
        <f t="shared" si="935"/>
        <v>0</v>
      </c>
      <c r="S798" s="281">
        <v>386354618.76999998</v>
      </c>
      <c r="T798" s="281"/>
      <c r="U798" s="281"/>
      <c r="V798" s="281"/>
      <c r="W798" s="281"/>
      <c r="X798" s="281">
        <v>0</v>
      </c>
      <c r="Y798" s="281"/>
      <c r="Z798" s="281"/>
      <c r="AA798" s="281">
        <f t="shared" si="952"/>
        <v>386354618.76999998</v>
      </c>
      <c r="AB798" s="403">
        <f t="shared" si="840"/>
        <v>386354618.76999998</v>
      </c>
      <c r="AC798" s="326">
        <f t="shared" si="955"/>
        <v>1</v>
      </c>
    </row>
    <row r="799" spans="2:29" ht="38.25" x14ac:dyDescent="0.2">
      <c r="B799" s="323" t="s">
        <v>1768</v>
      </c>
      <c r="C799" s="206" t="s">
        <v>1769</v>
      </c>
      <c r="D799" s="281"/>
      <c r="E799" s="325">
        <f>SUM('ADICIONES  2021'!C799:N799)</f>
        <v>2626193816.73</v>
      </c>
      <c r="F799" s="281"/>
      <c r="G799" s="281"/>
      <c r="H799" s="281"/>
      <c r="I799" s="281"/>
      <c r="J799" s="281"/>
      <c r="K799" s="281">
        <f t="shared" si="835"/>
        <v>2626193816.73</v>
      </c>
      <c r="L799" s="281"/>
      <c r="M799" s="281"/>
      <c r="N799" s="281"/>
      <c r="O799" s="281"/>
      <c r="P799" s="281"/>
      <c r="Q799" s="281"/>
      <c r="R799" s="281">
        <f t="shared" si="935"/>
        <v>0</v>
      </c>
      <c r="S799" s="281">
        <v>2626193816.73</v>
      </c>
      <c r="T799" s="281"/>
      <c r="U799" s="281"/>
      <c r="V799" s="281"/>
      <c r="W799" s="281"/>
      <c r="X799" s="281">
        <v>0</v>
      </c>
      <c r="Y799" s="281"/>
      <c r="Z799" s="281"/>
      <c r="AA799" s="281">
        <f t="shared" si="952"/>
        <v>2626193816.73</v>
      </c>
      <c r="AB799" s="403">
        <f t="shared" si="840"/>
        <v>2626193816.73</v>
      </c>
      <c r="AC799" s="326">
        <f t="shared" si="955"/>
        <v>1</v>
      </c>
    </row>
    <row r="800" spans="2:29" ht="38.25" x14ac:dyDescent="0.2">
      <c r="B800" s="323" t="s">
        <v>1770</v>
      </c>
      <c r="C800" s="206" t="s">
        <v>1771</v>
      </c>
      <c r="D800" s="281"/>
      <c r="E800" s="325">
        <f>SUM('ADICIONES  2021'!C800:N800)</f>
        <v>60263011.100000001</v>
      </c>
      <c r="F800" s="281"/>
      <c r="G800" s="281"/>
      <c r="H800" s="281"/>
      <c r="I800" s="281"/>
      <c r="J800" s="281"/>
      <c r="K800" s="281">
        <f t="shared" si="835"/>
        <v>60263011.100000001</v>
      </c>
      <c r="L800" s="281"/>
      <c r="M800" s="281"/>
      <c r="N800" s="281"/>
      <c r="O800" s="281"/>
      <c r="P800" s="281"/>
      <c r="Q800" s="281"/>
      <c r="R800" s="281">
        <f t="shared" si="935"/>
        <v>0</v>
      </c>
      <c r="S800" s="281">
        <v>60263011.100000001</v>
      </c>
      <c r="T800" s="281"/>
      <c r="U800" s="281"/>
      <c r="V800" s="281"/>
      <c r="W800" s="281"/>
      <c r="X800" s="281">
        <v>0</v>
      </c>
      <c r="Y800" s="281"/>
      <c r="Z800" s="281"/>
      <c r="AA800" s="281">
        <f t="shared" si="952"/>
        <v>60263011.100000001</v>
      </c>
      <c r="AB800" s="403">
        <f t="shared" si="840"/>
        <v>60263011.100000001</v>
      </c>
      <c r="AC800" s="326">
        <f t="shared" si="955"/>
        <v>1</v>
      </c>
    </row>
    <row r="801" spans="2:29" ht="38.25" x14ac:dyDescent="0.2">
      <c r="B801" s="323" t="s">
        <v>1772</v>
      </c>
      <c r="C801" s="206" t="s">
        <v>1773</v>
      </c>
      <c r="D801" s="281"/>
      <c r="E801" s="325">
        <f>SUM('ADICIONES  2021'!C801:N801)</f>
        <v>454531370</v>
      </c>
      <c r="F801" s="281"/>
      <c r="G801" s="281"/>
      <c r="H801" s="281"/>
      <c r="I801" s="281"/>
      <c r="J801" s="281"/>
      <c r="K801" s="281">
        <f t="shared" si="835"/>
        <v>454531370</v>
      </c>
      <c r="L801" s="281"/>
      <c r="M801" s="281"/>
      <c r="N801" s="281"/>
      <c r="O801" s="281"/>
      <c r="P801" s="281"/>
      <c r="Q801" s="281"/>
      <c r="R801" s="281">
        <f t="shared" si="935"/>
        <v>0</v>
      </c>
      <c r="S801" s="281">
        <v>454531370</v>
      </c>
      <c r="T801" s="281"/>
      <c r="U801" s="281"/>
      <c r="V801" s="281"/>
      <c r="W801" s="281"/>
      <c r="X801" s="281">
        <v>0</v>
      </c>
      <c r="Y801" s="281"/>
      <c r="Z801" s="281"/>
      <c r="AA801" s="281">
        <f t="shared" si="952"/>
        <v>454531370</v>
      </c>
      <c r="AB801" s="403">
        <f t="shared" si="840"/>
        <v>454531370</v>
      </c>
      <c r="AC801" s="326">
        <f t="shared" si="955"/>
        <v>1</v>
      </c>
    </row>
    <row r="802" spans="2:29" ht="38.25" x14ac:dyDescent="0.2">
      <c r="B802" s="323" t="s">
        <v>1774</v>
      </c>
      <c r="C802" s="206" t="s">
        <v>1775</v>
      </c>
      <c r="D802" s="281"/>
      <c r="E802" s="325">
        <f>SUM('ADICIONES  2021'!C802:N802)</f>
        <v>881070078.24000001</v>
      </c>
      <c r="F802" s="281"/>
      <c r="G802" s="281"/>
      <c r="H802" s="281"/>
      <c r="I802" s="281"/>
      <c r="J802" s="281"/>
      <c r="K802" s="281">
        <f t="shared" si="835"/>
        <v>881070078.24000001</v>
      </c>
      <c r="L802" s="281"/>
      <c r="M802" s="281"/>
      <c r="N802" s="281"/>
      <c r="O802" s="281"/>
      <c r="P802" s="281"/>
      <c r="Q802" s="281"/>
      <c r="R802" s="281">
        <f t="shared" si="935"/>
        <v>0</v>
      </c>
      <c r="S802" s="281">
        <v>881070078.24000001</v>
      </c>
      <c r="T802" s="281"/>
      <c r="U802" s="281"/>
      <c r="V802" s="281"/>
      <c r="W802" s="281"/>
      <c r="X802" s="281">
        <v>0</v>
      </c>
      <c r="Y802" s="281"/>
      <c r="Z802" s="281"/>
      <c r="AA802" s="281">
        <f t="shared" si="952"/>
        <v>881070078.24000001</v>
      </c>
      <c r="AB802" s="403">
        <f t="shared" si="840"/>
        <v>881070078.24000001</v>
      </c>
      <c r="AC802" s="326">
        <f t="shared" si="955"/>
        <v>1</v>
      </c>
    </row>
    <row r="803" spans="2:29" ht="38.25" x14ac:dyDescent="0.2">
      <c r="B803" s="323" t="s">
        <v>1776</v>
      </c>
      <c r="C803" s="206" t="s">
        <v>1777</v>
      </c>
      <c r="D803" s="281"/>
      <c r="E803" s="325">
        <f>SUM('ADICIONES  2021'!C803:N803)</f>
        <v>361244499.5</v>
      </c>
      <c r="F803" s="281"/>
      <c r="G803" s="281"/>
      <c r="H803" s="281"/>
      <c r="I803" s="281"/>
      <c r="J803" s="281"/>
      <c r="K803" s="281">
        <f t="shared" si="835"/>
        <v>361244499.5</v>
      </c>
      <c r="L803" s="281"/>
      <c r="M803" s="281"/>
      <c r="N803" s="281"/>
      <c r="O803" s="281"/>
      <c r="P803" s="281"/>
      <c r="Q803" s="281"/>
      <c r="R803" s="281">
        <f t="shared" si="935"/>
        <v>0</v>
      </c>
      <c r="S803" s="281">
        <v>361244499.5</v>
      </c>
      <c r="T803" s="281"/>
      <c r="U803" s="281"/>
      <c r="V803" s="281"/>
      <c r="W803" s="281"/>
      <c r="X803" s="281">
        <v>0</v>
      </c>
      <c r="Y803" s="281"/>
      <c r="Z803" s="281"/>
      <c r="AA803" s="281">
        <f t="shared" si="952"/>
        <v>361244499.5</v>
      </c>
      <c r="AB803" s="403">
        <f t="shared" si="840"/>
        <v>361244499.5</v>
      </c>
      <c r="AC803" s="326">
        <f t="shared" si="955"/>
        <v>1</v>
      </c>
    </row>
    <row r="804" spans="2:29" ht="38.25" x14ac:dyDescent="0.2">
      <c r="B804" s="323" t="s">
        <v>1778</v>
      </c>
      <c r="C804" s="206" t="s">
        <v>1779</v>
      </c>
      <c r="D804" s="281"/>
      <c r="E804" s="325">
        <f>SUM('ADICIONES  2021'!C804:N804)</f>
        <v>245208094.47999999</v>
      </c>
      <c r="F804" s="281"/>
      <c r="G804" s="281"/>
      <c r="H804" s="281"/>
      <c r="I804" s="281"/>
      <c r="J804" s="281"/>
      <c r="K804" s="281">
        <f t="shared" si="835"/>
        <v>245208094.47999999</v>
      </c>
      <c r="L804" s="281"/>
      <c r="M804" s="281"/>
      <c r="N804" s="281"/>
      <c r="O804" s="281"/>
      <c r="P804" s="281"/>
      <c r="Q804" s="281"/>
      <c r="R804" s="281">
        <f t="shared" si="935"/>
        <v>0</v>
      </c>
      <c r="S804" s="281">
        <v>245208094.47999999</v>
      </c>
      <c r="T804" s="281"/>
      <c r="U804" s="281"/>
      <c r="V804" s="281"/>
      <c r="W804" s="281"/>
      <c r="X804" s="281">
        <v>0</v>
      </c>
      <c r="Y804" s="281"/>
      <c r="Z804" s="281"/>
      <c r="AA804" s="281">
        <f t="shared" si="952"/>
        <v>245208094.47999999</v>
      </c>
      <c r="AB804" s="403">
        <f t="shared" si="840"/>
        <v>245208094.47999999</v>
      </c>
      <c r="AC804" s="326">
        <f t="shared" si="955"/>
        <v>1</v>
      </c>
    </row>
    <row r="805" spans="2:29" ht="38.25" x14ac:dyDescent="0.2">
      <c r="B805" s="323" t="s">
        <v>1780</v>
      </c>
      <c r="C805" s="206" t="s">
        <v>1781</v>
      </c>
      <c r="D805" s="281"/>
      <c r="E805" s="325">
        <f>SUM('ADICIONES  2021'!C805:N805)</f>
        <v>126838929.55</v>
      </c>
      <c r="F805" s="281"/>
      <c r="G805" s="281"/>
      <c r="H805" s="281"/>
      <c r="I805" s="281"/>
      <c r="J805" s="281"/>
      <c r="K805" s="281">
        <f t="shared" si="835"/>
        <v>126838929.55</v>
      </c>
      <c r="L805" s="281"/>
      <c r="M805" s="281"/>
      <c r="N805" s="281"/>
      <c r="O805" s="281"/>
      <c r="P805" s="281"/>
      <c r="Q805" s="281"/>
      <c r="R805" s="281">
        <f t="shared" si="935"/>
        <v>0</v>
      </c>
      <c r="S805" s="281">
        <v>126838929.55</v>
      </c>
      <c r="T805" s="281"/>
      <c r="U805" s="281"/>
      <c r="V805" s="281"/>
      <c r="W805" s="281"/>
      <c r="X805" s="281">
        <v>0</v>
      </c>
      <c r="Y805" s="281"/>
      <c r="Z805" s="281"/>
      <c r="AA805" s="281">
        <f t="shared" si="952"/>
        <v>126838929.55</v>
      </c>
      <c r="AB805" s="403">
        <f t="shared" si="840"/>
        <v>126838929.55</v>
      </c>
      <c r="AC805" s="326">
        <f t="shared" si="955"/>
        <v>1</v>
      </c>
    </row>
    <row r="806" spans="2:29" ht="38.25" x14ac:dyDescent="0.2">
      <c r="B806" s="323" t="s">
        <v>1782</v>
      </c>
      <c r="C806" s="206" t="s">
        <v>1783</v>
      </c>
      <c r="D806" s="281"/>
      <c r="E806" s="325">
        <f>SUM('ADICIONES  2021'!C806:N806)</f>
        <v>1654927335.5699999</v>
      </c>
      <c r="F806" s="281"/>
      <c r="G806" s="281"/>
      <c r="H806" s="281"/>
      <c r="I806" s="281"/>
      <c r="J806" s="281"/>
      <c r="K806" s="281">
        <f t="shared" si="835"/>
        <v>1654927335.5699999</v>
      </c>
      <c r="L806" s="281"/>
      <c r="M806" s="281"/>
      <c r="N806" s="281"/>
      <c r="O806" s="281"/>
      <c r="P806" s="281"/>
      <c r="Q806" s="281"/>
      <c r="R806" s="281">
        <f t="shared" si="935"/>
        <v>0</v>
      </c>
      <c r="S806" s="281">
        <v>1654927335.5699999</v>
      </c>
      <c r="T806" s="281"/>
      <c r="U806" s="281"/>
      <c r="V806" s="281"/>
      <c r="W806" s="281"/>
      <c r="X806" s="281">
        <v>0</v>
      </c>
      <c r="Y806" s="281"/>
      <c r="Z806" s="281"/>
      <c r="AA806" s="281">
        <f t="shared" si="952"/>
        <v>1654927335.5699999</v>
      </c>
      <c r="AB806" s="403">
        <f t="shared" si="840"/>
        <v>1654927335.5699999</v>
      </c>
      <c r="AC806" s="326">
        <f t="shared" si="955"/>
        <v>1</v>
      </c>
    </row>
    <row r="807" spans="2:29" ht="38.25" x14ac:dyDescent="0.2">
      <c r="B807" s="323" t="s">
        <v>1784</v>
      </c>
      <c r="C807" s="206" t="s">
        <v>1785</v>
      </c>
      <c r="D807" s="281"/>
      <c r="E807" s="325">
        <f>SUM('ADICIONES  2021'!C807:N807)</f>
        <v>836739879.01999998</v>
      </c>
      <c r="F807" s="281"/>
      <c r="G807" s="281"/>
      <c r="H807" s="281"/>
      <c r="I807" s="281"/>
      <c r="J807" s="281"/>
      <c r="K807" s="281">
        <f t="shared" si="835"/>
        <v>836739879.01999998</v>
      </c>
      <c r="L807" s="281"/>
      <c r="M807" s="281"/>
      <c r="N807" s="281"/>
      <c r="O807" s="281"/>
      <c r="P807" s="281"/>
      <c r="Q807" s="281"/>
      <c r="R807" s="281">
        <f t="shared" si="935"/>
        <v>0</v>
      </c>
      <c r="S807" s="281">
        <v>836739879.01999998</v>
      </c>
      <c r="T807" s="281"/>
      <c r="U807" s="281"/>
      <c r="V807" s="281"/>
      <c r="W807" s="281"/>
      <c r="X807" s="281">
        <v>0</v>
      </c>
      <c r="Y807" s="281"/>
      <c r="Z807" s="281"/>
      <c r="AA807" s="281">
        <f t="shared" si="952"/>
        <v>836739879.01999998</v>
      </c>
      <c r="AB807" s="403">
        <f t="shared" si="840"/>
        <v>836739879.01999998</v>
      </c>
      <c r="AC807" s="326">
        <f t="shared" si="955"/>
        <v>1</v>
      </c>
    </row>
    <row r="808" spans="2:29" ht="25.5" x14ac:dyDescent="0.2">
      <c r="B808" s="323" t="s">
        <v>1786</v>
      </c>
      <c r="C808" s="206" t="s">
        <v>1787</v>
      </c>
      <c r="D808" s="281"/>
      <c r="E808" s="325">
        <f>SUM('ADICIONES  2021'!C808:N808)</f>
        <v>756285670.79999995</v>
      </c>
      <c r="F808" s="281"/>
      <c r="G808" s="281"/>
      <c r="H808" s="281"/>
      <c r="I808" s="281"/>
      <c r="J808" s="281"/>
      <c r="K808" s="281">
        <f t="shared" si="835"/>
        <v>756285670.79999995</v>
      </c>
      <c r="L808" s="281"/>
      <c r="M808" s="281"/>
      <c r="N808" s="281"/>
      <c r="O808" s="281"/>
      <c r="P808" s="281"/>
      <c r="Q808" s="281"/>
      <c r="R808" s="281">
        <f t="shared" si="935"/>
        <v>0</v>
      </c>
      <c r="S808" s="281">
        <v>756285670.79999995</v>
      </c>
      <c r="T808" s="281"/>
      <c r="U808" s="281"/>
      <c r="V808" s="281"/>
      <c r="W808" s="281"/>
      <c r="X808" s="281">
        <v>0</v>
      </c>
      <c r="Y808" s="281"/>
      <c r="Z808" s="281"/>
      <c r="AA808" s="281">
        <f t="shared" si="952"/>
        <v>756285670.79999995</v>
      </c>
      <c r="AB808" s="403">
        <f t="shared" si="840"/>
        <v>756285670.79999995</v>
      </c>
      <c r="AC808" s="326">
        <f t="shared" si="955"/>
        <v>1</v>
      </c>
    </row>
    <row r="809" spans="2:29" ht="38.25" x14ac:dyDescent="0.2">
      <c r="B809" s="323" t="s">
        <v>1788</v>
      </c>
      <c r="C809" s="206" t="s">
        <v>1789</v>
      </c>
      <c r="D809" s="281"/>
      <c r="E809" s="325">
        <f>SUM('ADICIONES  2021'!C809:N809)</f>
        <v>15000000000</v>
      </c>
      <c r="F809" s="281"/>
      <c r="G809" s="281"/>
      <c r="H809" s="281"/>
      <c r="I809" s="281"/>
      <c r="J809" s="281"/>
      <c r="K809" s="281">
        <f t="shared" si="835"/>
        <v>15000000000</v>
      </c>
      <c r="L809" s="281"/>
      <c r="M809" s="281"/>
      <c r="N809" s="281"/>
      <c r="O809" s="281"/>
      <c r="P809" s="281"/>
      <c r="Q809" s="281"/>
      <c r="R809" s="281">
        <f t="shared" si="935"/>
        <v>0</v>
      </c>
      <c r="S809" s="281">
        <v>0</v>
      </c>
      <c r="T809" s="281"/>
      <c r="U809" s="281"/>
      <c r="V809" s="281"/>
      <c r="W809" s="281"/>
      <c r="X809" s="281">
        <v>15000000000</v>
      </c>
      <c r="Y809" s="281"/>
      <c r="Z809" s="281"/>
      <c r="AA809" s="281">
        <f t="shared" si="952"/>
        <v>15000000000</v>
      </c>
      <c r="AB809" s="403">
        <f t="shared" si="840"/>
        <v>15000000000</v>
      </c>
      <c r="AC809" s="326">
        <f t="shared" si="955"/>
        <v>1</v>
      </c>
    </row>
    <row r="810" spans="2:29" ht="25.5" x14ac:dyDescent="0.2">
      <c r="B810" s="323" t="s">
        <v>1790</v>
      </c>
      <c r="C810" s="206" t="s">
        <v>1791</v>
      </c>
      <c r="D810" s="281"/>
      <c r="E810" s="325">
        <f>SUM('ADICIONES  2021'!C810:N810)</f>
        <v>999896762</v>
      </c>
      <c r="F810" s="281"/>
      <c r="G810" s="281"/>
      <c r="H810" s="281"/>
      <c r="I810" s="281"/>
      <c r="J810" s="281"/>
      <c r="K810" s="281">
        <f t="shared" si="835"/>
        <v>999896762</v>
      </c>
      <c r="L810" s="281"/>
      <c r="M810" s="281"/>
      <c r="N810" s="281"/>
      <c r="O810" s="281"/>
      <c r="P810" s="281"/>
      <c r="Q810" s="281"/>
      <c r="R810" s="281">
        <f t="shared" si="935"/>
        <v>0</v>
      </c>
      <c r="S810" s="281">
        <v>0</v>
      </c>
      <c r="T810" s="281"/>
      <c r="U810" s="281"/>
      <c r="V810" s="281"/>
      <c r="W810" s="281"/>
      <c r="X810" s="281">
        <v>0</v>
      </c>
      <c r="Y810" s="281"/>
      <c r="Z810" s="281"/>
      <c r="AA810" s="281">
        <f t="shared" si="952"/>
        <v>0</v>
      </c>
      <c r="AB810" s="403">
        <f t="shared" si="840"/>
        <v>0</v>
      </c>
      <c r="AC810" s="326">
        <f t="shared" si="955"/>
        <v>0</v>
      </c>
    </row>
    <row r="811" spans="2:29" ht="51" x14ac:dyDescent="0.2">
      <c r="B811" s="323" t="s">
        <v>1792</v>
      </c>
      <c r="C811" s="206" t="s">
        <v>1793</v>
      </c>
      <c r="D811" s="281"/>
      <c r="E811" s="325">
        <f>SUM('ADICIONES  2021'!C811:N811)</f>
        <v>324093620.44999999</v>
      </c>
      <c r="F811" s="281"/>
      <c r="G811" s="281"/>
      <c r="H811" s="281"/>
      <c r="I811" s="281"/>
      <c r="J811" s="281"/>
      <c r="K811" s="281">
        <f t="shared" si="835"/>
        <v>324093620.44999999</v>
      </c>
      <c r="L811" s="281"/>
      <c r="M811" s="281"/>
      <c r="N811" s="281"/>
      <c r="O811" s="281"/>
      <c r="P811" s="281"/>
      <c r="Q811" s="281"/>
      <c r="R811" s="281">
        <f t="shared" si="935"/>
        <v>0</v>
      </c>
      <c r="S811" s="281">
        <v>65597968.93</v>
      </c>
      <c r="T811" s="281"/>
      <c r="U811" s="281"/>
      <c r="V811" s="281"/>
      <c r="W811" s="281"/>
      <c r="X811" s="281">
        <v>258495651.52000001</v>
      </c>
      <c r="Y811" s="281"/>
      <c r="Z811" s="281"/>
      <c r="AA811" s="281">
        <f t="shared" si="952"/>
        <v>324093620.44999999</v>
      </c>
      <c r="AB811" s="403">
        <f t="shared" si="840"/>
        <v>324093620.44999999</v>
      </c>
      <c r="AC811" s="326">
        <f t="shared" si="955"/>
        <v>1</v>
      </c>
    </row>
    <row r="812" spans="2:29" ht="38.25" x14ac:dyDescent="0.2">
      <c r="B812" s="323" t="s">
        <v>1794</v>
      </c>
      <c r="C812" s="206" t="s">
        <v>1795</v>
      </c>
      <c r="D812" s="281"/>
      <c r="E812" s="325">
        <f>SUM('ADICIONES  2021'!C812:N812)</f>
        <v>248932465.52000001</v>
      </c>
      <c r="F812" s="281"/>
      <c r="G812" s="281"/>
      <c r="H812" s="281"/>
      <c r="I812" s="281"/>
      <c r="J812" s="281"/>
      <c r="K812" s="281">
        <f t="shared" si="835"/>
        <v>248932465.52000001</v>
      </c>
      <c r="L812" s="281"/>
      <c r="M812" s="281"/>
      <c r="N812" s="281"/>
      <c r="O812" s="281"/>
      <c r="P812" s="281"/>
      <c r="Q812" s="281"/>
      <c r="R812" s="281">
        <f t="shared" si="935"/>
        <v>0</v>
      </c>
      <c r="S812" s="281">
        <v>248932465.52000001</v>
      </c>
      <c r="T812" s="281"/>
      <c r="U812" s="281"/>
      <c r="V812" s="281"/>
      <c r="W812" s="281"/>
      <c r="X812" s="281">
        <v>0</v>
      </c>
      <c r="Y812" s="281"/>
      <c r="Z812" s="281"/>
      <c r="AA812" s="281">
        <f t="shared" si="952"/>
        <v>248932465.52000001</v>
      </c>
      <c r="AB812" s="403">
        <f t="shared" si="840"/>
        <v>248932465.52000001</v>
      </c>
      <c r="AC812" s="326">
        <f t="shared" si="955"/>
        <v>1</v>
      </c>
    </row>
    <row r="813" spans="2:29" ht="38.25" x14ac:dyDescent="0.2">
      <c r="B813" s="323" t="s">
        <v>1796</v>
      </c>
      <c r="C813" s="206" t="s">
        <v>1797</v>
      </c>
      <c r="D813" s="281"/>
      <c r="E813" s="325">
        <f>SUM('ADICIONES  2021'!C813:N813)</f>
        <v>262570505</v>
      </c>
      <c r="F813" s="281"/>
      <c r="G813" s="281"/>
      <c r="H813" s="281"/>
      <c r="I813" s="281"/>
      <c r="J813" s="281"/>
      <c r="K813" s="281">
        <f t="shared" si="835"/>
        <v>262570505</v>
      </c>
      <c r="L813" s="281"/>
      <c r="M813" s="281"/>
      <c r="N813" s="281"/>
      <c r="O813" s="281"/>
      <c r="P813" s="281"/>
      <c r="Q813" s="281"/>
      <c r="R813" s="281">
        <f t="shared" si="935"/>
        <v>0</v>
      </c>
      <c r="S813" s="281">
        <v>262570505</v>
      </c>
      <c r="T813" s="281"/>
      <c r="U813" s="281"/>
      <c r="V813" s="281"/>
      <c r="W813" s="281"/>
      <c r="X813" s="281">
        <v>0</v>
      </c>
      <c r="Y813" s="281"/>
      <c r="Z813" s="281"/>
      <c r="AA813" s="281">
        <f t="shared" si="952"/>
        <v>262570505</v>
      </c>
      <c r="AB813" s="403">
        <f t="shared" si="840"/>
        <v>262570505</v>
      </c>
      <c r="AC813" s="326">
        <f t="shared" si="955"/>
        <v>1</v>
      </c>
    </row>
    <row r="814" spans="2:29" ht="14.25" x14ac:dyDescent="0.2">
      <c r="B814" s="323" t="s">
        <v>1798</v>
      </c>
      <c r="C814" s="206" t="s">
        <v>1799</v>
      </c>
      <c r="D814" s="281"/>
      <c r="E814" s="325">
        <f>SUM('ADICIONES  2021'!C814:N814)</f>
        <v>18594911012.080002</v>
      </c>
      <c r="F814" s="281"/>
      <c r="G814" s="281"/>
      <c r="H814" s="281"/>
      <c r="I814" s="281"/>
      <c r="J814" s="281"/>
      <c r="K814" s="281">
        <f t="shared" si="835"/>
        <v>18594911012.080002</v>
      </c>
      <c r="L814" s="281"/>
      <c r="M814" s="281"/>
      <c r="N814" s="281"/>
      <c r="O814" s="281"/>
      <c r="P814" s="281"/>
      <c r="Q814" s="281"/>
      <c r="R814" s="281">
        <f t="shared" ref="R814:R816" si="958">SUM(L814:Q814)</f>
        <v>0</v>
      </c>
      <c r="S814" s="281">
        <v>18594911012.080002</v>
      </c>
      <c r="T814" s="281"/>
      <c r="U814" s="281"/>
      <c r="V814" s="281"/>
      <c r="W814" s="281"/>
      <c r="X814" s="281">
        <v>0</v>
      </c>
      <c r="Y814" s="281"/>
      <c r="Z814" s="281"/>
      <c r="AA814" s="281">
        <f t="shared" si="952"/>
        <v>18594911012.080002</v>
      </c>
      <c r="AB814" s="403">
        <f t="shared" si="840"/>
        <v>18594911012.080002</v>
      </c>
      <c r="AC814" s="326">
        <f t="shared" si="955"/>
        <v>1</v>
      </c>
    </row>
    <row r="815" spans="2:29" ht="25.5" x14ac:dyDescent="0.2">
      <c r="B815" s="323" t="s">
        <v>1800</v>
      </c>
      <c r="C815" s="206" t="s">
        <v>1801</v>
      </c>
      <c r="D815" s="281"/>
      <c r="E815" s="325">
        <f>SUM('ADICIONES  2021'!C815:N815)</f>
        <v>1263330116.8699999</v>
      </c>
      <c r="F815" s="281"/>
      <c r="G815" s="281"/>
      <c r="H815" s="281"/>
      <c r="I815" s="281"/>
      <c r="J815" s="281"/>
      <c r="K815" s="281">
        <f t="shared" si="835"/>
        <v>1263330116.8699999</v>
      </c>
      <c r="L815" s="281"/>
      <c r="M815" s="281"/>
      <c r="N815" s="281"/>
      <c r="O815" s="281"/>
      <c r="P815" s="281"/>
      <c r="Q815" s="281"/>
      <c r="R815" s="281">
        <f t="shared" si="958"/>
        <v>0</v>
      </c>
      <c r="S815" s="281">
        <v>1263330116.8699999</v>
      </c>
      <c r="T815" s="281"/>
      <c r="U815" s="281"/>
      <c r="V815" s="281"/>
      <c r="W815" s="281"/>
      <c r="X815" s="281">
        <v>0</v>
      </c>
      <c r="Y815" s="281"/>
      <c r="Z815" s="281"/>
      <c r="AA815" s="281">
        <f t="shared" si="952"/>
        <v>1263330116.8699999</v>
      </c>
      <c r="AB815" s="403">
        <f t="shared" si="840"/>
        <v>1263330116.8699999</v>
      </c>
      <c r="AC815" s="326">
        <f t="shared" si="955"/>
        <v>1</v>
      </c>
    </row>
    <row r="816" spans="2:29" ht="26.25" thickBot="1" x14ac:dyDescent="0.25">
      <c r="B816" s="345" t="s">
        <v>1802</v>
      </c>
      <c r="C816" s="346" t="s">
        <v>1803</v>
      </c>
      <c r="D816" s="286"/>
      <c r="E816" s="325">
        <f>SUM('ADICIONES  2021'!C816:N816)</f>
        <v>14999353.52</v>
      </c>
      <c r="F816" s="286"/>
      <c r="G816" s="286"/>
      <c r="H816" s="286"/>
      <c r="I816" s="286"/>
      <c r="J816" s="286"/>
      <c r="K816" s="286">
        <f t="shared" si="835"/>
        <v>14999353.52</v>
      </c>
      <c r="L816" s="286"/>
      <c r="M816" s="286"/>
      <c r="N816" s="286"/>
      <c r="O816" s="286"/>
      <c r="P816" s="286"/>
      <c r="Q816" s="286"/>
      <c r="R816" s="286">
        <f t="shared" si="958"/>
        <v>0</v>
      </c>
      <c r="S816" s="286">
        <v>14999353.52</v>
      </c>
      <c r="T816" s="286"/>
      <c r="U816" s="286"/>
      <c r="V816" s="286"/>
      <c r="W816" s="286"/>
      <c r="X816" s="286">
        <v>0</v>
      </c>
      <c r="Y816" s="286"/>
      <c r="Z816" s="286"/>
      <c r="AA816" s="286">
        <f t="shared" si="952"/>
        <v>14999353.52</v>
      </c>
      <c r="AB816" s="404">
        <f t="shared" si="840"/>
        <v>14999353.52</v>
      </c>
      <c r="AC816" s="347">
        <f t="shared" si="955"/>
        <v>1</v>
      </c>
    </row>
    <row r="817" spans="1:29" s="381" customFormat="1" ht="19.5" thickBot="1" x14ac:dyDescent="0.25">
      <c r="A817" s="161">
        <v>1</v>
      </c>
      <c r="B817" s="460" t="s">
        <v>49</v>
      </c>
      <c r="C817" s="461"/>
      <c r="D817" s="377">
        <f t="shared" ref="D817:AB817" si="959">+D11+D719</f>
        <v>707007905818</v>
      </c>
      <c r="E817" s="377">
        <f t="shared" si="959"/>
        <v>545235868365.68994</v>
      </c>
      <c r="F817" s="377">
        <f t="shared" si="959"/>
        <v>4977347371</v>
      </c>
      <c r="G817" s="377">
        <f t="shared" si="959"/>
        <v>350000000</v>
      </c>
      <c r="H817" s="377">
        <f t="shared" si="959"/>
        <v>4689016590.2200003</v>
      </c>
      <c r="I817" s="377">
        <f t="shared" si="959"/>
        <v>0</v>
      </c>
      <c r="J817" s="377">
        <f t="shared" si="959"/>
        <v>0</v>
      </c>
      <c r="K817" s="377">
        <f t="shared" si="959"/>
        <v>1242927410222.47</v>
      </c>
      <c r="L817" s="377">
        <f t="shared" si="959"/>
        <v>62802238400.790802</v>
      </c>
      <c r="M817" s="377">
        <f t="shared" si="959"/>
        <v>58423450867.341599</v>
      </c>
      <c r="N817" s="377">
        <f t="shared" si="959"/>
        <v>70401016286.063797</v>
      </c>
      <c r="O817" s="377">
        <f t="shared" si="959"/>
        <v>51327542578.488396</v>
      </c>
      <c r="P817" s="377">
        <f t="shared" si="959"/>
        <v>191151139764.5152</v>
      </c>
      <c r="Q817" s="377">
        <f t="shared" si="959"/>
        <v>67443652601.886795</v>
      </c>
      <c r="R817" s="377">
        <f t="shared" si="959"/>
        <v>501549040499.08661</v>
      </c>
      <c r="S817" s="377">
        <f t="shared" si="959"/>
        <v>129240911428.52921</v>
      </c>
      <c r="T817" s="377">
        <f t="shared" si="959"/>
        <v>56464078521.172798</v>
      </c>
      <c r="U817" s="377">
        <f t="shared" si="959"/>
        <v>86350242629.647995</v>
      </c>
      <c r="V817" s="377">
        <f t="shared" si="959"/>
        <v>44162601290.383598</v>
      </c>
      <c r="W817" s="377">
        <f t="shared" si="959"/>
        <v>92895121143.003204</v>
      </c>
      <c r="X817" s="377">
        <f t="shared" si="959"/>
        <v>150501829544.75558</v>
      </c>
      <c r="Y817" s="377">
        <f t="shared" si="959"/>
        <v>-2240039248.2665138</v>
      </c>
      <c r="Z817" s="377">
        <f t="shared" si="959"/>
        <v>0</v>
      </c>
      <c r="AA817" s="377">
        <f t="shared" si="959"/>
        <v>557374745309.22583</v>
      </c>
      <c r="AB817" s="405">
        <f t="shared" si="959"/>
        <v>1058923785808.3125</v>
      </c>
      <c r="AC817" s="391">
        <f>AB817/K817</f>
        <v>0.85195947655444904</v>
      </c>
    </row>
    <row r="818" spans="1:29" x14ac:dyDescent="0.2">
      <c r="A818" s="96">
        <v>1</v>
      </c>
      <c r="B818" s="348"/>
      <c r="C818" s="117"/>
      <c r="D818" s="349"/>
      <c r="E818" s="350"/>
      <c r="F818" s="287"/>
      <c r="G818" s="287"/>
      <c r="H818" s="351"/>
      <c r="I818" s="287"/>
      <c r="J818" s="287"/>
      <c r="K818" s="287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  <c r="V818" s="287"/>
      <c r="W818" s="287"/>
      <c r="X818" s="287"/>
      <c r="Y818" s="287"/>
      <c r="Z818" s="287"/>
      <c r="AA818" s="287"/>
      <c r="AB818" s="406"/>
      <c r="AC818" s="352"/>
    </row>
    <row r="819" spans="1:29" x14ac:dyDescent="0.2">
      <c r="A819" s="96">
        <v>1</v>
      </c>
      <c r="B819" s="353"/>
      <c r="C819" s="462" t="s">
        <v>21</v>
      </c>
      <c r="D819" s="462"/>
      <c r="E819" s="325"/>
      <c r="F819" s="325"/>
      <c r="G819" s="325"/>
      <c r="H819" s="325"/>
      <c r="I819" s="325"/>
      <c r="J819" s="325"/>
      <c r="K819" s="325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  <c r="AA819" s="281"/>
      <c r="AB819" s="403"/>
      <c r="AC819" s="321"/>
    </row>
    <row r="820" spans="1:29" s="138" customFormat="1" ht="19.5" x14ac:dyDescent="0.2">
      <c r="A820" s="137">
        <v>1</v>
      </c>
      <c r="B820" s="343" t="s">
        <v>381</v>
      </c>
      <c r="C820" s="344" t="s">
        <v>964</v>
      </c>
      <c r="D820" s="293">
        <f>+D821+D1000</f>
        <v>130199862756.89999</v>
      </c>
      <c r="E820" s="320">
        <f>SUM('ADICIONES  2021'!C820:N820)</f>
        <v>114027344799.22</v>
      </c>
      <c r="F820" s="288">
        <f>+F821+F1000</f>
        <v>40440484.68</v>
      </c>
      <c r="G820" s="288">
        <f>+G821+G1000</f>
        <v>4689016590.2200003</v>
      </c>
      <c r="H820" s="288">
        <f>+H821+H1000</f>
        <v>350000000</v>
      </c>
      <c r="I820" s="288">
        <f>+I821+I1000</f>
        <v>0</v>
      </c>
      <c r="J820" s="288">
        <f>+J821+J1000</f>
        <v>0</v>
      </c>
      <c r="K820" s="285">
        <f t="shared" ref="K820:K824" si="960">+D820+E820-F820+G820-H820</f>
        <v>248525783661.66</v>
      </c>
      <c r="L820" s="288">
        <f t="shared" ref="L820:Q820" si="961">+L821+L1000</f>
        <v>14396430252.819202</v>
      </c>
      <c r="M820" s="288">
        <f t="shared" si="961"/>
        <v>9194413809.0683994</v>
      </c>
      <c r="N820" s="288">
        <f t="shared" si="961"/>
        <v>15323833234.066198</v>
      </c>
      <c r="O820" s="288">
        <f t="shared" si="961"/>
        <v>13705612361.3916</v>
      </c>
      <c r="P820" s="288">
        <f t="shared" si="961"/>
        <v>41808421349.804802</v>
      </c>
      <c r="Q820" s="288">
        <f t="shared" si="961"/>
        <v>10783369269.4132</v>
      </c>
      <c r="R820" s="285">
        <f t="shared" ref="R820:R824" si="962">SUM(L820:Q820)</f>
        <v>105212080276.56342</v>
      </c>
      <c r="S820" s="288">
        <f t="shared" ref="S820:Z820" si="963">+S821+S1000</f>
        <v>14792855704.080799</v>
      </c>
      <c r="T820" s="288">
        <f t="shared" si="963"/>
        <v>19941006777.567196</v>
      </c>
      <c r="U820" s="288">
        <f t="shared" si="963"/>
        <v>16920552003.061998</v>
      </c>
      <c r="V820" s="288">
        <f t="shared" si="963"/>
        <v>13228927399.4464</v>
      </c>
      <c r="W820" s="288">
        <f t="shared" si="963"/>
        <v>16454426999.976797</v>
      </c>
      <c r="X820" s="288">
        <f t="shared" si="963"/>
        <v>51349663159.004402</v>
      </c>
      <c r="Y820" s="288">
        <f t="shared" si="963"/>
        <v>1984941009.1207991</v>
      </c>
      <c r="Z820" s="288">
        <f t="shared" si="963"/>
        <v>0</v>
      </c>
      <c r="AA820" s="285">
        <f t="shared" ref="AA820:AA834" si="964">SUM(S820:Z820)</f>
        <v>134672373052.25838</v>
      </c>
      <c r="AB820" s="407">
        <f t="shared" ref="AB820:AB921" si="965">+R820+AA820</f>
        <v>239884453328.82178</v>
      </c>
      <c r="AC820" s="354">
        <f t="shared" ref="AC820:AC921" si="966">+AB820/K820</f>
        <v>0.96522964255249089</v>
      </c>
    </row>
    <row r="821" spans="1:29" s="138" customFormat="1" ht="19.5" x14ac:dyDescent="0.2">
      <c r="A821" s="137">
        <v>1</v>
      </c>
      <c r="B821" s="343" t="s">
        <v>382</v>
      </c>
      <c r="C821" s="344" t="s">
        <v>965</v>
      </c>
      <c r="D821" s="293">
        <f>+D822+D909</f>
        <v>127706050258.17999</v>
      </c>
      <c r="E821" s="320">
        <f>SUM('ADICIONES  2021'!C821:N821)</f>
        <v>81712661122.899994</v>
      </c>
      <c r="F821" s="288">
        <f>+F822+F909</f>
        <v>10534246</v>
      </c>
      <c r="G821" s="288">
        <f>+G822+G909</f>
        <v>4689016590.2200003</v>
      </c>
      <c r="H821" s="288">
        <f>+H822+H909</f>
        <v>350000000</v>
      </c>
      <c r="I821" s="288">
        <f>+I822+I909</f>
        <v>0</v>
      </c>
      <c r="J821" s="288">
        <f>+J822+J909</f>
        <v>0</v>
      </c>
      <c r="K821" s="285">
        <f t="shared" si="960"/>
        <v>213747193725.29999</v>
      </c>
      <c r="L821" s="288">
        <f t="shared" ref="L821:Q821" si="967">+L822+L909</f>
        <v>14171690553.549202</v>
      </c>
      <c r="M821" s="288">
        <f t="shared" si="967"/>
        <v>8990913184.6884003</v>
      </c>
      <c r="N821" s="288">
        <f t="shared" si="967"/>
        <v>14883380024.846199</v>
      </c>
      <c r="O821" s="288">
        <f t="shared" si="967"/>
        <v>13546560062.0916</v>
      </c>
      <c r="P821" s="288">
        <f t="shared" si="967"/>
        <v>20776705362.424801</v>
      </c>
      <c r="Q821" s="288">
        <f t="shared" si="967"/>
        <v>10646838090.623199</v>
      </c>
      <c r="R821" s="285">
        <f t="shared" si="962"/>
        <v>83016087278.223404</v>
      </c>
      <c r="S821" s="288">
        <f t="shared" ref="S821:Z821" si="968">+S822+S909</f>
        <v>14635848508.420799</v>
      </c>
      <c r="T821" s="288">
        <f t="shared" si="968"/>
        <v>19792635095.147198</v>
      </c>
      <c r="U821" s="288">
        <f t="shared" si="968"/>
        <v>16740860705.931999</v>
      </c>
      <c r="V821" s="288">
        <f t="shared" si="968"/>
        <v>12941791059.1264</v>
      </c>
      <c r="W821" s="288">
        <f t="shared" si="968"/>
        <v>16213781926.666798</v>
      </c>
      <c r="X821" s="288">
        <f t="shared" si="968"/>
        <v>51038109253.384399</v>
      </c>
      <c r="Y821" s="288">
        <f t="shared" si="968"/>
        <v>1984941009.1207991</v>
      </c>
      <c r="Z821" s="288">
        <f t="shared" si="968"/>
        <v>0</v>
      </c>
      <c r="AA821" s="285">
        <f t="shared" si="964"/>
        <v>133347967557.79839</v>
      </c>
      <c r="AB821" s="407">
        <f t="shared" si="965"/>
        <v>216364054836.02179</v>
      </c>
      <c r="AC821" s="354">
        <f t="shared" si="966"/>
        <v>1.0122427858121257</v>
      </c>
    </row>
    <row r="822" spans="1:29" s="138" customFormat="1" ht="19.5" x14ac:dyDescent="0.2">
      <c r="A822" s="137">
        <v>1</v>
      </c>
      <c r="B822" s="343" t="s">
        <v>383</v>
      </c>
      <c r="C822" s="344" t="s">
        <v>966</v>
      </c>
      <c r="D822" s="293">
        <f>+D823+D835</f>
        <v>52208079001.369995</v>
      </c>
      <c r="E822" s="320">
        <f>SUM('ADICIONES  2021'!C822:N822)</f>
        <v>13712832985.029999</v>
      </c>
      <c r="F822" s="288">
        <f t="shared" ref="F822:J822" si="969">+F823+F835</f>
        <v>0</v>
      </c>
      <c r="G822" s="288">
        <f t="shared" si="969"/>
        <v>0</v>
      </c>
      <c r="H822" s="288">
        <f t="shared" si="969"/>
        <v>0</v>
      </c>
      <c r="I822" s="288">
        <f t="shared" si="969"/>
        <v>0</v>
      </c>
      <c r="J822" s="288">
        <f t="shared" si="969"/>
        <v>0</v>
      </c>
      <c r="K822" s="285">
        <f t="shared" si="960"/>
        <v>65920911986.399994</v>
      </c>
      <c r="L822" s="288">
        <f t="shared" ref="L822:Q822" si="970">+L823+L835</f>
        <v>6257894767.0500002</v>
      </c>
      <c r="M822" s="288">
        <f t="shared" si="970"/>
        <v>4815552665.3900003</v>
      </c>
      <c r="N822" s="288">
        <f t="shared" si="970"/>
        <v>6271707307.4799995</v>
      </c>
      <c r="O822" s="288">
        <f t="shared" si="970"/>
        <v>3928389601.9200001</v>
      </c>
      <c r="P822" s="288">
        <f t="shared" si="970"/>
        <v>4345670012.9700003</v>
      </c>
      <c r="Q822" s="288">
        <f t="shared" si="970"/>
        <v>4171657878.8800001</v>
      </c>
      <c r="R822" s="285">
        <f t="shared" si="962"/>
        <v>29790872233.689999</v>
      </c>
      <c r="S822" s="288">
        <f t="shared" ref="S822:Z822" si="971">+S823+S835</f>
        <v>5376996058.8800001</v>
      </c>
      <c r="T822" s="288">
        <f t="shared" si="971"/>
        <v>4961640350.4399996</v>
      </c>
      <c r="U822" s="288">
        <f t="shared" si="971"/>
        <v>6799853127.1099997</v>
      </c>
      <c r="V822" s="288">
        <f t="shared" si="971"/>
        <v>6947726096.3199997</v>
      </c>
      <c r="W822" s="288">
        <f t="shared" si="971"/>
        <v>6453714292.5099993</v>
      </c>
      <c r="X822" s="288">
        <f t="shared" si="971"/>
        <v>6576062441</v>
      </c>
      <c r="Y822" s="288">
        <f t="shared" si="971"/>
        <v>271313955.85000002</v>
      </c>
      <c r="Z822" s="288">
        <f t="shared" si="971"/>
        <v>0</v>
      </c>
      <c r="AA822" s="285">
        <f t="shared" si="964"/>
        <v>37387306322.109993</v>
      </c>
      <c r="AB822" s="407">
        <f t="shared" si="965"/>
        <v>67178178555.799988</v>
      </c>
      <c r="AC822" s="354">
        <f t="shared" si="966"/>
        <v>1.0190723479320094</v>
      </c>
    </row>
    <row r="823" spans="1:29" s="138" customFormat="1" ht="19.5" x14ac:dyDescent="0.2">
      <c r="A823" s="137">
        <v>1</v>
      </c>
      <c r="B823" s="343" t="s">
        <v>384</v>
      </c>
      <c r="C823" s="344" t="s">
        <v>967</v>
      </c>
      <c r="D823" s="293">
        <f>+D824</f>
        <v>1027296266.58</v>
      </c>
      <c r="E823" s="320">
        <f>SUM('ADICIONES  2021'!C823:N823)</f>
        <v>849999999</v>
      </c>
      <c r="F823" s="288">
        <f t="shared" ref="F823:J823" si="972">+F824</f>
        <v>0</v>
      </c>
      <c r="G823" s="288">
        <f t="shared" si="972"/>
        <v>0</v>
      </c>
      <c r="H823" s="288">
        <f t="shared" si="972"/>
        <v>0</v>
      </c>
      <c r="I823" s="288">
        <f t="shared" si="972"/>
        <v>0</v>
      </c>
      <c r="J823" s="288">
        <f t="shared" si="972"/>
        <v>0</v>
      </c>
      <c r="K823" s="285">
        <f t="shared" si="960"/>
        <v>1877296265.5799999</v>
      </c>
      <c r="L823" s="288">
        <f t="shared" ref="L823:Q823" si="973">+L824</f>
        <v>106024316.05000001</v>
      </c>
      <c r="M823" s="288">
        <f t="shared" si="973"/>
        <v>77173041.390000001</v>
      </c>
      <c r="N823" s="288">
        <f t="shared" si="973"/>
        <v>84947531.480000004</v>
      </c>
      <c r="O823" s="288">
        <f t="shared" si="973"/>
        <v>84132804.920000002</v>
      </c>
      <c r="P823" s="288">
        <f t="shared" si="973"/>
        <v>60939185.969999999</v>
      </c>
      <c r="Q823" s="288">
        <f t="shared" si="973"/>
        <v>106796998.88</v>
      </c>
      <c r="R823" s="285">
        <f t="shared" si="962"/>
        <v>520013878.69000006</v>
      </c>
      <c r="S823" s="288">
        <f t="shared" ref="S823:Z823" si="974">+S824</f>
        <v>136625700.58000001</v>
      </c>
      <c r="T823" s="288">
        <f t="shared" si="974"/>
        <v>483738015.44</v>
      </c>
      <c r="U823" s="288">
        <f t="shared" si="974"/>
        <v>70303552.109999999</v>
      </c>
      <c r="V823" s="288">
        <f t="shared" si="974"/>
        <v>494521953.67000002</v>
      </c>
      <c r="W823" s="288">
        <f t="shared" si="974"/>
        <v>91438826.400000006</v>
      </c>
      <c r="X823" s="288">
        <f t="shared" si="974"/>
        <v>62412741</v>
      </c>
      <c r="Y823" s="288">
        <f t="shared" si="974"/>
        <v>0</v>
      </c>
      <c r="Z823" s="288">
        <f t="shared" si="974"/>
        <v>0</v>
      </c>
      <c r="AA823" s="285">
        <f t="shared" si="964"/>
        <v>1339040789.2</v>
      </c>
      <c r="AB823" s="407">
        <f t="shared" si="965"/>
        <v>1859054667.8900001</v>
      </c>
      <c r="AC823" s="354">
        <f t="shared" si="966"/>
        <v>0.99028304800661604</v>
      </c>
    </row>
    <row r="824" spans="1:29" s="19" customFormat="1" ht="15.75" x14ac:dyDescent="0.2">
      <c r="A824" s="421">
        <v>1</v>
      </c>
      <c r="B824" s="318" t="s">
        <v>968</v>
      </c>
      <c r="C824" s="319" t="s">
        <v>969</v>
      </c>
      <c r="D824" s="292">
        <f>SUM(D825:D831)</f>
        <v>1027296266.58</v>
      </c>
      <c r="E824" s="322">
        <f>SUM('ADICIONES  2021'!C824:N824)</f>
        <v>849999999</v>
      </c>
      <c r="F824" s="289">
        <f t="shared" ref="F824:J824" si="975">SUM(F825:F831)</f>
        <v>0</v>
      </c>
      <c r="G824" s="289">
        <f t="shared" si="975"/>
        <v>0</v>
      </c>
      <c r="H824" s="289">
        <f t="shared" si="975"/>
        <v>0</v>
      </c>
      <c r="I824" s="289">
        <f t="shared" si="975"/>
        <v>0</v>
      </c>
      <c r="J824" s="289">
        <f t="shared" si="975"/>
        <v>0</v>
      </c>
      <c r="K824" s="276">
        <f t="shared" si="960"/>
        <v>1877296265.5799999</v>
      </c>
      <c r="L824" s="289">
        <f t="shared" ref="L824:Q824" si="976">SUM(L825:L831)</f>
        <v>106024316.05000001</v>
      </c>
      <c r="M824" s="289">
        <f t="shared" si="976"/>
        <v>77173041.390000001</v>
      </c>
      <c r="N824" s="289">
        <f t="shared" si="976"/>
        <v>84947531.480000004</v>
      </c>
      <c r="O824" s="289">
        <f t="shared" si="976"/>
        <v>84132804.920000002</v>
      </c>
      <c r="P824" s="289">
        <f t="shared" si="976"/>
        <v>60939185.969999999</v>
      </c>
      <c r="Q824" s="289">
        <f t="shared" si="976"/>
        <v>106796998.88</v>
      </c>
      <c r="R824" s="276">
        <f t="shared" si="962"/>
        <v>520013878.69000006</v>
      </c>
      <c r="S824" s="289">
        <f t="shared" ref="S824:Z824" si="977">SUM(S825:S831)</f>
        <v>136625700.58000001</v>
      </c>
      <c r="T824" s="289">
        <f t="shared" si="977"/>
        <v>483738015.44</v>
      </c>
      <c r="U824" s="289">
        <f>SUM(U825:U831)</f>
        <v>70303552.109999999</v>
      </c>
      <c r="V824" s="289">
        <f t="shared" si="977"/>
        <v>494521953.67000002</v>
      </c>
      <c r="W824" s="289">
        <f t="shared" si="977"/>
        <v>91438826.400000006</v>
      </c>
      <c r="X824" s="289">
        <f t="shared" si="977"/>
        <v>62412741</v>
      </c>
      <c r="Y824" s="289">
        <f t="shared" si="977"/>
        <v>0</v>
      </c>
      <c r="Z824" s="289">
        <f t="shared" si="977"/>
        <v>0</v>
      </c>
      <c r="AA824" s="276">
        <f t="shared" si="964"/>
        <v>1339040789.2</v>
      </c>
      <c r="AB824" s="402">
        <f t="shared" si="965"/>
        <v>1859054667.8900001</v>
      </c>
      <c r="AC824" s="321">
        <f t="shared" si="966"/>
        <v>0.99028304800661604</v>
      </c>
    </row>
    <row r="825" spans="1:29" ht="14.25" x14ac:dyDescent="0.2">
      <c r="B825" s="323" t="s">
        <v>970</v>
      </c>
      <c r="C825" s="206" t="s">
        <v>375</v>
      </c>
      <c r="D825" s="303">
        <v>256824066.80000001</v>
      </c>
      <c r="E825" s="325">
        <f>SUM('ADICIONES  2021'!C825:N825)</f>
        <v>0</v>
      </c>
      <c r="F825" s="290"/>
      <c r="G825" s="290"/>
      <c r="H825" s="290"/>
      <c r="I825" s="290"/>
      <c r="J825" s="290"/>
      <c r="K825" s="281">
        <f>+D825+E825-F825+G825-H825</f>
        <v>256824066.80000001</v>
      </c>
      <c r="L825" s="290">
        <v>26506078.940000001</v>
      </c>
      <c r="M825" s="290">
        <v>19293261.390000001</v>
      </c>
      <c r="N825" s="290">
        <v>21236883.27</v>
      </c>
      <c r="O825" s="290">
        <v>21033201.920000002</v>
      </c>
      <c r="P825" s="290">
        <v>15234796.970000001</v>
      </c>
      <c r="Q825" s="290">
        <v>26699249</v>
      </c>
      <c r="R825" s="281">
        <f>SUM(L825:Q825)</f>
        <v>130003471.48999999</v>
      </c>
      <c r="S825" s="290">
        <v>33943521.210000001</v>
      </c>
      <c r="T825" s="290">
        <v>120934504.44</v>
      </c>
      <c r="U825" s="290">
        <v>15370007.109999999</v>
      </c>
      <c r="V825" s="290">
        <v>123630488</v>
      </c>
      <c r="W825" s="290">
        <v>-167057925.44999999</v>
      </c>
      <c r="X825" s="290">
        <v>0</v>
      </c>
      <c r="Y825" s="290"/>
      <c r="Z825" s="290"/>
      <c r="AA825" s="281">
        <f t="shared" si="964"/>
        <v>126820595.31</v>
      </c>
      <c r="AB825" s="403">
        <f t="shared" si="965"/>
        <v>256824066.80000001</v>
      </c>
      <c r="AC825" s="326">
        <f t="shared" si="966"/>
        <v>1</v>
      </c>
    </row>
    <row r="826" spans="1:29" ht="14.25" x14ac:dyDescent="0.2">
      <c r="B826" s="323" t="s">
        <v>970</v>
      </c>
      <c r="C826" s="206" t="s">
        <v>375</v>
      </c>
      <c r="D826" s="303"/>
      <c r="E826" s="325">
        <f>SUM('ADICIONES  2021'!C826:N826)</f>
        <v>210294118</v>
      </c>
      <c r="F826" s="290"/>
      <c r="G826" s="290"/>
      <c r="H826" s="290"/>
      <c r="I826" s="290"/>
      <c r="J826" s="290"/>
      <c r="K826" s="281">
        <f t="shared" ref="K826:K892" si="978">+D826+E826-F826+G826-H826</f>
        <v>210294118</v>
      </c>
      <c r="L826" s="290"/>
      <c r="M826" s="290"/>
      <c r="N826" s="290"/>
      <c r="O826" s="290"/>
      <c r="P826" s="290"/>
      <c r="Q826" s="290"/>
      <c r="R826" s="281">
        <f t="shared" ref="R826:R834" si="979">SUM(L826:Q826)</f>
        <v>0</v>
      </c>
      <c r="S826" s="290"/>
      <c r="T826" s="290"/>
      <c r="U826" s="290"/>
      <c r="V826" s="290"/>
      <c r="W826" s="290">
        <v>189685970.66999999</v>
      </c>
      <c r="X826" s="290">
        <v>15603186</v>
      </c>
      <c r="Y826" s="290"/>
      <c r="Z826" s="290"/>
      <c r="AA826" s="281">
        <f t="shared" si="964"/>
        <v>205289156.66999999</v>
      </c>
      <c r="AB826" s="403">
        <f t="shared" si="965"/>
        <v>205289156.66999999</v>
      </c>
      <c r="AC826" s="326">
        <v>0</v>
      </c>
    </row>
    <row r="827" spans="1:29" ht="14.25" x14ac:dyDescent="0.2">
      <c r="B827" s="323" t="s">
        <v>970</v>
      </c>
      <c r="C827" s="206" t="s">
        <v>375</v>
      </c>
      <c r="D827" s="303"/>
      <c r="E827" s="325">
        <f>SUM('ADICIONES  2021'!C827:N827)</f>
        <v>2205882</v>
      </c>
      <c r="F827" s="290"/>
      <c r="G827" s="290"/>
      <c r="H827" s="290"/>
      <c r="I827" s="290"/>
      <c r="J827" s="290"/>
      <c r="K827" s="281">
        <f t="shared" si="978"/>
        <v>2205882</v>
      </c>
      <c r="L827" s="290"/>
      <c r="M827" s="290"/>
      <c r="N827" s="290"/>
      <c r="O827" s="290"/>
      <c r="P827" s="290"/>
      <c r="Q827" s="290"/>
      <c r="R827" s="281">
        <f t="shared" si="979"/>
        <v>0</v>
      </c>
      <c r="S827" s="290"/>
      <c r="T827" s="290"/>
      <c r="U827" s="290">
        <v>2205882</v>
      </c>
      <c r="V827" s="290">
        <v>0</v>
      </c>
      <c r="W827" s="290">
        <v>0</v>
      </c>
      <c r="X827" s="290">
        <v>0</v>
      </c>
      <c r="Y827" s="290"/>
      <c r="Z827" s="290"/>
      <c r="AA827" s="281">
        <f t="shared" si="964"/>
        <v>2205882</v>
      </c>
      <c r="AB827" s="403">
        <f t="shared" si="965"/>
        <v>2205882</v>
      </c>
      <c r="AC827" s="326">
        <f t="shared" ref="AC827:AC828" si="980">+AB827/K827</f>
        <v>1</v>
      </c>
    </row>
    <row r="828" spans="1:29" ht="14.25" x14ac:dyDescent="0.2">
      <c r="B828" s="323" t="s">
        <v>971</v>
      </c>
      <c r="C828" s="206" t="s">
        <v>375</v>
      </c>
      <c r="D828" s="303">
        <v>71910738.700000003</v>
      </c>
      <c r="E828" s="325">
        <f>SUM('ADICIONES  2021'!C828:N828)</f>
        <v>0</v>
      </c>
      <c r="F828" s="290"/>
      <c r="G828" s="290"/>
      <c r="H828" s="290"/>
      <c r="I828" s="290"/>
      <c r="J828" s="290"/>
      <c r="K828" s="281">
        <f t="shared" si="978"/>
        <v>71910738.700000003</v>
      </c>
      <c r="L828" s="290">
        <v>7421702.1100000003</v>
      </c>
      <c r="M828" s="290">
        <v>5402112</v>
      </c>
      <c r="N828" s="290">
        <v>5946327.21</v>
      </c>
      <c r="O828" s="290">
        <v>5889296</v>
      </c>
      <c r="P828" s="290">
        <v>4265743</v>
      </c>
      <c r="Q828" s="290">
        <v>7475790.8799999999</v>
      </c>
      <c r="R828" s="281">
        <f t="shared" si="979"/>
        <v>36400971.200000003</v>
      </c>
      <c r="S828" s="290">
        <v>9504186</v>
      </c>
      <c r="T828" s="290">
        <v>33861661</v>
      </c>
      <c r="U828" s="290">
        <v>4303601</v>
      </c>
      <c r="V828" s="290">
        <v>34616536.670000002</v>
      </c>
      <c r="W828" s="290">
        <v>-46776217.170000002</v>
      </c>
      <c r="X828" s="290">
        <v>0</v>
      </c>
      <c r="Y828" s="290"/>
      <c r="Z828" s="290"/>
      <c r="AA828" s="281">
        <f t="shared" si="964"/>
        <v>35509767.5</v>
      </c>
      <c r="AB828" s="403">
        <f t="shared" si="965"/>
        <v>71910738.700000003</v>
      </c>
      <c r="AC828" s="326">
        <f t="shared" si="980"/>
        <v>1</v>
      </c>
    </row>
    <row r="829" spans="1:29" ht="14.25" x14ac:dyDescent="0.2">
      <c r="B829" s="323" t="s">
        <v>971</v>
      </c>
      <c r="C829" s="206" t="s">
        <v>375</v>
      </c>
      <c r="D829" s="303"/>
      <c r="E829" s="325">
        <f>SUM('ADICIONES  2021'!C829:N829)</f>
        <v>58882352</v>
      </c>
      <c r="F829" s="290"/>
      <c r="G829" s="290"/>
      <c r="H829" s="290"/>
      <c r="I829" s="290"/>
      <c r="J829" s="290"/>
      <c r="K829" s="281">
        <f t="shared" si="978"/>
        <v>58882352</v>
      </c>
      <c r="L829" s="290"/>
      <c r="M829" s="290"/>
      <c r="N829" s="290"/>
      <c r="O829" s="290"/>
      <c r="P829" s="290"/>
      <c r="Q829" s="290"/>
      <c r="R829" s="281">
        <f t="shared" si="979"/>
        <v>0</v>
      </c>
      <c r="S829" s="290"/>
      <c r="T829" s="290"/>
      <c r="U829" s="290"/>
      <c r="V829" s="290"/>
      <c r="W829" s="290">
        <v>53112069.170000002</v>
      </c>
      <c r="X829" s="290">
        <v>4368892</v>
      </c>
      <c r="Y829" s="290"/>
      <c r="Z829" s="290"/>
      <c r="AA829" s="281">
        <f t="shared" si="964"/>
        <v>57480961.170000002</v>
      </c>
      <c r="AB829" s="403">
        <f t="shared" si="965"/>
        <v>57480961.170000002</v>
      </c>
      <c r="AC829" s="326">
        <v>0</v>
      </c>
    </row>
    <row r="830" spans="1:29" ht="14.25" x14ac:dyDescent="0.2">
      <c r="B830" s="323" t="s">
        <v>971</v>
      </c>
      <c r="C830" s="206" t="s">
        <v>375</v>
      </c>
      <c r="D830" s="303"/>
      <c r="E830" s="325">
        <f>SUM('ADICIONES  2021'!C830:N830)</f>
        <v>617647</v>
      </c>
      <c r="F830" s="290"/>
      <c r="G830" s="290"/>
      <c r="H830" s="290"/>
      <c r="I830" s="290"/>
      <c r="J830" s="290"/>
      <c r="K830" s="281">
        <f t="shared" si="978"/>
        <v>617647</v>
      </c>
      <c r="L830" s="290"/>
      <c r="M830" s="290"/>
      <c r="N830" s="290"/>
      <c r="O830" s="290"/>
      <c r="P830" s="290"/>
      <c r="Q830" s="290"/>
      <c r="R830" s="281">
        <f t="shared" si="979"/>
        <v>0</v>
      </c>
      <c r="S830" s="290"/>
      <c r="T830" s="290"/>
      <c r="U830" s="290">
        <v>617647</v>
      </c>
      <c r="V830" s="290">
        <v>0</v>
      </c>
      <c r="W830" s="290">
        <v>0</v>
      </c>
      <c r="X830" s="290">
        <v>0</v>
      </c>
      <c r="Y830" s="290"/>
      <c r="Z830" s="290"/>
      <c r="AA830" s="281">
        <f t="shared" si="964"/>
        <v>617647</v>
      </c>
      <c r="AB830" s="403">
        <f t="shared" si="965"/>
        <v>617647</v>
      </c>
      <c r="AC830" s="326">
        <f t="shared" si="966"/>
        <v>1</v>
      </c>
    </row>
    <row r="831" spans="1:29" s="61" customFormat="1" ht="15.75" x14ac:dyDescent="0.2">
      <c r="A831" s="421"/>
      <c r="B831" s="318" t="s">
        <v>972</v>
      </c>
      <c r="C831" s="319" t="s">
        <v>973</v>
      </c>
      <c r="D831" s="292">
        <f>SUM(D832:D834)</f>
        <v>698561461.08000004</v>
      </c>
      <c r="E831" s="322">
        <f>SUM('ADICIONES  2021'!C831:N831)</f>
        <v>578000000</v>
      </c>
      <c r="F831" s="292">
        <f t="shared" ref="F831:J831" si="981">SUM(F832:F834)</f>
        <v>0</v>
      </c>
      <c r="G831" s="292">
        <f t="shared" si="981"/>
        <v>0</v>
      </c>
      <c r="H831" s="292">
        <f t="shared" si="981"/>
        <v>0</v>
      </c>
      <c r="I831" s="292">
        <f t="shared" si="981"/>
        <v>0</v>
      </c>
      <c r="J831" s="292">
        <f t="shared" si="981"/>
        <v>0</v>
      </c>
      <c r="K831" s="276">
        <f t="shared" si="978"/>
        <v>1276561461.0799999</v>
      </c>
      <c r="L831" s="292">
        <f t="shared" ref="L831:P831" si="982">SUM(L832:L834)</f>
        <v>72096535</v>
      </c>
      <c r="M831" s="292">
        <f t="shared" si="982"/>
        <v>52477668</v>
      </c>
      <c r="N831" s="292">
        <f t="shared" si="982"/>
        <v>57764321</v>
      </c>
      <c r="O831" s="292">
        <f t="shared" si="982"/>
        <v>57210307</v>
      </c>
      <c r="P831" s="292">
        <f t="shared" si="982"/>
        <v>41438646</v>
      </c>
      <c r="Q831" s="292">
        <f>SUM(Q832:Q834)</f>
        <v>72621959</v>
      </c>
      <c r="R831" s="276">
        <f t="shared" si="979"/>
        <v>353609436</v>
      </c>
      <c r="S831" s="292">
        <f t="shared" ref="S831:Z831" si="983">SUM(S832:S834)</f>
        <v>93177993.370000005</v>
      </c>
      <c r="T831" s="292">
        <f t="shared" si="983"/>
        <v>328941850</v>
      </c>
      <c r="U831" s="292">
        <f>SUM(U832:U834)</f>
        <v>47806415</v>
      </c>
      <c r="V831" s="292">
        <f t="shared" si="983"/>
        <v>336274929</v>
      </c>
      <c r="W831" s="292">
        <f t="shared" si="983"/>
        <v>62474929.180000007</v>
      </c>
      <c r="X831" s="292">
        <f t="shared" si="983"/>
        <v>42440663</v>
      </c>
      <c r="Y831" s="292">
        <f t="shared" si="983"/>
        <v>0</v>
      </c>
      <c r="Z831" s="292">
        <f t="shared" si="983"/>
        <v>0</v>
      </c>
      <c r="AA831" s="276">
        <f t="shared" si="964"/>
        <v>911116779.54999995</v>
      </c>
      <c r="AB831" s="402">
        <f t="shared" si="965"/>
        <v>1264726215.55</v>
      </c>
      <c r="AC831" s="321">
        <f t="shared" si="966"/>
        <v>0.99072880868580582</v>
      </c>
    </row>
    <row r="832" spans="1:29" ht="14.25" x14ac:dyDescent="0.2">
      <c r="B832" s="323" t="s">
        <v>974</v>
      </c>
      <c r="C832" s="206" t="s">
        <v>378</v>
      </c>
      <c r="D832" s="303">
        <v>698561461.08000004</v>
      </c>
      <c r="E832" s="325">
        <f>SUM('ADICIONES  2021'!C832:N832)</f>
        <v>0</v>
      </c>
      <c r="F832" s="290"/>
      <c r="G832" s="290"/>
      <c r="H832" s="290"/>
      <c r="I832" s="290"/>
      <c r="J832" s="290"/>
      <c r="K832" s="281">
        <f t="shared" si="978"/>
        <v>698561461.08000004</v>
      </c>
      <c r="L832" s="290">
        <v>72096535</v>
      </c>
      <c r="M832" s="290">
        <v>52477668</v>
      </c>
      <c r="N832" s="290">
        <v>57764321</v>
      </c>
      <c r="O832" s="290">
        <v>57210307</v>
      </c>
      <c r="P832" s="290">
        <v>41438646</v>
      </c>
      <c r="Q832" s="290">
        <v>72621959</v>
      </c>
      <c r="R832" s="281">
        <f t="shared" si="979"/>
        <v>353609436</v>
      </c>
      <c r="S832" s="290">
        <v>93177993.370000005</v>
      </c>
      <c r="T832" s="290">
        <v>328941850</v>
      </c>
      <c r="U832" s="290">
        <v>41806415</v>
      </c>
      <c r="V832" s="290">
        <v>336274929</v>
      </c>
      <c r="W832" s="290">
        <v>-455249162.29000002</v>
      </c>
      <c r="X832" s="290">
        <v>0</v>
      </c>
      <c r="Y832" s="290"/>
      <c r="Z832" s="290"/>
      <c r="AA832" s="281">
        <f t="shared" si="964"/>
        <v>344952025.07999998</v>
      </c>
      <c r="AB832" s="403">
        <f t="shared" si="965"/>
        <v>698561461.07999992</v>
      </c>
      <c r="AC832" s="326">
        <f t="shared" si="966"/>
        <v>0.99999999999999978</v>
      </c>
    </row>
    <row r="833" spans="1:29" ht="14.25" x14ac:dyDescent="0.2">
      <c r="B833" s="323" t="s">
        <v>974</v>
      </c>
      <c r="C833" s="206" t="s">
        <v>378</v>
      </c>
      <c r="D833" s="303"/>
      <c r="E833" s="325">
        <f>SUM('ADICIONES  2021'!C833:N833)</f>
        <v>572000000</v>
      </c>
      <c r="F833" s="290"/>
      <c r="G833" s="290"/>
      <c r="H833" s="290"/>
      <c r="I833" s="290"/>
      <c r="J833" s="290"/>
      <c r="K833" s="281">
        <f t="shared" si="978"/>
        <v>572000000</v>
      </c>
      <c r="L833" s="290"/>
      <c r="M833" s="290"/>
      <c r="N833" s="290"/>
      <c r="O833" s="290"/>
      <c r="P833" s="290"/>
      <c r="Q833" s="290"/>
      <c r="R833" s="281">
        <f t="shared" si="979"/>
        <v>0</v>
      </c>
      <c r="S833" s="290"/>
      <c r="T833" s="290"/>
      <c r="U833" s="290"/>
      <c r="V833" s="290"/>
      <c r="W833" s="290">
        <v>517724091.47000003</v>
      </c>
      <c r="X833" s="290">
        <v>42440663</v>
      </c>
      <c r="Y833" s="290"/>
      <c r="Z833" s="290"/>
      <c r="AA833" s="281">
        <f t="shared" ref="AA833" si="984">SUM(S833:Z833)</f>
        <v>560164754.47000003</v>
      </c>
      <c r="AB833" s="403">
        <f t="shared" si="965"/>
        <v>560164754.47000003</v>
      </c>
      <c r="AC833" s="326">
        <v>0</v>
      </c>
    </row>
    <row r="834" spans="1:29" ht="14.25" x14ac:dyDescent="0.2">
      <c r="B834" s="323" t="s">
        <v>974</v>
      </c>
      <c r="C834" s="206" t="s">
        <v>378</v>
      </c>
      <c r="D834" s="303"/>
      <c r="E834" s="325">
        <f>SUM('ADICIONES  2021'!C834:N834)</f>
        <v>6000000</v>
      </c>
      <c r="F834" s="290"/>
      <c r="G834" s="290"/>
      <c r="H834" s="290"/>
      <c r="I834" s="290"/>
      <c r="J834" s="290"/>
      <c r="K834" s="281">
        <f t="shared" si="978"/>
        <v>6000000</v>
      </c>
      <c r="L834" s="290"/>
      <c r="M834" s="290"/>
      <c r="N834" s="290"/>
      <c r="O834" s="290"/>
      <c r="P834" s="290"/>
      <c r="Q834" s="290"/>
      <c r="R834" s="281">
        <f t="shared" si="979"/>
        <v>0</v>
      </c>
      <c r="S834" s="290"/>
      <c r="T834" s="290"/>
      <c r="U834" s="290">
        <v>6000000</v>
      </c>
      <c r="V834" s="290">
        <v>0</v>
      </c>
      <c r="W834" s="290">
        <v>0</v>
      </c>
      <c r="X834" s="290">
        <v>0</v>
      </c>
      <c r="Y834" s="290"/>
      <c r="Z834" s="290"/>
      <c r="AA834" s="281">
        <f t="shared" si="964"/>
        <v>6000000</v>
      </c>
      <c r="AB834" s="403">
        <f t="shared" si="965"/>
        <v>6000000</v>
      </c>
      <c r="AC834" s="326">
        <f t="shared" si="966"/>
        <v>1</v>
      </c>
    </row>
    <row r="835" spans="1:29" s="61" customFormat="1" ht="15.75" x14ac:dyDescent="0.2">
      <c r="A835" s="421">
        <v>1</v>
      </c>
      <c r="B835" s="318" t="s">
        <v>403</v>
      </c>
      <c r="C835" s="319" t="s">
        <v>975</v>
      </c>
      <c r="D835" s="292">
        <f>+D836+D844+D851+D884+D901</f>
        <v>51180782734.789993</v>
      </c>
      <c r="E835" s="322">
        <f>SUM('ADICIONES  2021'!C835:N835)</f>
        <v>12862832986.029999</v>
      </c>
      <c r="F835" s="289">
        <f>+F836+F844+F851+F884+F901</f>
        <v>0</v>
      </c>
      <c r="G835" s="289">
        <f>+G836+G844+G851+G884+G901</f>
        <v>0</v>
      </c>
      <c r="H835" s="289">
        <f>+H836+H844+H851+H884+H901</f>
        <v>0</v>
      </c>
      <c r="I835" s="289">
        <f>+I836+I844+I851+I884+I901</f>
        <v>0</v>
      </c>
      <c r="J835" s="289">
        <f>+J836+J844+J851+J884+J901</f>
        <v>0</v>
      </c>
      <c r="K835" s="276">
        <f t="shared" si="978"/>
        <v>64043615720.819992</v>
      </c>
      <c r="L835" s="289">
        <f t="shared" ref="L835:Q835" si="985">+L836+L844+L851+L884+L901</f>
        <v>6151870451</v>
      </c>
      <c r="M835" s="289">
        <f t="shared" si="985"/>
        <v>4738379624</v>
      </c>
      <c r="N835" s="289">
        <f t="shared" si="985"/>
        <v>6186759776</v>
      </c>
      <c r="O835" s="289">
        <f t="shared" si="985"/>
        <v>3844256797</v>
      </c>
      <c r="P835" s="289">
        <f t="shared" si="985"/>
        <v>4284730827</v>
      </c>
      <c r="Q835" s="289">
        <f t="shared" si="985"/>
        <v>4064860880</v>
      </c>
      <c r="R835" s="276">
        <f t="shared" ref="R835:R929" si="986">SUM(L835:Q835)</f>
        <v>29270858355</v>
      </c>
      <c r="S835" s="289">
        <f t="shared" ref="S835:Z835" si="987">+S836+S844+S851+S884+S901</f>
        <v>5240370358.3000002</v>
      </c>
      <c r="T835" s="289">
        <f t="shared" si="987"/>
        <v>4477902335</v>
      </c>
      <c r="U835" s="289">
        <f t="shared" si="987"/>
        <v>6729549575</v>
      </c>
      <c r="V835" s="289">
        <f t="shared" si="987"/>
        <v>6453204142.6499996</v>
      </c>
      <c r="W835" s="289">
        <f t="shared" si="987"/>
        <v>6362275466.1099997</v>
      </c>
      <c r="X835" s="289">
        <f t="shared" si="987"/>
        <v>6513649700</v>
      </c>
      <c r="Y835" s="289">
        <f t="shared" si="987"/>
        <v>271313955.85000002</v>
      </c>
      <c r="Z835" s="289">
        <f t="shared" si="987"/>
        <v>0</v>
      </c>
      <c r="AA835" s="276">
        <f t="shared" ref="AA835:AA929" si="988">SUM(S835:Z835)</f>
        <v>36048265532.909996</v>
      </c>
      <c r="AB835" s="402">
        <f t="shared" si="965"/>
        <v>65319123887.909996</v>
      </c>
      <c r="AC835" s="321">
        <f t="shared" si="966"/>
        <v>1.0199162422785468</v>
      </c>
    </row>
    <row r="836" spans="1:29" s="61" customFormat="1" ht="15.75" x14ac:dyDescent="0.2">
      <c r="A836" s="421">
        <v>1</v>
      </c>
      <c r="B836" s="318" t="s">
        <v>976</v>
      </c>
      <c r="C836" s="319" t="s">
        <v>977</v>
      </c>
      <c r="D836" s="292">
        <f>SUM(D837:D841)</f>
        <v>1024590216</v>
      </c>
      <c r="E836" s="322">
        <f>SUM('ADICIONES  2021'!C836:N836)</f>
        <v>110294117</v>
      </c>
      <c r="F836" s="289">
        <f>SUM(F837:F841)</f>
        <v>0</v>
      </c>
      <c r="G836" s="289">
        <f t="shared" ref="G836:J836" si="989">SUM(G837:G841)</f>
        <v>0</v>
      </c>
      <c r="H836" s="289">
        <f t="shared" si="989"/>
        <v>0</v>
      </c>
      <c r="I836" s="289">
        <f t="shared" si="989"/>
        <v>0</v>
      </c>
      <c r="J836" s="289">
        <f t="shared" si="989"/>
        <v>0</v>
      </c>
      <c r="K836" s="276">
        <f t="shared" si="978"/>
        <v>1134884333</v>
      </c>
      <c r="L836" s="289">
        <f t="shared" ref="L836:Q836" si="990">SUM(L837:L841)</f>
        <v>135565725</v>
      </c>
      <c r="M836" s="289">
        <f t="shared" si="990"/>
        <v>75567675</v>
      </c>
      <c r="N836" s="289">
        <f t="shared" si="990"/>
        <v>78124200</v>
      </c>
      <c r="O836" s="289">
        <f t="shared" si="990"/>
        <v>90485400</v>
      </c>
      <c r="P836" s="289">
        <f t="shared" si="990"/>
        <v>82396425</v>
      </c>
      <c r="Q836" s="289">
        <f t="shared" si="990"/>
        <v>83357062</v>
      </c>
      <c r="R836" s="276">
        <f t="shared" si="986"/>
        <v>545496487</v>
      </c>
      <c r="S836" s="289">
        <f t="shared" ref="S836:Z836" si="991">SUM(S837:S841)</f>
        <v>85929320.090000004</v>
      </c>
      <c r="T836" s="289">
        <f t="shared" si="991"/>
        <v>92934937</v>
      </c>
      <c r="U836" s="289">
        <f>SUM(U837:U841)</f>
        <v>94209862</v>
      </c>
      <c r="V836" s="289">
        <f t="shared" si="991"/>
        <v>95780773.650000006</v>
      </c>
      <c r="W836" s="289">
        <f t="shared" si="991"/>
        <v>95477401.489999995</v>
      </c>
      <c r="X836" s="289">
        <f t="shared" si="991"/>
        <v>106608862</v>
      </c>
      <c r="Y836" s="289">
        <f t="shared" si="991"/>
        <v>307501.35000002384</v>
      </c>
      <c r="Z836" s="289">
        <f t="shared" si="991"/>
        <v>0</v>
      </c>
      <c r="AA836" s="276">
        <f t="shared" si="988"/>
        <v>571248657.58000004</v>
      </c>
      <c r="AB836" s="402">
        <f t="shared" si="965"/>
        <v>1116745144.5799999</v>
      </c>
      <c r="AC836" s="321">
        <f t="shared" si="966"/>
        <v>0.98401670734844826</v>
      </c>
    </row>
    <row r="837" spans="1:29" ht="14.25" x14ac:dyDescent="0.2">
      <c r="B837" s="323" t="s">
        <v>978</v>
      </c>
      <c r="C837" s="206" t="s">
        <v>375</v>
      </c>
      <c r="D837" s="303">
        <v>256147554</v>
      </c>
      <c r="E837" s="325">
        <f>SUM('ADICIONES  2021'!C837:N837)</f>
        <v>0</v>
      </c>
      <c r="F837" s="290"/>
      <c r="G837" s="290"/>
      <c r="H837" s="290"/>
      <c r="I837" s="290"/>
      <c r="J837" s="290"/>
      <c r="K837" s="281">
        <f t="shared" si="978"/>
        <v>256147554</v>
      </c>
      <c r="L837" s="290">
        <v>33891430.75</v>
      </c>
      <c r="M837" s="290">
        <v>18891918.25</v>
      </c>
      <c r="N837" s="290">
        <v>19531049.5</v>
      </c>
      <c r="O837" s="290">
        <v>22621350</v>
      </c>
      <c r="P837" s="290">
        <v>20599106</v>
      </c>
      <c r="Q837" s="290">
        <v>20839265.5</v>
      </c>
      <c r="R837" s="281">
        <f t="shared" si="986"/>
        <v>136374120</v>
      </c>
      <c r="S837" s="290">
        <v>21281971.75</v>
      </c>
      <c r="T837" s="290">
        <v>23233734</v>
      </c>
      <c r="U837" s="290">
        <v>23552465.75</v>
      </c>
      <c r="V837" s="290">
        <v>24022068.5</v>
      </c>
      <c r="W837" s="290">
        <v>23785059</v>
      </c>
      <c r="X837" s="290">
        <v>3898135</v>
      </c>
      <c r="Y837" s="290"/>
      <c r="Z837" s="290"/>
      <c r="AA837" s="281">
        <f t="shared" si="988"/>
        <v>119773434</v>
      </c>
      <c r="AB837" s="403">
        <f t="shared" si="965"/>
        <v>256147554</v>
      </c>
      <c r="AC837" s="326">
        <f t="shared" si="966"/>
        <v>1</v>
      </c>
    </row>
    <row r="838" spans="1:29" ht="14.25" x14ac:dyDescent="0.2">
      <c r="B838" s="323" t="s">
        <v>978</v>
      </c>
      <c r="C838" s="206" t="s">
        <v>375</v>
      </c>
      <c r="D838" s="303"/>
      <c r="E838" s="325">
        <f>SUM('ADICIONES  2021'!C838:N838)</f>
        <v>27573529</v>
      </c>
      <c r="F838" s="290"/>
      <c r="G838" s="290"/>
      <c r="H838" s="290"/>
      <c r="I838" s="290"/>
      <c r="J838" s="290"/>
      <c r="K838" s="281">
        <f t="shared" si="978"/>
        <v>27573529</v>
      </c>
      <c r="L838" s="290"/>
      <c r="M838" s="290"/>
      <c r="N838" s="290"/>
      <c r="O838" s="290"/>
      <c r="P838" s="290"/>
      <c r="Q838" s="290"/>
      <c r="R838" s="281">
        <f t="shared" si="986"/>
        <v>0</v>
      </c>
      <c r="S838" s="290"/>
      <c r="T838" s="290"/>
      <c r="U838" s="290"/>
      <c r="V838" s="290"/>
      <c r="W838" s="290"/>
      <c r="X838" s="290">
        <v>22754080</v>
      </c>
      <c r="Y838" s="290"/>
      <c r="Z838" s="290"/>
      <c r="AA838" s="281">
        <f t="shared" ref="AA838:AA840" si="992">SUM(S838:Z838)</f>
        <v>22754080</v>
      </c>
      <c r="AB838" s="403">
        <f t="shared" ref="AB838:AB840" si="993">+R838+AA838</f>
        <v>22754080</v>
      </c>
      <c r="AC838" s="326">
        <f t="shared" ref="AC838:AC840" si="994">+AB838/K838</f>
        <v>0.82521464698987201</v>
      </c>
    </row>
    <row r="839" spans="1:29" ht="14.25" x14ac:dyDescent="0.2">
      <c r="B839" s="323" t="s">
        <v>979</v>
      </c>
      <c r="C839" s="206" t="s">
        <v>375</v>
      </c>
      <c r="D839" s="303">
        <v>71721315.120000005</v>
      </c>
      <c r="E839" s="325">
        <f>SUM('ADICIONES  2021'!C839:N839)</f>
        <v>0</v>
      </c>
      <c r="F839" s="290"/>
      <c r="G839" s="290"/>
      <c r="H839" s="290"/>
      <c r="I839" s="290"/>
      <c r="J839" s="290"/>
      <c r="K839" s="281">
        <f t="shared" si="978"/>
        <v>71721315.120000005</v>
      </c>
      <c r="L839" s="290">
        <v>9489601.25</v>
      </c>
      <c r="M839" s="290">
        <v>5289737.75</v>
      </c>
      <c r="N839" s="290">
        <v>5468694.5</v>
      </c>
      <c r="O839" s="290">
        <v>6333978</v>
      </c>
      <c r="P839" s="290">
        <v>5767750</v>
      </c>
      <c r="Q839" s="290">
        <v>5834994.3399999999</v>
      </c>
      <c r="R839" s="281">
        <f t="shared" si="986"/>
        <v>38184755.840000004</v>
      </c>
      <c r="S839" s="290">
        <v>5958952.0899999999</v>
      </c>
      <c r="T839" s="290">
        <v>6505445.8399999999</v>
      </c>
      <c r="U839" s="290">
        <v>6594690.0899999999</v>
      </c>
      <c r="V839" s="290">
        <v>6726179.5</v>
      </c>
      <c r="W839" s="290">
        <v>6659816.8399999999</v>
      </c>
      <c r="X839" s="290">
        <v>1091474.92</v>
      </c>
      <c r="Y839" s="290"/>
      <c r="Z839" s="290"/>
      <c r="AA839" s="281">
        <f t="shared" si="992"/>
        <v>33536559.280000001</v>
      </c>
      <c r="AB839" s="403">
        <f t="shared" si="993"/>
        <v>71721315.120000005</v>
      </c>
      <c r="AC839" s="326">
        <f t="shared" si="994"/>
        <v>1</v>
      </c>
    </row>
    <row r="840" spans="1:29" ht="14.25" x14ac:dyDescent="0.2">
      <c r="B840" s="323" t="s">
        <v>979</v>
      </c>
      <c r="C840" s="206" t="s">
        <v>375</v>
      </c>
      <c r="D840" s="303"/>
      <c r="E840" s="325">
        <f>SUM('ADICIONES  2021'!C840:N840)</f>
        <v>7720588</v>
      </c>
      <c r="F840" s="290"/>
      <c r="G840" s="290"/>
      <c r="H840" s="290"/>
      <c r="I840" s="290"/>
      <c r="J840" s="290"/>
      <c r="K840" s="281">
        <f t="shared" si="978"/>
        <v>7720588</v>
      </c>
      <c r="L840" s="290"/>
      <c r="M840" s="290"/>
      <c r="N840" s="290"/>
      <c r="O840" s="290"/>
      <c r="P840" s="290"/>
      <c r="Q840" s="290"/>
      <c r="R840" s="281">
        <f t="shared" si="986"/>
        <v>0</v>
      </c>
      <c r="S840" s="290"/>
      <c r="T840" s="290"/>
      <c r="U840" s="290"/>
      <c r="V840" s="290"/>
      <c r="W840" s="290"/>
      <c r="X840" s="290">
        <v>6371145.9199999999</v>
      </c>
      <c r="Y840" s="290"/>
      <c r="Z840" s="290"/>
      <c r="AA840" s="281">
        <f t="shared" si="992"/>
        <v>6371145.9199999999</v>
      </c>
      <c r="AB840" s="403">
        <f t="shared" si="993"/>
        <v>6371145.9199999999</v>
      </c>
      <c r="AC840" s="326">
        <f t="shared" si="994"/>
        <v>0.82521511573988926</v>
      </c>
    </row>
    <row r="841" spans="1:29" s="61" customFormat="1" ht="15.75" x14ac:dyDescent="0.2">
      <c r="A841" s="421"/>
      <c r="B841" s="318" t="s">
        <v>980</v>
      </c>
      <c r="C841" s="319" t="s">
        <v>973</v>
      </c>
      <c r="D841" s="292">
        <f>+D842+D843</f>
        <v>696721346.88</v>
      </c>
      <c r="E841" s="322">
        <f>SUM('ADICIONES  2021'!C841:N841)</f>
        <v>75000000</v>
      </c>
      <c r="F841" s="292">
        <f t="shared" ref="F841:J841" si="995">+F842+F843</f>
        <v>0</v>
      </c>
      <c r="G841" s="292">
        <f t="shared" si="995"/>
        <v>0</v>
      </c>
      <c r="H841" s="292">
        <f t="shared" si="995"/>
        <v>0</v>
      </c>
      <c r="I841" s="292">
        <f t="shared" si="995"/>
        <v>0</v>
      </c>
      <c r="J841" s="292">
        <f t="shared" si="995"/>
        <v>0</v>
      </c>
      <c r="K841" s="276">
        <f t="shared" si="978"/>
        <v>771721346.88</v>
      </c>
      <c r="L841" s="292">
        <f t="shared" ref="L841:Q841" si="996">+L842+L843</f>
        <v>92184693</v>
      </c>
      <c r="M841" s="292">
        <f t="shared" si="996"/>
        <v>51386019</v>
      </c>
      <c r="N841" s="292">
        <f t="shared" si="996"/>
        <v>53124456</v>
      </c>
      <c r="O841" s="292">
        <f t="shared" si="996"/>
        <v>61530072</v>
      </c>
      <c r="P841" s="292">
        <f t="shared" si="996"/>
        <v>56029569</v>
      </c>
      <c r="Q841" s="292">
        <f t="shared" si="996"/>
        <v>56682802.159999996</v>
      </c>
      <c r="R841" s="276">
        <f t="shared" si="986"/>
        <v>370937611.15999997</v>
      </c>
      <c r="S841" s="292">
        <f t="shared" ref="S841:Z841" si="997">+S842+S843</f>
        <v>58688396.25</v>
      </c>
      <c r="T841" s="292">
        <f t="shared" si="997"/>
        <v>63195757.159999996</v>
      </c>
      <c r="U841" s="292">
        <f t="shared" si="997"/>
        <v>64062706.159999996</v>
      </c>
      <c r="V841" s="292">
        <f t="shared" si="997"/>
        <v>65032525.649999999</v>
      </c>
      <c r="W841" s="292">
        <f t="shared" si="997"/>
        <v>65032525.649999999</v>
      </c>
      <c r="X841" s="292">
        <f t="shared" si="997"/>
        <v>72494026.159999996</v>
      </c>
      <c r="Y841" s="292">
        <f t="shared" si="997"/>
        <v>307501.35000002384</v>
      </c>
      <c r="Z841" s="292">
        <f t="shared" si="997"/>
        <v>0</v>
      </c>
      <c r="AA841" s="276">
        <f t="shared" si="988"/>
        <v>388813438.38</v>
      </c>
      <c r="AB841" s="402">
        <f t="shared" si="965"/>
        <v>759751049.53999996</v>
      </c>
      <c r="AC841" s="321">
        <f t="shared" si="966"/>
        <v>0.98448883474793736</v>
      </c>
    </row>
    <row r="842" spans="1:29" ht="14.25" x14ac:dyDescent="0.2">
      <c r="B842" s="323" t="s">
        <v>981</v>
      </c>
      <c r="C842" s="206" t="s">
        <v>378</v>
      </c>
      <c r="D842" s="303">
        <v>696721346.88</v>
      </c>
      <c r="E842" s="325">
        <f>SUM('ADICIONES  2021'!C842:N842)</f>
        <v>0</v>
      </c>
      <c r="F842" s="290"/>
      <c r="G842" s="290"/>
      <c r="H842" s="290"/>
      <c r="I842" s="290"/>
      <c r="J842" s="290"/>
      <c r="K842" s="281">
        <f t="shared" si="978"/>
        <v>696721346.88</v>
      </c>
      <c r="L842" s="290">
        <v>92184693</v>
      </c>
      <c r="M842" s="290">
        <v>51386019</v>
      </c>
      <c r="N842" s="290">
        <v>53124456</v>
      </c>
      <c r="O842" s="290">
        <v>61530072</v>
      </c>
      <c r="P842" s="290">
        <v>56029569</v>
      </c>
      <c r="Q842" s="290">
        <v>56682802.159999996</v>
      </c>
      <c r="R842" s="281">
        <f t="shared" si="986"/>
        <v>370937611.15999997</v>
      </c>
      <c r="S842" s="290">
        <v>58688396.25</v>
      </c>
      <c r="T842" s="290">
        <v>63195757.159999996</v>
      </c>
      <c r="U842" s="290">
        <v>64062706.159999996</v>
      </c>
      <c r="V842" s="290">
        <v>65032525.649999999</v>
      </c>
      <c r="W842" s="290">
        <v>65032525.649999999</v>
      </c>
      <c r="X842" s="290">
        <v>9464323.5</v>
      </c>
      <c r="Y842" s="290">
        <v>307501.35000002384</v>
      </c>
      <c r="Z842" s="290"/>
      <c r="AA842" s="281">
        <f t="shared" si="988"/>
        <v>325783735.72000003</v>
      </c>
      <c r="AB842" s="403">
        <f t="shared" si="965"/>
        <v>696721346.88</v>
      </c>
      <c r="AC842" s="326">
        <f t="shared" si="966"/>
        <v>1</v>
      </c>
    </row>
    <row r="843" spans="1:29" ht="14.25" x14ac:dyDescent="0.2">
      <c r="B843" s="323" t="s">
        <v>981</v>
      </c>
      <c r="C843" s="206" t="s">
        <v>378</v>
      </c>
      <c r="D843" s="303"/>
      <c r="E843" s="325">
        <f>SUM('ADICIONES  2021'!C843:N843)</f>
        <v>75000000</v>
      </c>
      <c r="F843" s="290"/>
      <c r="G843" s="290"/>
      <c r="H843" s="290"/>
      <c r="I843" s="290"/>
      <c r="J843" s="290"/>
      <c r="K843" s="281">
        <f t="shared" si="978"/>
        <v>75000000</v>
      </c>
      <c r="L843" s="290"/>
      <c r="M843" s="290"/>
      <c r="N843" s="290"/>
      <c r="O843" s="290"/>
      <c r="P843" s="290"/>
      <c r="Q843" s="290"/>
      <c r="R843" s="281">
        <f t="shared" si="986"/>
        <v>0</v>
      </c>
      <c r="S843" s="290"/>
      <c r="T843" s="290"/>
      <c r="U843" s="290"/>
      <c r="V843" s="290"/>
      <c r="W843" s="290"/>
      <c r="X843" s="290">
        <v>63029702.659999996</v>
      </c>
      <c r="Y843" s="290"/>
      <c r="Z843" s="290"/>
      <c r="AA843" s="281">
        <f t="shared" ref="AA843" si="998">SUM(S843:Z843)</f>
        <v>63029702.659999996</v>
      </c>
      <c r="AB843" s="403">
        <f t="shared" ref="AB843" si="999">+R843+AA843</f>
        <v>63029702.659999996</v>
      </c>
      <c r="AC843" s="326">
        <f t="shared" ref="AC843" si="1000">+AB843/K843</f>
        <v>0.84039603546666664</v>
      </c>
    </row>
    <row r="844" spans="1:29" s="61" customFormat="1" ht="25.5" x14ac:dyDescent="0.2">
      <c r="A844" s="421">
        <v>1</v>
      </c>
      <c r="B844" s="318" t="s">
        <v>982</v>
      </c>
      <c r="C844" s="319" t="s">
        <v>983</v>
      </c>
      <c r="D844" s="292">
        <f>SUM(D845:D847)</f>
        <v>810355602.97000003</v>
      </c>
      <c r="E844" s="322">
        <f>SUM('ADICIONES  2021'!C844:N844)</f>
        <v>170538869.03</v>
      </c>
      <c r="F844" s="289"/>
      <c r="G844" s="289">
        <f t="shared" ref="G844:J844" si="1001">SUM(G845:G847)</f>
        <v>0</v>
      </c>
      <c r="H844" s="289">
        <f t="shared" si="1001"/>
        <v>0</v>
      </c>
      <c r="I844" s="289">
        <f t="shared" si="1001"/>
        <v>0</v>
      </c>
      <c r="J844" s="289">
        <f t="shared" si="1001"/>
        <v>0</v>
      </c>
      <c r="K844" s="276">
        <f t="shared" si="978"/>
        <v>980894472</v>
      </c>
      <c r="L844" s="289">
        <f t="shared" ref="L844:Q844" si="1002">SUM(L845:L847)</f>
        <v>0</v>
      </c>
      <c r="M844" s="289">
        <f t="shared" si="1002"/>
        <v>734170854</v>
      </c>
      <c r="N844" s="289">
        <f t="shared" si="1002"/>
        <v>244723618</v>
      </c>
      <c r="O844" s="289">
        <f t="shared" si="1002"/>
        <v>0</v>
      </c>
      <c r="P844" s="289">
        <f t="shared" si="1002"/>
        <v>0</v>
      </c>
      <c r="Q844" s="289">
        <f t="shared" si="1002"/>
        <v>0</v>
      </c>
      <c r="R844" s="276">
        <f t="shared" si="986"/>
        <v>978894472</v>
      </c>
      <c r="S844" s="289">
        <f t="shared" ref="S844:Z844" si="1003">SUM(S845:S847)</f>
        <v>495518.33</v>
      </c>
      <c r="T844" s="289">
        <f t="shared" si="1003"/>
        <v>0</v>
      </c>
      <c r="U844" s="289">
        <f>SUM(U845:U847)</f>
        <v>0</v>
      </c>
      <c r="V844" s="289">
        <f t="shared" si="1003"/>
        <v>0</v>
      </c>
      <c r="W844" s="289">
        <f t="shared" si="1003"/>
        <v>826.21</v>
      </c>
      <c r="X844" s="289">
        <f t="shared" si="1003"/>
        <v>0</v>
      </c>
      <c r="Y844" s="289">
        <f t="shared" si="1003"/>
        <v>0</v>
      </c>
      <c r="Z844" s="289">
        <f t="shared" si="1003"/>
        <v>0</v>
      </c>
      <c r="AA844" s="276">
        <f t="shared" si="988"/>
        <v>496344.54000000004</v>
      </c>
      <c r="AB844" s="402">
        <f t="shared" si="965"/>
        <v>979390816.53999996</v>
      </c>
      <c r="AC844" s="321">
        <f t="shared" si="966"/>
        <v>0.99846705685175885</v>
      </c>
    </row>
    <row r="845" spans="1:29" ht="14.25" x14ac:dyDescent="0.2">
      <c r="B845" s="323" t="s">
        <v>984</v>
      </c>
      <c r="C845" s="206" t="s">
        <v>375</v>
      </c>
      <c r="D845" s="303">
        <v>202588887.19999999</v>
      </c>
      <c r="E845" s="325">
        <f>SUM('ADICIONES  2021'!C845:N845)</f>
        <v>0</v>
      </c>
      <c r="F845" s="290"/>
      <c r="G845" s="290"/>
      <c r="H845" s="290"/>
      <c r="I845" s="290"/>
      <c r="J845" s="290"/>
      <c r="K845" s="281">
        <f t="shared" si="978"/>
        <v>202588887.19999999</v>
      </c>
      <c r="L845" s="290">
        <v>0</v>
      </c>
      <c r="M845" s="290">
        <v>0</v>
      </c>
      <c r="N845" s="290">
        <v>244723618</v>
      </c>
      <c r="O845" s="290">
        <v>-42134730.799999997</v>
      </c>
      <c r="P845" s="290"/>
      <c r="Q845" s="290"/>
      <c r="R845" s="281">
        <f t="shared" si="986"/>
        <v>202588887.19999999</v>
      </c>
      <c r="S845" s="290">
        <v>0</v>
      </c>
      <c r="T845" s="290"/>
      <c r="U845" s="290">
        <v>0</v>
      </c>
      <c r="V845" s="290">
        <v>0</v>
      </c>
      <c r="W845" s="290"/>
      <c r="X845" s="290"/>
      <c r="Y845" s="290"/>
      <c r="Z845" s="290"/>
      <c r="AA845" s="281">
        <f t="shared" si="988"/>
        <v>0</v>
      </c>
      <c r="AB845" s="403">
        <f t="shared" si="965"/>
        <v>202588887.19999999</v>
      </c>
      <c r="AC845" s="326">
        <f t="shared" si="966"/>
        <v>1</v>
      </c>
    </row>
    <row r="846" spans="1:29" ht="14.25" x14ac:dyDescent="0.2">
      <c r="B846" s="323" t="s">
        <v>984</v>
      </c>
      <c r="C846" s="206" t="s">
        <v>375</v>
      </c>
      <c r="D846" s="303"/>
      <c r="E846" s="325">
        <f>SUM('ADICIONES  2021'!C846:N846)</f>
        <v>42134730.799999997</v>
      </c>
      <c r="F846" s="290"/>
      <c r="G846" s="290"/>
      <c r="H846" s="290"/>
      <c r="I846" s="290"/>
      <c r="J846" s="290"/>
      <c r="K846" s="281">
        <f t="shared" si="978"/>
        <v>42134730.799999997</v>
      </c>
      <c r="L846" s="290"/>
      <c r="M846" s="290"/>
      <c r="N846" s="290"/>
      <c r="O846" s="290">
        <v>42134730.799999997</v>
      </c>
      <c r="P846" s="290"/>
      <c r="Q846" s="290"/>
      <c r="R846" s="281">
        <f t="shared" si="986"/>
        <v>42134730.799999997</v>
      </c>
      <c r="S846" s="290">
        <v>0</v>
      </c>
      <c r="T846" s="290"/>
      <c r="U846" s="290">
        <v>0</v>
      </c>
      <c r="V846" s="290">
        <v>0</v>
      </c>
      <c r="W846" s="290"/>
      <c r="X846" s="290"/>
      <c r="Y846" s="290"/>
      <c r="Z846" s="290"/>
      <c r="AA846" s="281">
        <f t="shared" ref="AA846" si="1004">SUM(S846:Z846)</f>
        <v>0</v>
      </c>
      <c r="AB846" s="403">
        <f t="shared" si="965"/>
        <v>42134730.799999997</v>
      </c>
      <c r="AC846" s="326">
        <f t="shared" si="966"/>
        <v>1</v>
      </c>
    </row>
    <row r="847" spans="1:29" s="61" customFormat="1" ht="15.75" x14ac:dyDescent="0.2">
      <c r="A847" s="421"/>
      <c r="B847" s="318" t="s">
        <v>985</v>
      </c>
      <c r="C847" s="319" t="s">
        <v>986</v>
      </c>
      <c r="D847" s="292">
        <f>SUM(D848:D850)</f>
        <v>607766715.76999998</v>
      </c>
      <c r="E847" s="322">
        <f>SUM('ADICIONES  2021'!C847:N847)</f>
        <v>128404138.23</v>
      </c>
      <c r="F847" s="292">
        <f t="shared" ref="F847:J847" si="1005">SUM(F848:F850)</f>
        <v>0</v>
      </c>
      <c r="G847" s="292">
        <f t="shared" si="1005"/>
        <v>0</v>
      </c>
      <c r="H847" s="292">
        <f t="shared" si="1005"/>
        <v>0</v>
      </c>
      <c r="I847" s="292">
        <f t="shared" si="1005"/>
        <v>0</v>
      </c>
      <c r="J847" s="292">
        <f t="shared" si="1005"/>
        <v>0</v>
      </c>
      <c r="K847" s="276">
        <f t="shared" si="978"/>
        <v>736170854</v>
      </c>
      <c r="L847" s="292">
        <f t="shared" ref="L847:Q847" si="1006">SUM(L848:L850)</f>
        <v>0</v>
      </c>
      <c r="M847" s="292">
        <f t="shared" si="1006"/>
        <v>734170854</v>
      </c>
      <c r="N847" s="292">
        <f t="shared" si="1006"/>
        <v>0</v>
      </c>
      <c r="O847" s="292">
        <f t="shared" si="1006"/>
        <v>0</v>
      </c>
      <c r="P847" s="292">
        <f t="shared" si="1006"/>
        <v>0</v>
      </c>
      <c r="Q847" s="292">
        <f t="shared" si="1006"/>
        <v>0</v>
      </c>
      <c r="R847" s="276">
        <f t="shared" si="986"/>
        <v>734170854</v>
      </c>
      <c r="S847" s="292">
        <f t="shared" ref="S847:Z847" si="1007">SUM(S848:S850)</f>
        <v>495518.33</v>
      </c>
      <c r="T847" s="292">
        <f t="shared" si="1007"/>
        <v>0</v>
      </c>
      <c r="U847" s="292">
        <f>SUM(U848:U850)</f>
        <v>0</v>
      </c>
      <c r="V847" s="292">
        <f t="shared" si="1007"/>
        <v>0</v>
      </c>
      <c r="W847" s="292">
        <f t="shared" si="1007"/>
        <v>826.21</v>
      </c>
      <c r="X847" s="292">
        <f t="shared" si="1007"/>
        <v>0</v>
      </c>
      <c r="Y847" s="292">
        <f t="shared" si="1007"/>
        <v>0</v>
      </c>
      <c r="Z847" s="292">
        <f t="shared" si="1007"/>
        <v>0</v>
      </c>
      <c r="AA847" s="276">
        <f t="shared" si="988"/>
        <v>496344.54000000004</v>
      </c>
      <c r="AB847" s="402">
        <f t="shared" si="965"/>
        <v>734667198.53999996</v>
      </c>
      <c r="AC847" s="321">
        <f t="shared" si="966"/>
        <v>0.99795746401554764</v>
      </c>
    </row>
    <row r="848" spans="1:29" ht="14.25" x14ac:dyDescent="0.2">
      <c r="B848" s="323" t="s">
        <v>987</v>
      </c>
      <c r="C848" s="206" t="s">
        <v>378</v>
      </c>
      <c r="D848" s="303">
        <v>607766715.76999998</v>
      </c>
      <c r="E848" s="325">
        <f>SUM('ADICIONES  2021'!C848:N848)</f>
        <v>0</v>
      </c>
      <c r="F848" s="290"/>
      <c r="G848" s="290"/>
      <c r="H848" s="290"/>
      <c r="I848" s="290"/>
      <c r="J848" s="290"/>
      <c r="K848" s="281">
        <f t="shared" si="978"/>
        <v>607766715.76999998</v>
      </c>
      <c r="L848" s="290">
        <v>0</v>
      </c>
      <c r="M848" s="290">
        <v>734170854</v>
      </c>
      <c r="N848" s="290">
        <v>0</v>
      </c>
      <c r="O848" s="290">
        <v>-126404138.23</v>
      </c>
      <c r="P848" s="290"/>
      <c r="Q848" s="290"/>
      <c r="R848" s="281">
        <f t="shared" si="986"/>
        <v>607766715.76999998</v>
      </c>
      <c r="S848" s="290">
        <v>495518.33</v>
      </c>
      <c r="T848" s="290"/>
      <c r="U848" s="290">
        <v>-495518.33</v>
      </c>
      <c r="V848" s="290">
        <v>0</v>
      </c>
      <c r="W848" s="290">
        <v>0</v>
      </c>
      <c r="X848" s="290"/>
      <c r="Y848" s="290"/>
      <c r="Z848" s="290"/>
      <c r="AA848" s="281">
        <f t="shared" si="988"/>
        <v>0</v>
      </c>
      <c r="AB848" s="403">
        <f t="shared" si="965"/>
        <v>607766715.76999998</v>
      </c>
      <c r="AC848" s="326">
        <f t="shared" si="966"/>
        <v>1</v>
      </c>
    </row>
    <row r="849" spans="1:29" ht="14.25" x14ac:dyDescent="0.2">
      <c r="B849" s="323" t="s">
        <v>987</v>
      </c>
      <c r="C849" s="206" t="s">
        <v>378</v>
      </c>
      <c r="D849" s="303"/>
      <c r="E849" s="325">
        <f>SUM('ADICIONES  2021'!C849:N849)</f>
        <v>126404138.23</v>
      </c>
      <c r="F849" s="290"/>
      <c r="G849" s="290"/>
      <c r="H849" s="290"/>
      <c r="I849" s="290"/>
      <c r="J849" s="290"/>
      <c r="K849" s="281">
        <f t="shared" si="978"/>
        <v>126404138.23</v>
      </c>
      <c r="L849" s="290"/>
      <c r="M849" s="290"/>
      <c r="N849" s="290"/>
      <c r="O849" s="290">
        <v>126404138.23</v>
      </c>
      <c r="P849" s="290"/>
      <c r="Q849" s="290"/>
      <c r="R849" s="281">
        <f t="shared" si="986"/>
        <v>126404138.23</v>
      </c>
      <c r="S849" s="290">
        <v>0</v>
      </c>
      <c r="T849" s="290"/>
      <c r="U849" s="290">
        <v>0</v>
      </c>
      <c r="V849" s="290">
        <v>0</v>
      </c>
      <c r="W849" s="290">
        <v>0</v>
      </c>
      <c r="X849" s="290"/>
      <c r="Y849" s="290"/>
      <c r="Z849" s="290"/>
      <c r="AA849" s="281">
        <f t="shared" ref="AA849:AA850" si="1008">SUM(S849:Z849)</f>
        <v>0</v>
      </c>
      <c r="AB849" s="403">
        <f t="shared" si="965"/>
        <v>126404138.23</v>
      </c>
      <c r="AC849" s="326">
        <f t="shared" si="966"/>
        <v>1</v>
      </c>
    </row>
    <row r="850" spans="1:29" ht="14.25" x14ac:dyDescent="0.2">
      <c r="B850" s="323" t="s">
        <v>987</v>
      </c>
      <c r="C850" s="206" t="s">
        <v>378</v>
      </c>
      <c r="D850" s="303"/>
      <c r="E850" s="325">
        <f>SUM('ADICIONES  2021'!C850:N850)</f>
        <v>2000000</v>
      </c>
      <c r="F850" s="290"/>
      <c r="G850" s="290"/>
      <c r="H850" s="290"/>
      <c r="I850" s="290"/>
      <c r="J850" s="290"/>
      <c r="K850" s="281">
        <f t="shared" si="978"/>
        <v>2000000</v>
      </c>
      <c r="L850" s="290"/>
      <c r="M850" s="290"/>
      <c r="N850" s="290"/>
      <c r="O850" s="290"/>
      <c r="P850" s="290"/>
      <c r="Q850" s="290"/>
      <c r="R850" s="281">
        <f t="shared" si="986"/>
        <v>0</v>
      </c>
      <c r="S850" s="290"/>
      <c r="T850" s="290"/>
      <c r="U850" s="290">
        <v>495518.33</v>
      </c>
      <c r="V850" s="290">
        <v>0</v>
      </c>
      <c r="W850" s="290">
        <v>826.21</v>
      </c>
      <c r="X850" s="290"/>
      <c r="Y850" s="290"/>
      <c r="Z850" s="290"/>
      <c r="AA850" s="281">
        <f t="shared" si="1008"/>
        <v>496344.54000000004</v>
      </c>
      <c r="AB850" s="403">
        <f t="shared" si="965"/>
        <v>496344.54000000004</v>
      </c>
      <c r="AC850" s="326">
        <f t="shared" si="966"/>
        <v>0.24817227000000003</v>
      </c>
    </row>
    <row r="851" spans="1:29" s="61" customFormat="1" ht="25.5" x14ac:dyDescent="0.2">
      <c r="A851" s="421">
        <v>1</v>
      </c>
      <c r="B851" s="318" t="s">
        <v>430</v>
      </c>
      <c r="C851" s="319" t="s">
        <v>988</v>
      </c>
      <c r="D851" s="292">
        <f>+D852+D861</f>
        <v>15174707593.51</v>
      </c>
      <c r="E851" s="322">
        <f>SUM('ADICIONES  2021'!C851:N851)</f>
        <v>3950000000</v>
      </c>
      <c r="F851" s="289"/>
      <c r="G851" s="289">
        <f t="shared" ref="G851:J851" si="1009">+G852+G861</f>
        <v>0</v>
      </c>
      <c r="H851" s="289">
        <f t="shared" si="1009"/>
        <v>0</v>
      </c>
      <c r="I851" s="289">
        <f t="shared" si="1009"/>
        <v>0</v>
      </c>
      <c r="J851" s="289">
        <f t="shared" si="1009"/>
        <v>0</v>
      </c>
      <c r="K851" s="276">
        <f t="shared" si="978"/>
        <v>19124707593.510002</v>
      </c>
      <c r="L851" s="289">
        <f t="shared" ref="L851:Q851" si="1010">+L852+L861</f>
        <v>2204930018</v>
      </c>
      <c r="M851" s="289">
        <f t="shared" si="1010"/>
        <v>769757009</v>
      </c>
      <c r="N851" s="289">
        <f t="shared" si="1010"/>
        <v>2035794114</v>
      </c>
      <c r="O851" s="289">
        <f t="shared" si="1010"/>
        <v>744842987</v>
      </c>
      <c r="P851" s="289">
        <f t="shared" si="1010"/>
        <v>961809563</v>
      </c>
      <c r="Q851" s="289">
        <f t="shared" si="1010"/>
        <v>813504792</v>
      </c>
      <c r="R851" s="276">
        <f t="shared" si="986"/>
        <v>7530638483</v>
      </c>
      <c r="S851" s="289">
        <f t="shared" ref="S851:Z851" si="1011">+S852+S861</f>
        <v>2147285414.3699999</v>
      </c>
      <c r="T851" s="289">
        <f t="shared" si="1011"/>
        <v>612249233</v>
      </c>
      <c r="U851" s="289">
        <f>+U852+U861</f>
        <v>3147617643</v>
      </c>
      <c r="V851" s="289">
        <f t="shared" si="1011"/>
        <v>2279254048</v>
      </c>
      <c r="W851" s="289">
        <f t="shared" si="1011"/>
        <v>2749318382.8699999</v>
      </c>
      <c r="X851" s="289">
        <f t="shared" si="1011"/>
        <v>2409792007</v>
      </c>
      <c r="Y851" s="289">
        <f t="shared" si="1011"/>
        <v>0</v>
      </c>
      <c r="Z851" s="289">
        <f t="shared" si="1011"/>
        <v>0</v>
      </c>
      <c r="AA851" s="276">
        <f t="shared" si="988"/>
        <v>13345516728.24</v>
      </c>
      <c r="AB851" s="402">
        <f t="shared" si="965"/>
        <v>20876155211.239998</v>
      </c>
      <c r="AC851" s="321">
        <f t="shared" si="966"/>
        <v>1.0915803605972179</v>
      </c>
    </row>
    <row r="852" spans="1:29" s="61" customFormat="1" ht="15.75" x14ac:dyDescent="0.2">
      <c r="A852" s="421">
        <v>1</v>
      </c>
      <c r="B852" s="318" t="s">
        <v>432</v>
      </c>
      <c r="C852" s="319" t="s">
        <v>989</v>
      </c>
      <c r="D852" s="292">
        <f>+D853</f>
        <v>7092000000</v>
      </c>
      <c r="E852" s="322">
        <f>SUM('ADICIONES  2021'!C852:N852)</f>
        <v>762000000</v>
      </c>
      <c r="F852" s="289"/>
      <c r="G852" s="289">
        <f t="shared" ref="G852:J852" si="1012">+G853</f>
        <v>0</v>
      </c>
      <c r="H852" s="289">
        <f t="shared" si="1012"/>
        <v>0</v>
      </c>
      <c r="I852" s="289">
        <f t="shared" si="1012"/>
        <v>0</v>
      </c>
      <c r="J852" s="289">
        <f t="shared" si="1012"/>
        <v>0</v>
      </c>
      <c r="K852" s="276">
        <f t="shared" si="978"/>
        <v>7854000000</v>
      </c>
      <c r="L852" s="289">
        <f t="shared" ref="L852:Q852" si="1013">+L853</f>
        <v>978466605</v>
      </c>
      <c r="M852" s="289">
        <f t="shared" si="1013"/>
        <v>346208735</v>
      </c>
      <c r="N852" s="289">
        <f t="shared" si="1013"/>
        <v>654264045</v>
      </c>
      <c r="O852" s="289">
        <f t="shared" si="1013"/>
        <v>478782534</v>
      </c>
      <c r="P852" s="289">
        <f t="shared" si="1013"/>
        <v>474244328</v>
      </c>
      <c r="Q852" s="289">
        <f t="shared" si="1013"/>
        <v>378323582</v>
      </c>
      <c r="R852" s="276">
        <f t="shared" si="986"/>
        <v>3310289829</v>
      </c>
      <c r="S852" s="289">
        <f t="shared" ref="S852:Z852" si="1014">+S853</f>
        <v>657268445.94000006</v>
      </c>
      <c r="T852" s="289">
        <f t="shared" si="1014"/>
        <v>189398518</v>
      </c>
      <c r="U852" s="289">
        <f>+U853</f>
        <v>1142053481</v>
      </c>
      <c r="V852" s="289">
        <f t="shared" si="1014"/>
        <v>1124022086</v>
      </c>
      <c r="W852" s="289">
        <f t="shared" si="1014"/>
        <v>777451277.87</v>
      </c>
      <c r="X852" s="289">
        <f t="shared" si="1014"/>
        <v>1336807882</v>
      </c>
      <c r="Y852" s="289">
        <f t="shared" si="1014"/>
        <v>0</v>
      </c>
      <c r="Z852" s="289">
        <f t="shared" si="1014"/>
        <v>0</v>
      </c>
      <c r="AA852" s="276">
        <f t="shared" si="988"/>
        <v>5227001690.8099995</v>
      </c>
      <c r="AB852" s="402">
        <f t="shared" si="965"/>
        <v>8537291519.8099995</v>
      </c>
      <c r="AC852" s="321">
        <f t="shared" si="966"/>
        <v>1.0869991749185128</v>
      </c>
    </row>
    <row r="853" spans="1:29" s="61" customFormat="1" ht="25.5" x14ac:dyDescent="0.2">
      <c r="A853" s="421"/>
      <c r="B853" s="318" t="s">
        <v>441</v>
      </c>
      <c r="C853" s="319" t="s">
        <v>990</v>
      </c>
      <c r="D853" s="292">
        <f>SUM(D854:D858)</f>
        <v>7092000000</v>
      </c>
      <c r="E853" s="322">
        <f>SUM('ADICIONES  2021'!C853:N853)</f>
        <v>762000000</v>
      </c>
      <c r="F853" s="289"/>
      <c r="G853" s="289">
        <f t="shared" ref="G853:J853" si="1015">SUM(G854:G858)</f>
        <v>0</v>
      </c>
      <c r="H853" s="289">
        <f t="shared" si="1015"/>
        <v>0</v>
      </c>
      <c r="I853" s="289">
        <f t="shared" si="1015"/>
        <v>0</v>
      </c>
      <c r="J853" s="289">
        <f t="shared" si="1015"/>
        <v>0</v>
      </c>
      <c r="K853" s="276">
        <f t="shared" si="978"/>
        <v>7854000000</v>
      </c>
      <c r="L853" s="289">
        <f t="shared" ref="L853:Q853" si="1016">SUM(L854:L858)</f>
        <v>978466605</v>
      </c>
      <c r="M853" s="289">
        <f t="shared" si="1016"/>
        <v>346208735</v>
      </c>
      <c r="N853" s="289">
        <f t="shared" si="1016"/>
        <v>654264045</v>
      </c>
      <c r="O853" s="289">
        <f t="shared" si="1016"/>
        <v>478782534</v>
      </c>
      <c r="P853" s="289">
        <f t="shared" si="1016"/>
        <v>474244328</v>
      </c>
      <c r="Q853" s="289">
        <f t="shared" si="1016"/>
        <v>378323582</v>
      </c>
      <c r="R853" s="276">
        <f t="shared" si="986"/>
        <v>3310289829</v>
      </c>
      <c r="S853" s="289">
        <f t="shared" ref="S853:Z853" si="1017">SUM(S854:S858)</f>
        <v>657268445.94000006</v>
      </c>
      <c r="T853" s="289">
        <f t="shared" si="1017"/>
        <v>189398518</v>
      </c>
      <c r="U853" s="289">
        <f>SUM(U854:U858)</f>
        <v>1142053481</v>
      </c>
      <c r="V853" s="289">
        <f t="shared" si="1017"/>
        <v>1124022086</v>
      </c>
      <c r="W853" s="289">
        <f t="shared" si="1017"/>
        <v>777451277.87</v>
      </c>
      <c r="X853" s="289">
        <f t="shared" si="1017"/>
        <v>1336807882</v>
      </c>
      <c r="Y853" s="289">
        <f t="shared" si="1017"/>
        <v>0</v>
      </c>
      <c r="Z853" s="289">
        <f t="shared" si="1017"/>
        <v>0</v>
      </c>
      <c r="AA853" s="276">
        <f t="shared" si="988"/>
        <v>5227001690.8099995</v>
      </c>
      <c r="AB853" s="402">
        <f t="shared" si="965"/>
        <v>8537291519.8099995</v>
      </c>
      <c r="AC853" s="321">
        <f t="shared" si="966"/>
        <v>1.0869991749185128</v>
      </c>
    </row>
    <row r="854" spans="1:29" ht="14.25" x14ac:dyDescent="0.2">
      <c r="B854" s="323" t="s">
        <v>443</v>
      </c>
      <c r="C854" s="206" t="s">
        <v>375</v>
      </c>
      <c r="D854" s="303">
        <f>+D856</f>
        <v>1773000000</v>
      </c>
      <c r="E854" s="325">
        <f>SUM('ADICIONES  2021'!C854:N854)</f>
        <v>0</v>
      </c>
      <c r="F854" s="290"/>
      <c r="G854" s="290"/>
      <c r="H854" s="290"/>
      <c r="I854" s="290"/>
      <c r="J854" s="290"/>
      <c r="K854" s="281">
        <f t="shared" si="978"/>
        <v>1773000000</v>
      </c>
      <c r="L854" s="290">
        <v>244616651</v>
      </c>
      <c r="M854" s="290">
        <v>86552184</v>
      </c>
      <c r="N854" s="290">
        <v>163619062</v>
      </c>
      <c r="O854" s="290">
        <v>119695600</v>
      </c>
      <c r="P854" s="290">
        <v>118561000</v>
      </c>
      <c r="Q854" s="290">
        <v>94584130</v>
      </c>
      <c r="R854" s="281">
        <f t="shared" si="986"/>
        <v>827628627</v>
      </c>
      <c r="S854" s="290">
        <v>163093650</v>
      </c>
      <c r="T854" s="290">
        <v>47349600</v>
      </c>
      <c r="U854" s="290">
        <v>283275014</v>
      </c>
      <c r="V854" s="290">
        <v>281007108</v>
      </c>
      <c r="W854" s="290">
        <v>170646001</v>
      </c>
      <c r="X854" s="290">
        <v>167063085</v>
      </c>
      <c r="Y854" s="290"/>
      <c r="Z854" s="290"/>
      <c r="AA854" s="281">
        <f t="shared" si="988"/>
        <v>1112434458</v>
      </c>
      <c r="AB854" s="403">
        <f t="shared" si="965"/>
        <v>1940063085</v>
      </c>
      <c r="AC854" s="326">
        <f t="shared" si="966"/>
        <v>1.0942262182741116</v>
      </c>
    </row>
    <row r="855" spans="1:29" ht="14.25" x14ac:dyDescent="0.2">
      <c r="B855" s="323" t="s">
        <v>443</v>
      </c>
      <c r="C855" s="206" t="s">
        <v>375</v>
      </c>
      <c r="D855" s="303"/>
      <c r="E855" s="325">
        <f>SUM('ADICIONES  2021'!C855:N855)</f>
        <v>190500000</v>
      </c>
      <c r="F855" s="290"/>
      <c r="G855" s="290"/>
      <c r="H855" s="290"/>
      <c r="I855" s="290"/>
      <c r="J855" s="290"/>
      <c r="K855" s="281">
        <f t="shared" si="978"/>
        <v>190500000</v>
      </c>
      <c r="L855" s="290"/>
      <c r="M855" s="290"/>
      <c r="N855" s="290"/>
      <c r="O855" s="290"/>
      <c r="P855" s="290"/>
      <c r="Q855" s="290"/>
      <c r="R855" s="281">
        <f t="shared" si="986"/>
        <v>0</v>
      </c>
      <c r="S855" s="290"/>
      <c r="T855" s="290"/>
      <c r="U855" s="290"/>
      <c r="V855" s="290"/>
      <c r="W855" s="290">
        <v>23306885</v>
      </c>
      <c r="X855" s="290">
        <v>167193115</v>
      </c>
      <c r="Y855" s="290"/>
      <c r="Z855" s="290"/>
      <c r="AA855" s="281">
        <f t="shared" ref="AA855:AA857" si="1018">SUM(S855:Z855)</f>
        <v>190500000</v>
      </c>
      <c r="AB855" s="403">
        <f t="shared" si="965"/>
        <v>190500000</v>
      </c>
      <c r="AC855" s="326">
        <v>0</v>
      </c>
    </row>
    <row r="856" spans="1:29" ht="25.5" x14ac:dyDescent="0.2">
      <c r="B856" s="323" t="s">
        <v>444</v>
      </c>
      <c r="C856" s="206" t="s">
        <v>376</v>
      </c>
      <c r="D856" s="303">
        <v>1773000000</v>
      </c>
      <c r="E856" s="325">
        <f>SUM('ADICIONES  2021'!C856:N856)</f>
        <v>0</v>
      </c>
      <c r="F856" s="290"/>
      <c r="G856" s="290"/>
      <c r="H856" s="290"/>
      <c r="I856" s="290"/>
      <c r="J856" s="290"/>
      <c r="K856" s="281">
        <f t="shared" si="978"/>
        <v>1773000000</v>
      </c>
      <c r="L856" s="290">
        <v>244616651</v>
      </c>
      <c r="M856" s="290">
        <v>86552184</v>
      </c>
      <c r="N856" s="290">
        <v>163619062</v>
      </c>
      <c r="O856" s="290">
        <v>119695600</v>
      </c>
      <c r="P856" s="290">
        <v>118561000</v>
      </c>
      <c r="Q856" s="290">
        <v>94584130</v>
      </c>
      <c r="R856" s="281">
        <f t="shared" si="986"/>
        <v>827628627</v>
      </c>
      <c r="S856" s="290">
        <v>163093650</v>
      </c>
      <c r="T856" s="290">
        <v>47349600</v>
      </c>
      <c r="U856" s="290">
        <v>283275014</v>
      </c>
      <c r="V856" s="290">
        <v>281007108</v>
      </c>
      <c r="W856" s="290">
        <v>170646001</v>
      </c>
      <c r="X856" s="290">
        <v>167063085</v>
      </c>
      <c r="Y856" s="290"/>
      <c r="Z856" s="290"/>
      <c r="AA856" s="281">
        <f t="shared" si="1018"/>
        <v>1112434458</v>
      </c>
      <c r="AB856" s="403">
        <f t="shared" si="965"/>
        <v>1940063085</v>
      </c>
      <c r="AC856" s="326">
        <f t="shared" ref="AC856" si="1019">+AB856/K856</f>
        <v>1.0942262182741116</v>
      </c>
    </row>
    <row r="857" spans="1:29" ht="25.5" x14ac:dyDescent="0.2">
      <c r="B857" s="323" t="s">
        <v>444</v>
      </c>
      <c r="C857" s="206" t="s">
        <v>376</v>
      </c>
      <c r="D857" s="303"/>
      <c r="E857" s="325">
        <f>SUM('ADICIONES  2021'!C857:N857)</f>
        <v>190500000</v>
      </c>
      <c r="F857" s="290"/>
      <c r="G857" s="290"/>
      <c r="H857" s="290"/>
      <c r="I857" s="290"/>
      <c r="J857" s="290"/>
      <c r="K857" s="281">
        <f t="shared" si="978"/>
        <v>190500000</v>
      </c>
      <c r="L857" s="290"/>
      <c r="M857" s="290"/>
      <c r="N857" s="290"/>
      <c r="O857" s="290"/>
      <c r="P857" s="290"/>
      <c r="Q857" s="290"/>
      <c r="R857" s="281">
        <f t="shared" si="986"/>
        <v>0</v>
      </c>
      <c r="S857" s="290"/>
      <c r="T857" s="290"/>
      <c r="U857" s="290"/>
      <c r="V857" s="290"/>
      <c r="W857" s="290">
        <v>23306885</v>
      </c>
      <c r="X857" s="290">
        <v>167193115</v>
      </c>
      <c r="Y857" s="290"/>
      <c r="Z857" s="290"/>
      <c r="AA857" s="281">
        <f t="shared" si="1018"/>
        <v>190500000</v>
      </c>
      <c r="AB857" s="403">
        <f t="shared" si="965"/>
        <v>190500000</v>
      </c>
      <c r="AC857" s="326">
        <v>0</v>
      </c>
    </row>
    <row r="858" spans="1:29" s="61" customFormat="1" ht="15.75" x14ac:dyDescent="0.2">
      <c r="A858" s="421"/>
      <c r="B858" s="318" t="s">
        <v>445</v>
      </c>
      <c r="C858" s="319" t="s">
        <v>986</v>
      </c>
      <c r="D858" s="292">
        <f>+D859+D860</f>
        <v>3546000000</v>
      </c>
      <c r="E858" s="322">
        <f>SUM('ADICIONES  2021'!C858:N858)</f>
        <v>381000000</v>
      </c>
      <c r="F858" s="292">
        <f t="shared" ref="F858:I858" si="1020">+F859+F860</f>
        <v>0</v>
      </c>
      <c r="G858" s="292">
        <f t="shared" si="1020"/>
        <v>0</v>
      </c>
      <c r="H858" s="292">
        <f t="shared" si="1020"/>
        <v>0</v>
      </c>
      <c r="I858" s="292">
        <f t="shared" si="1020"/>
        <v>0</v>
      </c>
      <c r="J858" s="292">
        <f>+J859+J860</f>
        <v>0</v>
      </c>
      <c r="K858" s="276">
        <f t="shared" si="978"/>
        <v>3927000000</v>
      </c>
      <c r="L858" s="292">
        <f t="shared" ref="L858:Q858" si="1021">+L859+L860</f>
        <v>489233303</v>
      </c>
      <c r="M858" s="292">
        <f t="shared" si="1021"/>
        <v>173104367</v>
      </c>
      <c r="N858" s="292">
        <f t="shared" si="1021"/>
        <v>327025921</v>
      </c>
      <c r="O858" s="292">
        <f t="shared" si="1021"/>
        <v>239391334</v>
      </c>
      <c r="P858" s="292">
        <f t="shared" si="1021"/>
        <v>237122328</v>
      </c>
      <c r="Q858" s="292">
        <f t="shared" si="1021"/>
        <v>189155322</v>
      </c>
      <c r="R858" s="276">
        <f t="shared" si="986"/>
        <v>1655032575</v>
      </c>
      <c r="S858" s="292">
        <f t="shared" ref="S858:Z858" si="1022">+S859+S860</f>
        <v>331081145.94</v>
      </c>
      <c r="T858" s="292">
        <f t="shared" si="1022"/>
        <v>94699318</v>
      </c>
      <c r="U858" s="292">
        <f t="shared" si="1022"/>
        <v>575503453</v>
      </c>
      <c r="V858" s="292">
        <f t="shared" si="1022"/>
        <v>562007870</v>
      </c>
      <c r="W858" s="292">
        <f t="shared" si="1022"/>
        <v>389545505.87</v>
      </c>
      <c r="X858" s="292">
        <f t="shared" si="1022"/>
        <v>668295482</v>
      </c>
      <c r="Y858" s="292">
        <f t="shared" si="1022"/>
        <v>0</v>
      </c>
      <c r="Z858" s="292">
        <f t="shared" si="1022"/>
        <v>0</v>
      </c>
      <c r="AA858" s="276">
        <f t="shared" si="988"/>
        <v>2621132774.8099999</v>
      </c>
      <c r="AB858" s="402">
        <f t="shared" si="965"/>
        <v>4276165349.8099999</v>
      </c>
      <c r="AC858" s="321">
        <f t="shared" si="966"/>
        <v>1.0889140182862236</v>
      </c>
    </row>
    <row r="859" spans="1:29" ht="38.25" x14ac:dyDescent="0.2">
      <c r="B859" s="323" t="s">
        <v>991</v>
      </c>
      <c r="C859" s="206" t="s">
        <v>378</v>
      </c>
      <c r="D859" s="303">
        <v>3546000000</v>
      </c>
      <c r="E859" s="325">
        <f>SUM('ADICIONES  2021'!C859:N859)</f>
        <v>0</v>
      </c>
      <c r="F859" s="290"/>
      <c r="G859" s="290"/>
      <c r="H859" s="290"/>
      <c r="I859" s="290"/>
      <c r="J859" s="290"/>
      <c r="K859" s="281">
        <f t="shared" si="978"/>
        <v>3546000000</v>
      </c>
      <c r="L859" s="290">
        <v>489233303</v>
      </c>
      <c r="M859" s="290">
        <v>173104367</v>
      </c>
      <c r="N859" s="290">
        <v>327025921</v>
      </c>
      <c r="O859" s="290">
        <v>239391334</v>
      </c>
      <c r="P859" s="290">
        <v>237122328</v>
      </c>
      <c r="Q859" s="290">
        <v>189155322</v>
      </c>
      <c r="R859" s="281">
        <f t="shared" si="986"/>
        <v>1655032575</v>
      </c>
      <c r="S859" s="290">
        <v>331081145.94</v>
      </c>
      <c r="T859" s="290">
        <v>94699318</v>
      </c>
      <c r="U859" s="290">
        <v>575503453</v>
      </c>
      <c r="V859" s="290">
        <v>562007870</v>
      </c>
      <c r="W859" s="290">
        <v>327675638.06</v>
      </c>
      <c r="X859" s="290">
        <v>349165349.81</v>
      </c>
      <c r="Y859" s="290"/>
      <c r="Z859" s="290"/>
      <c r="AA859" s="281">
        <f t="shared" si="988"/>
        <v>2240132774.8099999</v>
      </c>
      <c r="AB859" s="403">
        <f t="shared" si="965"/>
        <v>3895165349.8099999</v>
      </c>
      <c r="AC859" s="326">
        <f t="shared" si="966"/>
        <v>1.0984673857332206</v>
      </c>
    </row>
    <row r="860" spans="1:29" ht="38.25" x14ac:dyDescent="0.2">
      <c r="B860" s="323" t="s">
        <v>991</v>
      </c>
      <c r="C860" s="206" t="s">
        <v>378</v>
      </c>
      <c r="D860" s="303"/>
      <c r="E860" s="325">
        <f>SUM('ADICIONES  2021'!C860:N860)</f>
        <v>381000000</v>
      </c>
      <c r="F860" s="290"/>
      <c r="G860" s="290"/>
      <c r="H860" s="290"/>
      <c r="I860" s="290"/>
      <c r="J860" s="290"/>
      <c r="K860" s="281">
        <f t="shared" si="978"/>
        <v>381000000</v>
      </c>
      <c r="L860" s="290"/>
      <c r="M860" s="290"/>
      <c r="N860" s="290"/>
      <c r="O860" s="290"/>
      <c r="P860" s="290"/>
      <c r="Q860" s="290"/>
      <c r="R860" s="281">
        <f t="shared" si="986"/>
        <v>0</v>
      </c>
      <c r="S860" s="290"/>
      <c r="T860" s="290"/>
      <c r="U860" s="290"/>
      <c r="V860" s="290"/>
      <c r="W860" s="290">
        <v>61869867.810000002</v>
      </c>
      <c r="X860" s="290">
        <v>319130132.19</v>
      </c>
      <c r="Y860" s="290"/>
      <c r="Z860" s="290"/>
      <c r="AA860" s="281">
        <f t="shared" ref="AA860" si="1023">SUM(S860:Z860)</f>
        <v>381000000</v>
      </c>
      <c r="AB860" s="403">
        <f t="shared" si="965"/>
        <v>381000000</v>
      </c>
      <c r="AC860" s="326">
        <v>0</v>
      </c>
    </row>
    <row r="861" spans="1:29" s="61" customFormat="1" ht="25.5" x14ac:dyDescent="0.2">
      <c r="A861" s="421">
        <v>1</v>
      </c>
      <c r="B861" s="318" t="s">
        <v>448</v>
      </c>
      <c r="C861" s="319" t="s">
        <v>992</v>
      </c>
      <c r="D861" s="292">
        <f>+D862+D873</f>
        <v>8082707593.5100002</v>
      </c>
      <c r="E861" s="322">
        <f>SUM('ADICIONES  2021'!C861:N861)</f>
        <v>3188000000</v>
      </c>
      <c r="F861" s="289"/>
      <c r="G861" s="289">
        <f t="shared" ref="G861:J861" si="1024">+G862+G873</f>
        <v>0</v>
      </c>
      <c r="H861" s="289">
        <f t="shared" si="1024"/>
        <v>0</v>
      </c>
      <c r="I861" s="289">
        <f t="shared" si="1024"/>
        <v>0</v>
      </c>
      <c r="J861" s="289">
        <f t="shared" si="1024"/>
        <v>0</v>
      </c>
      <c r="K861" s="276">
        <f t="shared" si="978"/>
        <v>11270707593.51</v>
      </c>
      <c r="L861" s="289">
        <f t="shared" ref="L861:Q861" si="1025">+L862+L873</f>
        <v>1226463413</v>
      </c>
      <c r="M861" s="289">
        <f t="shared" si="1025"/>
        <v>423548274</v>
      </c>
      <c r="N861" s="289">
        <f t="shared" si="1025"/>
        <v>1381530069</v>
      </c>
      <c r="O861" s="289">
        <f t="shared" si="1025"/>
        <v>266060453</v>
      </c>
      <c r="P861" s="289">
        <f t="shared" si="1025"/>
        <v>487565235</v>
      </c>
      <c r="Q861" s="289">
        <f t="shared" si="1025"/>
        <v>435181210</v>
      </c>
      <c r="R861" s="276">
        <f t="shared" si="986"/>
        <v>4220348654</v>
      </c>
      <c r="S861" s="289">
        <f t="shared" ref="S861:Z861" si="1026">+S862+S873</f>
        <v>1490016968.4299998</v>
      </c>
      <c r="T861" s="289">
        <f t="shared" si="1026"/>
        <v>422850715</v>
      </c>
      <c r="U861" s="289">
        <f>+U862+U873</f>
        <v>2005564162</v>
      </c>
      <c r="V861" s="289">
        <f t="shared" si="1026"/>
        <v>1155231962</v>
      </c>
      <c r="W861" s="289">
        <f t="shared" si="1026"/>
        <v>1971867105</v>
      </c>
      <c r="X861" s="289">
        <f t="shared" si="1026"/>
        <v>1072984125</v>
      </c>
      <c r="Y861" s="289">
        <f t="shared" si="1026"/>
        <v>0</v>
      </c>
      <c r="Z861" s="289">
        <f t="shared" si="1026"/>
        <v>0</v>
      </c>
      <c r="AA861" s="276">
        <f t="shared" si="988"/>
        <v>8118515037.4300003</v>
      </c>
      <c r="AB861" s="402">
        <f t="shared" si="965"/>
        <v>12338863691.43</v>
      </c>
      <c r="AC861" s="321">
        <f t="shared" si="966"/>
        <v>1.0947727628507615</v>
      </c>
    </row>
    <row r="862" spans="1:29" s="5" customFormat="1" ht="38.25" x14ac:dyDescent="0.2">
      <c r="A862" s="96">
        <v>1</v>
      </c>
      <c r="B862" s="318" t="s">
        <v>450</v>
      </c>
      <c r="C862" s="319" t="s">
        <v>993</v>
      </c>
      <c r="D862" s="292">
        <f>SUM(D863:D869)</f>
        <v>6082707593.5100002</v>
      </c>
      <c r="E862" s="322">
        <f>SUM('ADICIONES  2021'!C862:N862)</f>
        <v>2074000000</v>
      </c>
      <c r="F862" s="289"/>
      <c r="G862" s="289">
        <f t="shared" ref="G862:J862" si="1027">SUM(G863:G869)</f>
        <v>0</v>
      </c>
      <c r="H862" s="289">
        <f t="shared" si="1027"/>
        <v>0</v>
      </c>
      <c r="I862" s="289">
        <f t="shared" si="1027"/>
        <v>0</v>
      </c>
      <c r="J862" s="289">
        <f t="shared" si="1027"/>
        <v>0</v>
      </c>
      <c r="K862" s="276">
        <f t="shared" si="978"/>
        <v>8156707593.5100002</v>
      </c>
      <c r="L862" s="289">
        <f t="shared" ref="L862:Q862" si="1028">SUM(L863:L869)</f>
        <v>830024548</v>
      </c>
      <c r="M862" s="289">
        <f t="shared" si="1028"/>
        <v>251139589</v>
      </c>
      <c r="N862" s="289">
        <f t="shared" si="1028"/>
        <v>1140121455</v>
      </c>
      <c r="O862" s="289">
        <f t="shared" si="1028"/>
        <v>120077160</v>
      </c>
      <c r="P862" s="289">
        <f t="shared" si="1028"/>
        <v>339176780</v>
      </c>
      <c r="Q862" s="289">
        <f t="shared" si="1028"/>
        <v>211317730</v>
      </c>
      <c r="R862" s="276">
        <f t="shared" si="986"/>
        <v>2891857262</v>
      </c>
      <c r="S862" s="289">
        <f t="shared" ref="S862:Z862" si="1029">SUM(S863:S869)</f>
        <v>1249131210.1799998</v>
      </c>
      <c r="T862" s="289">
        <f t="shared" si="1029"/>
        <v>212933087</v>
      </c>
      <c r="U862" s="289">
        <f>SUM(U863:U869)</f>
        <v>1678994788</v>
      </c>
      <c r="V862" s="289">
        <f t="shared" si="1029"/>
        <v>757593236</v>
      </c>
      <c r="W862" s="289">
        <f t="shared" si="1029"/>
        <v>1359088929.23</v>
      </c>
      <c r="X862" s="289">
        <f t="shared" si="1029"/>
        <v>616930460</v>
      </c>
      <c r="Y862" s="289">
        <f t="shared" si="1029"/>
        <v>0</v>
      </c>
      <c r="Z862" s="289">
        <f t="shared" si="1029"/>
        <v>0</v>
      </c>
      <c r="AA862" s="276">
        <f t="shared" si="988"/>
        <v>5874671710.4099998</v>
      </c>
      <c r="AB862" s="402">
        <f t="shared" si="965"/>
        <v>8766528972.4099998</v>
      </c>
      <c r="AC862" s="321">
        <f t="shared" si="966"/>
        <v>1.0747631776557998</v>
      </c>
    </row>
    <row r="863" spans="1:29" ht="14.25" x14ac:dyDescent="0.2">
      <c r="B863" s="323" t="s">
        <v>452</v>
      </c>
      <c r="C863" s="206" t="s">
        <v>375</v>
      </c>
      <c r="D863" s="303">
        <v>1520676898.3800001</v>
      </c>
      <c r="E863" s="325">
        <f>SUM('ADICIONES  2021'!C863:N863)</f>
        <v>0</v>
      </c>
      <c r="F863" s="290"/>
      <c r="G863" s="290"/>
      <c r="H863" s="290"/>
      <c r="I863" s="290"/>
      <c r="J863" s="290"/>
      <c r="K863" s="281">
        <f t="shared" si="978"/>
        <v>1520676898.3800001</v>
      </c>
      <c r="L863" s="290">
        <v>207506137</v>
      </c>
      <c r="M863" s="290">
        <v>62784897.5</v>
      </c>
      <c r="N863" s="290">
        <v>285030363.75</v>
      </c>
      <c r="O863" s="290">
        <v>30019290</v>
      </c>
      <c r="P863" s="290">
        <v>84794195</v>
      </c>
      <c r="Q863" s="290">
        <v>52829432.5</v>
      </c>
      <c r="R863" s="281">
        <f t="shared" si="986"/>
        <v>722964315.75</v>
      </c>
      <c r="S863" s="290">
        <v>310925892.5</v>
      </c>
      <c r="T863" s="290">
        <v>53233271.5</v>
      </c>
      <c r="U863" s="290">
        <v>419748697</v>
      </c>
      <c r="V863" s="290">
        <v>189398309</v>
      </c>
      <c r="W863" s="290">
        <v>-75593587.370000005</v>
      </c>
      <c r="X863" s="290">
        <v>150620798.44999999</v>
      </c>
      <c r="Y863" s="290"/>
      <c r="Z863" s="290"/>
      <c r="AA863" s="281">
        <f t="shared" si="988"/>
        <v>1048333381.0799999</v>
      </c>
      <c r="AB863" s="403">
        <f t="shared" si="965"/>
        <v>1771297696.8299999</v>
      </c>
      <c r="AC863" s="326">
        <f t="shared" si="966"/>
        <v>1.1648087103295841</v>
      </c>
    </row>
    <row r="864" spans="1:29" ht="14.25" x14ac:dyDescent="0.2">
      <c r="B864" s="323" t="s">
        <v>452</v>
      </c>
      <c r="C864" s="206" t="s">
        <v>375</v>
      </c>
      <c r="D864" s="303"/>
      <c r="E864" s="325">
        <f>SUM('ADICIONES  2021'!C864:N864)</f>
        <v>418500000</v>
      </c>
      <c r="F864" s="290"/>
      <c r="G864" s="290"/>
      <c r="H864" s="290"/>
      <c r="I864" s="290"/>
      <c r="J864" s="290"/>
      <c r="K864" s="281">
        <f t="shared" si="978"/>
        <v>418500000</v>
      </c>
      <c r="L864" s="290"/>
      <c r="M864" s="290"/>
      <c r="N864" s="290"/>
      <c r="O864" s="290"/>
      <c r="P864" s="290"/>
      <c r="Q864" s="290"/>
      <c r="R864" s="281">
        <f t="shared" si="986"/>
        <v>0</v>
      </c>
      <c r="S864" s="290"/>
      <c r="T864" s="290"/>
      <c r="U864" s="290"/>
      <c r="V864" s="290"/>
      <c r="W864" s="290">
        <v>414888183.44999999</v>
      </c>
      <c r="X864" s="290">
        <v>3611816.55</v>
      </c>
      <c r="Y864" s="290"/>
      <c r="Z864" s="290"/>
      <c r="AA864" s="281">
        <f t="shared" ref="AA864:AA868" si="1030">SUM(S864:Z864)</f>
        <v>418500000</v>
      </c>
      <c r="AB864" s="403">
        <f t="shared" si="965"/>
        <v>418500000</v>
      </c>
      <c r="AC864" s="326">
        <v>0</v>
      </c>
    </row>
    <row r="865" spans="1:29" ht="14.25" x14ac:dyDescent="0.2">
      <c r="B865" s="323" t="s">
        <v>452</v>
      </c>
      <c r="C865" s="206" t="s">
        <v>375</v>
      </c>
      <c r="D865" s="303"/>
      <c r="E865" s="325">
        <f>SUM('ADICIONES  2021'!C865:N865)</f>
        <v>100000000</v>
      </c>
      <c r="F865" s="290"/>
      <c r="G865" s="290"/>
      <c r="H865" s="290"/>
      <c r="I865" s="290"/>
      <c r="J865" s="290"/>
      <c r="K865" s="281">
        <f t="shared" si="978"/>
        <v>100000000</v>
      </c>
      <c r="L865" s="290"/>
      <c r="M865" s="290"/>
      <c r="N865" s="290"/>
      <c r="O865" s="290"/>
      <c r="P865" s="290"/>
      <c r="Q865" s="290"/>
      <c r="R865" s="281">
        <f t="shared" si="986"/>
        <v>0</v>
      </c>
      <c r="S865" s="290"/>
      <c r="T865" s="290"/>
      <c r="U865" s="290">
        <v>0</v>
      </c>
      <c r="V865" s="290">
        <v>0</v>
      </c>
      <c r="W865" s="290">
        <v>0</v>
      </c>
      <c r="X865" s="290">
        <v>0</v>
      </c>
      <c r="Y865" s="290"/>
      <c r="Z865" s="290"/>
      <c r="AA865" s="281">
        <f t="shared" si="1030"/>
        <v>0</v>
      </c>
      <c r="AB865" s="403">
        <f t="shared" si="965"/>
        <v>0</v>
      </c>
      <c r="AC865" s="326">
        <f t="shared" ref="AC865:AC868" si="1031">+AB865/K865</f>
        <v>0</v>
      </c>
    </row>
    <row r="866" spans="1:29" ht="25.5" x14ac:dyDescent="0.2">
      <c r="B866" s="323" t="s">
        <v>453</v>
      </c>
      <c r="C866" s="206" t="s">
        <v>376</v>
      </c>
      <c r="D866" s="303">
        <v>1520676898.3800001</v>
      </c>
      <c r="E866" s="325">
        <f>SUM('ADICIONES  2021'!C866:N866)</f>
        <v>0</v>
      </c>
      <c r="F866" s="290"/>
      <c r="G866" s="290"/>
      <c r="H866" s="290"/>
      <c r="I866" s="290"/>
      <c r="J866" s="290"/>
      <c r="K866" s="281">
        <f t="shared" si="978"/>
        <v>1520676898.3800001</v>
      </c>
      <c r="L866" s="290">
        <v>207506137</v>
      </c>
      <c r="M866" s="290">
        <v>62784897.5</v>
      </c>
      <c r="N866" s="290">
        <v>285030363.75</v>
      </c>
      <c r="O866" s="290">
        <v>30019290</v>
      </c>
      <c r="P866" s="290">
        <v>84794195</v>
      </c>
      <c r="Q866" s="290">
        <v>52829432.5</v>
      </c>
      <c r="R866" s="281">
        <f t="shared" si="986"/>
        <v>722964315.75</v>
      </c>
      <c r="S866" s="290">
        <v>310925892.5</v>
      </c>
      <c r="T866" s="290">
        <v>53233271.5</v>
      </c>
      <c r="U866" s="290">
        <v>419748697</v>
      </c>
      <c r="V866" s="290">
        <v>189398309</v>
      </c>
      <c r="W866" s="290">
        <v>-75593587.370000005</v>
      </c>
      <c r="X866" s="290">
        <v>150620798.44999999</v>
      </c>
      <c r="Y866" s="290"/>
      <c r="Z866" s="290"/>
      <c r="AA866" s="281">
        <f t="shared" si="1030"/>
        <v>1048333381.0799999</v>
      </c>
      <c r="AB866" s="403">
        <f t="shared" si="965"/>
        <v>1771297696.8299999</v>
      </c>
      <c r="AC866" s="326">
        <f t="shared" si="1031"/>
        <v>1.1648087103295841</v>
      </c>
    </row>
    <row r="867" spans="1:29" ht="25.5" x14ac:dyDescent="0.2">
      <c r="B867" s="323" t="s">
        <v>453</v>
      </c>
      <c r="C867" s="206" t="s">
        <v>376</v>
      </c>
      <c r="D867" s="303"/>
      <c r="E867" s="325">
        <f>SUM('ADICIONES  2021'!C867:N867)</f>
        <v>418500000</v>
      </c>
      <c r="F867" s="290"/>
      <c r="G867" s="290"/>
      <c r="H867" s="290"/>
      <c r="I867" s="290"/>
      <c r="J867" s="290"/>
      <c r="K867" s="281">
        <f t="shared" si="978"/>
        <v>418500000</v>
      </c>
      <c r="L867" s="290"/>
      <c r="M867" s="290"/>
      <c r="N867" s="290"/>
      <c r="O867" s="290"/>
      <c r="P867" s="290"/>
      <c r="Q867" s="290"/>
      <c r="R867" s="281">
        <f t="shared" si="986"/>
        <v>0</v>
      </c>
      <c r="S867" s="290"/>
      <c r="T867" s="290"/>
      <c r="U867" s="290"/>
      <c r="V867" s="290"/>
      <c r="W867" s="290">
        <v>414888183.44999999</v>
      </c>
      <c r="X867" s="290">
        <v>3611816.55</v>
      </c>
      <c r="Y867" s="290"/>
      <c r="Z867" s="290"/>
      <c r="AA867" s="281">
        <f t="shared" si="1030"/>
        <v>418500000</v>
      </c>
      <c r="AB867" s="403">
        <f t="shared" si="965"/>
        <v>418500000</v>
      </c>
      <c r="AC867" s="326">
        <v>0</v>
      </c>
    </row>
    <row r="868" spans="1:29" ht="25.5" x14ac:dyDescent="0.2">
      <c r="B868" s="323" t="s">
        <v>453</v>
      </c>
      <c r="C868" s="206" t="s">
        <v>376</v>
      </c>
      <c r="D868" s="303"/>
      <c r="E868" s="325">
        <f>SUM('ADICIONES  2021'!C868:N868)</f>
        <v>100000000</v>
      </c>
      <c r="F868" s="290"/>
      <c r="G868" s="290"/>
      <c r="H868" s="290"/>
      <c r="I868" s="290"/>
      <c r="J868" s="290"/>
      <c r="K868" s="281">
        <f t="shared" si="978"/>
        <v>100000000</v>
      </c>
      <c r="L868" s="290"/>
      <c r="M868" s="290"/>
      <c r="N868" s="290"/>
      <c r="O868" s="290"/>
      <c r="P868" s="290"/>
      <c r="Q868" s="290"/>
      <c r="R868" s="281">
        <f t="shared" si="986"/>
        <v>0</v>
      </c>
      <c r="S868" s="290"/>
      <c r="T868" s="290"/>
      <c r="U868" s="290">
        <v>0</v>
      </c>
      <c r="V868" s="290">
        <v>0</v>
      </c>
      <c r="W868" s="290">
        <v>0</v>
      </c>
      <c r="X868" s="290">
        <v>0</v>
      </c>
      <c r="Y868" s="290"/>
      <c r="Z868" s="290"/>
      <c r="AA868" s="281">
        <f t="shared" si="1030"/>
        <v>0</v>
      </c>
      <c r="AB868" s="403">
        <f t="shared" si="965"/>
        <v>0</v>
      </c>
      <c r="AC868" s="326">
        <f t="shared" si="1031"/>
        <v>0</v>
      </c>
    </row>
    <row r="869" spans="1:29" s="61" customFormat="1" ht="15.75" x14ac:dyDescent="0.2">
      <c r="A869" s="421"/>
      <c r="B869" s="318" t="s">
        <v>454</v>
      </c>
      <c r="C869" s="319" t="s">
        <v>986</v>
      </c>
      <c r="D869" s="292">
        <f>SUM(D870:D872)</f>
        <v>3041353796.75</v>
      </c>
      <c r="E869" s="322">
        <f>SUM('ADICIONES  2021'!C869:N869)</f>
        <v>1037000000</v>
      </c>
      <c r="F869" s="292">
        <f t="shared" ref="F869:J869" si="1032">SUM(F870:F872)</f>
        <v>0</v>
      </c>
      <c r="G869" s="292">
        <f t="shared" si="1032"/>
        <v>0</v>
      </c>
      <c r="H869" s="292">
        <f t="shared" si="1032"/>
        <v>0</v>
      </c>
      <c r="I869" s="292">
        <f t="shared" si="1032"/>
        <v>0</v>
      </c>
      <c r="J869" s="292">
        <f t="shared" si="1032"/>
        <v>0</v>
      </c>
      <c r="K869" s="276">
        <f t="shared" si="978"/>
        <v>4078353796.75</v>
      </c>
      <c r="L869" s="292">
        <f t="shared" ref="L869:Q869" si="1033">SUM(L870:L872)</f>
        <v>415012274</v>
      </c>
      <c r="M869" s="292">
        <f t="shared" si="1033"/>
        <v>125569794</v>
      </c>
      <c r="N869" s="292">
        <f t="shared" si="1033"/>
        <v>570060727.5</v>
      </c>
      <c r="O869" s="292">
        <f t="shared" si="1033"/>
        <v>60038580</v>
      </c>
      <c r="P869" s="292">
        <f t="shared" si="1033"/>
        <v>169588390</v>
      </c>
      <c r="Q869" s="292">
        <f t="shared" si="1033"/>
        <v>105658865</v>
      </c>
      <c r="R869" s="276">
        <f t="shared" si="986"/>
        <v>1445928630.5</v>
      </c>
      <c r="S869" s="292">
        <f t="shared" ref="S869:Z869" si="1034">SUM(S870:S872)</f>
        <v>627279425.17999995</v>
      </c>
      <c r="T869" s="292">
        <f t="shared" si="1034"/>
        <v>106466544</v>
      </c>
      <c r="U869" s="292">
        <f>SUM(U870:U872)</f>
        <v>839497394</v>
      </c>
      <c r="V869" s="292">
        <f t="shared" si="1034"/>
        <v>378796618</v>
      </c>
      <c r="W869" s="292">
        <f t="shared" si="1034"/>
        <v>680499737.06999993</v>
      </c>
      <c r="X869" s="292">
        <f t="shared" si="1034"/>
        <v>308465230</v>
      </c>
      <c r="Y869" s="292">
        <f t="shared" si="1034"/>
        <v>0</v>
      </c>
      <c r="Z869" s="292">
        <f t="shared" si="1034"/>
        <v>0</v>
      </c>
      <c r="AA869" s="276">
        <f t="shared" ref="AA869:AA873" si="1035">SUM(S869:Z869)</f>
        <v>2941004948.25</v>
      </c>
      <c r="AB869" s="402">
        <f t="shared" si="965"/>
        <v>4386933578.75</v>
      </c>
      <c r="AC869" s="321">
        <f t="shared" si="966"/>
        <v>1.0756628280376028</v>
      </c>
    </row>
    <row r="870" spans="1:29" ht="38.25" x14ac:dyDescent="0.2">
      <c r="B870" s="323" t="s">
        <v>994</v>
      </c>
      <c r="C870" s="206" t="s">
        <v>378</v>
      </c>
      <c r="D870" s="303">
        <v>3041353796.75</v>
      </c>
      <c r="E870" s="325">
        <f>SUM('ADICIONES  2021'!C870:N870)</f>
        <v>0</v>
      </c>
      <c r="F870" s="290"/>
      <c r="G870" s="290"/>
      <c r="H870" s="290"/>
      <c r="I870" s="290"/>
      <c r="J870" s="290"/>
      <c r="K870" s="281">
        <f t="shared" si="978"/>
        <v>3041353796.75</v>
      </c>
      <c r="L870" s="290">
        <v>415012274</v>
      </c>
      <c r="M870" s="290">
        <v>125569794</v>
      </c>
      <c r="N870" s="290">
        <v>570060727.5</v>
      </c>
      <c r="O870" s="290">
        <v>60038580</v>
      </c>
      <c r="P870" s="290">
        <v>169588390</v>
      </c>
      <c r="Q870" s="290">
        <v>105658865</v>
      </c>
      <c r="R870" s="281">
        <f t="shared" si="986"/>
        <v>1445928630.5</v>
      </c>
      <c r="S870" s="290">
        <v>627279425.17999995</v>
      </c>
      <c r="T870" s="290">
        <v>106466544</v>
      </c>
      <c r="U870" s="290">
        <v>839497394</v>
      </c>
      <c r="V870" s="290">
        <v>378796618</v>
      </c>
      <c r="W870" s="290">
        <v>-156500262.93000001</v>
      </c>
      <c r="X870" s="290">
        <v>308465230</v>
      </c>
      <c r="Y870" s="290"/>
      <c r="Z870" s="290"/>
      <c r="AA870" s="281">
        <f t="shared" si="1035"/>
        <v>2104004948.2499998</v>
      </c>
      <c r="AB870" s="403">
        <f t="shared" si="965"/>
        <v>3549933578.75</v>
      </c>
      <c r="AC870" s="326">
        <f t="shared" si="966"/>
        <v>1.1672215125196779</v>
      </c>
    </row>
    <row r="871" spans="1:29" ht="38.25" x14ac:dyDescent="0.2">
      <c r="B871" s="323" t="s">
        <v>994</v>
      </c>
      <c r="C871" s="206" t="s">
        <v>378</v>
      </c>
      <c r="D871" s="303"/>
      <c r="E871" s="325">
        <f>SUM('ADICIONES  2021'!C871:N871)</f>
        <v>837000000</v>
      </c>
      <c r="F871" s="290"/>
      <c r="G871" s="290"/>
      <c r="H871" s="290"/>
      <c r="I871" s="290"/>
      <c r="J871" s="290"/>
      <c r="K871" s="281">
        <f t="shared" si="978"/>
        <v>837000000</v>
      </c>
      <c r="L871" s="290"/>
      <c r="M871" s="290"/>
      <c r="N871" s="290"/>
      <c r="O871" s="290"/>
      <c r="P871" s="290"/>
      <c r="Q871" s="290"/>
      <c r="R871" s="281">
        <f t="shared" si="986"/>
        <v>0</v>
      </c>
      <c r="S871" s="290"/>
      <c r="T871" s="290"/>
      <c r="U871" s="290"/>
      <c r="V871" s="290"/>
      <c r="W871" s="290">
        <v>837000000</v>
      </c>
      <c r="X871" s="290">
        <v>0</v>
      </c>
      <c r="Y871" s="290"/>
      <c r="Z871" s="290"/>
      <c r="AA871" s="281">
        <f t="shared" ref="AA871" si="1036">SUM(S871:Z871)</f>
        <v>837000000</v>
      </c>
      <c r="AB871" s="403">
        <f t="shared" si="965"/>
        <v>837000000</v>
      </c>
      <c r="AC871" s="326">
        <v>0</v>
      </c>
    </row>
    <row r="872" spans="1:29" ht="38.25" x14ac:dyDescent="0.2">
      <c r="B872" s="323" t="s">
        <v>994</v>
      </c>
      <c r="C872" s="206" t="s">
        <v>378</v>
      </c>
      <c r="D872" s="303"/>
      <c r="E872" s="325">
        <f>SUM('ADICIONES  2021'!C872:N872)</f>
        <v>200000000</v>
      </c>
      <c r="F872" s="290"/>
      <c r="G872" s="290"/>
      <c r="H872" s="290"/>
      <c r="I872" s="290"/>
      <c r="J872" s="290"/>
      <c r="K872" s="281">
        <f t="shared" si="978"/>
        <v>200000000</v>
      </c>
      <c r="L872" s="290"/>
      <c r="M872" s="290"/>
      <c r="N872" s="290"/>
      <c r="O872" s="290"/>
      <c r="P872" s="290"/>
      <c r="Q872" s="290"/>
      <c r="R872" s="281">
        <f t="shared" si="986"/>
        <v>0</v>
      </c>
      <c r="S872" s="290"/>
      <c r="T872" s="290"/>
      <c r="U872" s="290">
        <v>0</v>
      </c>
      <c r="V872" s="290">
        <v>0</v>
      </c>
      <c r="W872" s="290">
        <v>0</v>
      </c>
      <c r="X872" s="290">
        <v>0</v>
      </c>
      <c r="Y872" s="290"/>
      <c r="Z872" s="290"/>
      <c r="AA872" s="281">
        <f t="shared" si="1035"/>
        <v>0</v>
      </c>
      <c r="AB872" s="403">
        <f t="shared" si="965"/>
        <v>0</v>
      </c>
      <c r="AC872" s="326">
        <f t="shared" si="966"/>
        <v>0</v>
      </c>
    </row>
    <row r="873" spans="1:29" s="61" customFormat="1" ht="38.25" x14ac:dyDescent="0.2">
      <c r="A873" s="421">
        <v>1</v>
      </c>
      <c r="B873" s="318" t="s">
        <v>457</v>
      </c>
      <c r="C873" s="319" t="s">
        <v>995</v>
      </c>
      <c r="D873" s="292">
        <f>SUM(D874:D880)</f>
        <v>2000000000</v>
      </c>
      <c r="E873" s="322">
        <f>SUM('ADICIONES  2021'!C873:N873)</f>
        <v>1114000000</v>
      </c>
      <c r="F873" s="289"/>
      <c r="G873" s="289">
        <f t="shared" ref="G873:J873" si="1037">SUM(G874:G880)</f>
        <v>0</v>
      </c>
      <c r="H873" s="289">
        <f t="shared" si="1037"/>
        <v>0</v>
      </c>
      <c r="I873" s="289">
        <f t="shared" si="1037"/>
        <v>0</v>
      </c>
      <c r="J873" s="289">
        <f t="shared" si="1037"/>
        <v>0</v>
      </c>
      <c r="K873" s="276">
        <f t="shared" si="978"/>
        <v>3114000000</v>
      </c>
      <c r="L873" s="289">
        <f t="shared" ref="L873:Q873" si="1038">SUM(L874:L880)</f>
        <v>396438865</v>
      </c>
      <c r="M873" s="289">
        <f t="shared" si="1038"/>
        <v>172408685</v>
      </c>
      <c r="N873" s="289">
        <f t="shared" si="1038"/>
        <v>241408614</v>
      </c>
      <c r="O873" s="289">
        <f t="shared" si="1038"/>
        <v>145983293</v>
      </c>
      <c r="P873" s="289">
        <f t="shared" si="1038"/>
        <v>148388455</v>
      </c>
      <c r="Q873" s="289">
        <f t="shared" si="1038"/>
        <v>223863480</v>
      </c>
      <c r="R873" s="276">
        <f t="shared" si="986"/>
        <v>1328491392</v>
      </c>
      <c r="S873" s="289">
        <f t="shared" ref="S873:Z873" si="1039">SUM(S874:S880)</f>
        <v>240885758.25</v>
      </c>
      <c r="T873" s="289">
        <f t="shared" si="1039"/>
        <v>209917628</v>
      </c>
      <c r="U873" s="289">
        <f>SUM(U874:U880)</f>
        <v>326569374</v>
      </c>
      <c r="V873" s="289">
        <f t="shared" si="1039"/>
        <v>397638726</v>
      </c>
      <c r="W873" s="289">
        <f t="shared" si="1039"/>
        <v>612778175.76999998</v>
      </c>
      <c r="X873" s="289">
        <f t="shared" si="1039"/>
        <v>456053665</v>
      </c>
      <c r="Y873" s="289">
        <f t="shared" si="1039"/>
        <v>0</v>
      </c>
      <c r="Z873" s="289">
        <f t="shared" si="1039"/>
        <v>0</v>
      </c>
      <c r="AA873" s="276">
        <f t="shared" si="1035"/>
        <v>2243843327.02</v>
      </c>
      <c r="AB873" s="402">
        <f t="shared" si="965"/>
        <v>3572334719.02</v>
      </c>
      <c r="AC873" s="321">
        <f t="shared" si="966"/>
        <v>1.1471852019974309</v>
      </c>
    </row>
    <row r="874" spans="1:29" ht="14.25" x14ac:dyDescent="0.2">
      <c r="B874" s="323" t="s">
        <v>459</v>
      </c>
      <c r="C874" s="206" t="s">
        <v>375</v>
      </c>
      <c r="D874" s="303">
        <v>500000000</v>
      </c>
      <c r="E874" s="325">
        <f>SUM('ADICIONES  2021'!C874:N874)</f>
        <v>0</v>
      </c>
      <c r="F874" s="290"/>
      <c r="G874" s="290"/>
      <c r="H874" s="290"/>
      <c r="I874" s="290"/>
      <c r="J874" s="290"/>
      <c r="K874" s="281">
        <f t="shared" si="978"/>
        <v>500000000</v>
      </c>
      <c r="L874" s="290">
        <v>98983349</v>
      </c>
      <c r="M874" s="290">
        <v>52056041</v>
      </c>
      <c r="N874" s="290">
        <v>60351938</v>
      </c>
      <c r="O874" s="290">
        <v>36495400</v>
      </c>
      <c r="P874" s="290">
        <v>37097000</v>
      </c>
      <c r="Q874" s="290">
        <v>55965870</v>
      </c>
      <c r="R874" s="281">
        <f t="shared" si="986"/>
        <v>340949598</v>
      </c>
      <c r="S874" s="290">
        <v>59650350</v>
      </c>
      <c r="T874" s="290">
        <v>52479400</v>
      </c>
      <c r="U874" s="290">
        <v>46920652</v>
      </c>
      <c r="V874" s="290">
        <v>99409892</v>
      </c>
      <c r="W874" s="290">
        <v>-25437309.079999998</v>
      </c>
      <c r="X874" s="290">
        <v>114030800</v>
      </c>
      <c r="Y874" s="290"/>
      <c r="Z874" s="290"/>
      <c r="AA874" s="281">
        <f t="shared" si="988"/>
        <v>347053784.92000002</v>
      </c>
      <c r="AB874" s="403">
        <f t="shared" si="965"/>
        <v>688003382.92000008</v>
      </c>
      <c r="AC874" s="326">
        <f t="shared" si="966"/>
        <v>1.3760067658400001</v>
      </c>
    </row>
    <row r="875" spans="1:29" ht="14.25" x14ac:dyDescent="0.2">
      <c r="B875" s="323" t="s">
        <v>459</v>
      </c>
      <c r="C875" s="206" t="s">
        <v>375</v>
      </c>
      <c r="D875" s="303"/>
      <c r="E875" s="325">
        <f>SUM('ADICIONES  2021'!C875:N875)</f>
        <v>178500000</v>
      </c>
      <c r="F875" s="290"/>
      <c r="G875" s="290"/>
      <c r="H875" s="290"/>
      <c r="I875" s="290"/>
      <c r="J875" s="290"/>
      <c r="K875" s="281">
        <f t="shared" si="978"/>
        <v>178500000</v>
      </c>
      <c r="L875" s="290"/>
      <c r="M875" s="290"/>
      <c r="N875" s="290"/>
      <c r="O875" s="290"/>
      <c r="P875" s="290"/>
      <c r="Q875" s="290"/>
      <c r="R875" s="281">
        <f t="shared" si="986"/>
        <v>0</v>
      </c>
      <c r="S875" s="290"/>
      <c r="T875" s="290"/>
      <c r="U875" s="290"/>
      <c r="V875" s="290"/>
      <c r="W875" s="290">
        <v>178500000</v>
      </c>
      <c r="X875" s="290">
        <v>0</v>
      </c>
      <c r="Y875" s="290"/>
      <c r="Z875" s="290"/>
      <c r="AA875" s="281">
        <f t="shared" ref="AA875:AA879" si="1040">SUM(S875:Z875)</f>
        <v>178500000</v>
      </c>
      <c r="AB875" s="403">
        <f t="shared" si="965"/>
        <v>178500000</v>
      </c>
      <c r="AC875" s="326">
        <v>0</v>
      </c>
    </row>
    <row r="876" spans="1:29" ht="14.25" x14ac:dyDescent="0.2">
      <c r="B876" s="323" t="s">
        <v>459</v>
      </c>
      <c r="C876" s="206" t="s">
        <v>375</v>
      </c>
      <c r="D876" s="303"/>
      <c r="E876" s="325">
        <f>SUM('ADICIONES  2021'!C876:N876)</f>
        <v>100000000</v>
      </c>
      <c r="F876" s="290"/>
      <c r="G876" s="290"/>
      <c r="H876" s="290"/>
      <c r="I876" s="290"/>
      <c r="J876" s="290"/>
      <c r="K876" s="281">
        <f t="shared" si="978"/>
        <v>100000000</v>
      </c>
      <c r="L876" s="290"/>
      <c r="M876" s="290"/>
      <c r="N876" s="290"/>
      <c r="O876" s="290"/>
      <c r="P876" s="290"/>
      <c r="Q876" s="290"/>
      <c r="R876" s="281">
        <f t="shared" si="986"/>
        <v>0</v>
      </c>
      <c r="S876" s="290"/>
      <c r="T876" s="290"/>
      <c r="U876" s="290">
        <v>34098334</v>
      </c>
      <c r="V876" s="290">
        <v>0</v>
      </c>
      <c r="W876" s="290">
        <v>0</v>
      </c>
      <c r="X876" s="290">
        <v>0</v>
      </c>
      <c r="Y876" s="290"/>
      <c r="Z876" s="290"/>
      <c r="AA876" s="281">
        <f t="shared" si="1040"/>
        <v>34098334</v>
      </c>
      <c r="AB876" s="403">
        <f t="shared" si="965"/>
        <v>34098334</v>
      </c>
      <c r="AC876" s="326">
        <f t="shared" ref="AC876:AC879" si="1041">+AB876/K876</f>
        <v>0.34098334000000002</v>
      </c>
    </row>
    <row r="877" spans="1:29" ht="25.5" x14ac:dyDescent="0.2">
      <c r="B877" s="323" t="s">
        <v>460</v>
      </c>
      <c r="C877" s="355" t="s">
        <v>376</v>
      </c>
      <c r="D877" s="303">
        <v>500000000</v>
      </c>
      <c r="E877" s="325">
        <f>SUM('ADICIONES  2021'!C877:N877)</f>
        <v>0</v>
      </c>
      <c r="F877" s="290"/>
      <c r="G877" s="290"/>
      <c r="H877" s="290"/>
      <c r="I877" s="290"/>
      <c r="J877" s="290"/>
      <c r="K877" s="281">
        <f t="shared" si="978"/>
        <v>500000000</v>
      </c>
      <c r="L877" s="290">
        <v>98983349</v>
      </c>
      <c r="M877" s="290">
        <v>52056041</v>
      </c>
      <c r="N877" s="290">
        <v>60351938</v>
      </c>
      <c r="O877" s="290">
        <v>36495400</v>
      </c>
      <c r="P877" s="290">
        <v>37097000</v>
      </c>
      <c r="Q877" s="290">
        <v>55965870</v>
      </c>
      <c r="R877" s="281">
        <f t="shared" si="986"/>
        <v>340949598</v>
      </c>
      <c r="S877" s="290">
        <v>59650350</v>
      </c>
      <c r="T877" s="290">
        <v>52479400</v>
      </c>
      <c r="U877" s="290">
        <v>46920652</v>
      </c>
      <c r="V877" s="290">
        <v>99409892</v>
      </c>
      <c r="W877" s="290">
        <v>-25437309.079999998</v>
      </c>
      <c r="X877" s="290">
        <v>114030800</v>
      </c>
      <c r="Y877" s="290"/>
      <c r="Z877" s="290"/>
      <c r="AA877" s="281">
        <f t="shared" si="1040"/>
        <v>347053784.92000002</v>
      </c>
      <c r="AB877" s="403">
        <f t="shared" si="965"/>
        <v>688003382.92000008</v>
      </c>
      <c r="AC877" s="326">
        <f t="shared" si="1041"/>
        <v>1.3760067658400001</v>
      </c>
    </row>
    <row r="878" spans="1:29" ht="25.5" x14ac:dyDescent="0.2">
      <c r="B878" s="323" t="s">
        <v>460</v>
      </c>
      <c r="C878" s="355" t="s">
        <v>376</v>
      </c>
      <c r="D878" s="303"/>
      <c r="E878" s="325">
        <f>SUM('ADICIONES  2021'!C878:N878)</f>
        <v>178500000</v>
      </c>
      <c r="F878" s="290"/>
      <c r="G878" s="290"/>
      <c r="H878" s="290"/>
      <c r="I878" s="290"/>
      <c r="J878" s="290"/>
      <c r="K878" s="281">
        <f t="shared" si="978"/>
        <v>178500000</v>
      </c>
      <c r="L878" s="290"/>
      <c r="M878" s="290"/>
      <c r="N878" s="290"/>
      <c r="O878" s="290"/>
      <c r="P878" s="290"/>
      <c r="Q878" s="290"/>
      <c r="R878" s="281">
        <f t="shared" si="986"/>
        <v>0</v>
      </c>
      <c r="S878" s="290"/>
      <c r="T878" s="290"/>
      <c r="U878" s="290"/>
      <c r="V878" s="290"/>
      <c r="W878" s="290">
        <v>178500000</v>
      </c>
      <c r="X878" s="290">
        <v>0</v>
      </c>
      <c r="Y878" s="290"/>
      <c r="Z878" s="290"/>
      <c r="AA878" s="281">
        <f t="shared" si="1040"/>
        <v>178500000</v>
      </c>
      <c r="AB878" s="403">
        <f t="shared" si="965"/>
        <v>178500000</v>
      </c>
      <c r="AC878" s="326">
        <v>0</v>
      </c>
    </row>
    <row r="879" spans="1:29" ht="25.5" x14ac:dyDescent="0.2">
      <c r="B879" s="323" t="s">
        <v>460</v>
      </c>
      <c r="C879" s="355" t="s">
        <v>376</v>
      </c>
      <c r="D879" s="303"/>
      <c r="E879" s="325">
        <f>SUM('ADICIONES  2021'!C879:N879)</f>
        <v>100000000</v>
      </c>
      <c r="F879" s="290"/>
      <c r="G879" s="290"/>
      <c r="H879" s="290"/>
      <c r="I879" s="290"/>
      <c r="J879" s="290"/>
      <c r="K879" s="281">
        <f t="shared" si="978"/>
        <v>100000000</v>
      </c>
      <c r="L879" s="290"/>
      <c r="M879" s="290"/>
      <c r="N879" s="290"/>
      <c r="O879" s="290"/>
      <c r="P879" s="290"/>
      <c r="Q879" s="290"/>
      <c r="R879" s="281">
        <f t="shared" si="986"/>
        <v>0</v>
      </c>
      <c r="S879" s="290"/>
      <c r="T879" s="290"/>
      <c r="U879" s="290">
        <v>34098334</v>
      </c>
      <c r="V879" s="290">
        <v>0</v>
      </c>
      <c r="W879" s="290">
        <v>0</v>
      </c>
      <c r="X879" s="290">
        <v>0</v>
      </c>
      <c r="Y879" s="290"/>
      <c r="Z879" s="290"/>
      <c r="AA879" s="281">
        <f t="shared" si="1040"/>
        <v>34098334</v>
      </c>
      <c r="AB879" s="403">
        <f t="shared" si="965"/>
        <v>34098334</v>
      </c>
      <c r="AC879" s="326">
        <f t="shared" si="1041"/>
        <v>0.34098334000000002</v>
      </c>
    </row>
    <row r="880" spans="1:29" s="61" customFormat="1" ht="15.75" x14ac:dyDescent="0.2">
      <c r="A880" s="421"/>
      <c r="B880" s="318" t="s">
        <v>461</v>
      </c>
      <c r="C880" s="319" t="s">
        <v>986</v>
      </c>
      <c r="D880" s="292">
        <f>SUM(D881:D883)</f>
        <v>1000000000</v>
      </c>
      <c r="E880" s="322">
        <f>SUM('ADICIONES  2021'!C880:N880)</f>
        <v>557000000</v>
      </c>
      <c r="F880" s="292">
        <f t="shared" ref="F880:J880" si="1042">SUM(F881:F883)</f>
        <v>0</v>
      </c>
      <c r="G880" s="292">
        <f t="shared" si="1042"/>
        <v>0</v>
      </c>
      <c r="H880" s="292">
        <f t="shared" si="1042"/>
        <v>0</v>
      </c>
      <c r="I880" s="292">
        <f t="shared" si="1042"/>
        <v>0</v>
      </c>
      <c r="J880" s="292">
        <f t="shared" si="1042"/>
        <v>0</v>
      </c>
      <c r="K880" s="276">
        <f t="shared" si="978"/>
        <v>1557000000</v>
      </c>
      <c r="L880" s="292">
        <f t="shared" ref="L880:Q880" si="1043">SUM(L881:L883)</f>
        <v>198472167</v>
      </c>
      <c r="M880" s="292">
        <f t="shared" si="1043"/>
        <v>68296603</v>
      </c>
      <c r="N880" s="292">
        <f t="shared" si="1043"/>
        <v>120704738</v>
      </c>
      <c r="O880" s="292">
        <f t="shared" si="1043"/>
        <v>72992493</v>
      </c>
      <c r="P880" s="292">
        <f t="shared" si="1043"/>
        <v>74194455</v>
      </c>
      <c r="Q880" s="292">
        <f t="shared" si="1043"/>
        <v>111931740</v>
      </c>
      <c r="R880" s="276">
        <f t="shared" si="986"/>
        <v>646592196</v>
      </c>
      <c r="S880" s="292">
        <f t="shared" ref="S880:Y880" si="1044">SUM(S881:S883)</f>
        <v>121585058.25</v>
      </c>
      <c r="T880" s="292">
        <f t="shared" si="1044"/>
        <v>104958828</v>
      </c>
      <c r="U880" s="292">
        <f>SUM(U881:U883)</f>
        <v>164531402</v>
      </c>
      <c r="V880" s="292">
        <f t="shared" si="1044"/>
        <v>198818942</v>
      </c>
      <c r="W880" s="292">
        <f t="shared" si="1044"/>
        <v>306652793.93000001</v>
      </c>
      <c r="X880" s="292">
        <f t="shared" si="1044"/>
        <v>227992065</v>
      </c>
      <c r="Y880" s="292">
        <f t="shared" si="1044"/>
        <v>0</v>
      </c>
      <c r="Z880" s="292">
        <f>SUM(Z881:Z883)</f>
        <v>0</v>
      </c>
      <c r="AA880" s="276">
        <f t="shared" ref="AA880:AA908" si="1045">SUM(S880:Z880)</f>
        <v>1124539089.1800001</v>
      </c>
      <c r="AB880" s="402">
        <f t="shared" si="965"/>
        <v>1771131285.1800001</v>
      </c>
      <c r="AC880" s="321">
        <f t="shared" si="966"/>
        <v>1.1375281215028903</v>
      </c>
    </row>
    <row r="881" spans="1:29" ht="38.25" x14ac:dyDescent="0.2">
      <c r="B881" s="323" t="s">
        <v>996</v>
      </c>
      <c r="C881" s="206" t="s">
        <v>378</v>
      </c>
      <c r="D881" s="303">
        <v>1000000000</v>
      </c>
      <c r="E881" s="325">
        <f>SUM('ADICIONES  2021'!C881:N881)</f>
        <v>0</v>
      </c>
      <c r="F881" s="290"/>
      <c r="G881" s="290"/>
      <c r="H881" s="290"/>
      <c r="I881" s="290"/>
      <c r="J881" s="290"/>
      <c r="K881" s="281">
        <f t="shared" si="978"/>
        <v>1000000000</v>
      </c>
      <c r="L881" s="290">
        <v>198472167</v>
      </c>
      <c r="M881" s="290">
        <v>68296603</v>
      </c>
      <c r="N881" s="290">
        <v>120704738</v>
      </c>
      <c r="O881" s="290">
        <v>72992493</v>
      </c>
      <c r="P881" s="290">
        <v>74194455</v>
      </c>
      <c r="Q881" s="290">
        <v>111931740</v>
      </c>
      <c r="R881" s="281">
        <f t="shared" si="986"/>
        <v>646592196</v>
      </c>
      <c r="S881" s="290">
        <v>121585058.25</v>
      </c>
      <c r="T881" s="290">
        <v>104958828</v>
      </c>
      <c r="U881" s="290">
        <v>126863917.75</v>
      </c>
      <c r="V881" s="290">
        <v>198818942</v>
      </c>
      <c r="W881" s="290">
        <v>-36486426.25</v>
      </c>
      <c r="X881" s="290">
        <v>214131285.18000001</v>
      </c>
      <c r="Y881" s="290"/>
      <c r="Z881" s="290"/>
      <c r="AA881" s="281">
        <f t="shared" si="1045"/>
        <v>729871604.93000007</v>
      </c>
      <c r="AB881" s="403">
        <f t="shared" si="965"/>
        <v>1376463800.9300001</v>
      </c>
      <c r="AC881" s="326">
        <f t="shared" si="966"/>
        <v>1.3764638009300001</v>
      </c>
    </row>
    <row r="882" spans="1:29" ht="38.25" x14ac:dyDescent="0.2">
      <c r="B882" s="323" t="s">
        <v>996</v>
      </c>
      <c r="C882" s="206" t="s">
        <v>378</v>
      </c>
      <c r="D882" s="303"/>
      <c r="E882" s="325">
        <f>SUM('ADICIONES  2021'!C882:N882)</f>
        <v>357000000</v>
      </c>
      <c r="F882" s="290"/>
      <c r="G882" s="290"/>
      <c r="H882" s="290"/>
      <c r="I882" s="290"/>
      <c r="J882" s="290"/>
      <c r="K882" s="281">
        <f t="shared" si="978"/>
        <v>357000000</v>
      </c>
      <c r="L882" s="290"/>
      <c r="M882" s="290"/>
      <c r="N882" s="290"/>
      <c r="O882" s="290"/>
      <c r="P882" s="290"/>
      <c r="Q882" s="290"/>
      <c r="R882" s="281">
        <f t="shared" si="986"/>
        <v>0</v>
      </c>
      <c r="S882" s="290"/>
      <c r="T882" s="290"/>
      <c r="U882" s="290"/>
      <c r="V882" s="290"/>
      <c r="W882" s="290">
        <v>343139220.18000001</v>
      </c>
      <c r="X882" s="290">
        <v>13860779.82</v>
      </c>
      <c r="Y882" s="290"/>
      <c r="Z882" s="290"/>
      <c r="AA882" s="281">
        <f t="shared" ref="AA882" si="1046">SUM(S882:Z882)</f>
        <v>357000000</v>
      </c>
      <c r="AB882" s="403">
        <f t="shared" si="965"/>
        <v>357000000</v>
      </c>
      <c r="AC882" s="326">
        <v>0</v>
      </c>
    </row>
    <row r="883" spans="1:29" ht="38.25" x14ac:dyDescent="0.2">
      <c r="B883" s="323" t="s">
        <v>996</v>
      </c>
      <c r="C883" s="206" t="s">
        <v>378</v>
      </c>
      <c r="D883" s="303"/>
      <c r="E883" s="325">
        <f>SUM('ADICIONES  2021'!C883:N883)</f>
        <v>200000000</v>
      </c>
      <c r="F883" s="290"/>
      <c r="G883" s="290"/>
      <c r="H883" s="290"/>
      <c r="I883" s="290"/>
      <c r="J883" s="290"/>
      <c r="K883" s="281">
        <f t="shared" si="978"/>
        <v>200000000</v>
      </c>
      <c r="L883" s="290"/>
      <c r="M883" s="290"/>
      <c r="N883" s="290"/>
      <c r="O883" s="290"/>
      <c r="P883" s="290"/>
      <c r="Q883" s="290"/>
      <c r="R883" s="281">
        <f t="shared" si="986"/>
        <v>0</v>
      </c>
      <c r="S883" s="290"/>
      <c r="T883" s="290"/>
      <c r="U883" s="290">
        <v>37667484.25</v>
      </c>
      <c r="V883" s="290">
        <v>0</v>
      </c>
      <c r="W883" s="290">
        <v>0</v>
      </c>
      <c r="X883" s="290">
        <v>0</v>
      </c>
      <c r="Y883" s="290"/>
      <c r="Z883" s="290"/>
      <c r="AA883" s="281">
        <f t="shared" si="1045"/>
        <v>37667484.25</v>
      </c>
      <c r="AB883" s="403">
        <f t="shared" si="965"/>
        <v>37667484.25</v>
      </c>
      <c r="AC883" s="326">
        <f t="shared" si="966"/>
        <v>0.18833742125</v>
      </c>
    </row>
    <row r="884" spans="1:29" s="61" customFormat="1" ht="25.5" x14ac:dyDescent="0.2">
      <c r="A884" s="421">
        <v>1</v>
      </c>
      <c r="B884" s="318" t="s">
        <v>464</v>
      </c>
      <c r="C884" s="319" t="s">
        <v>997</v>
      </c>
      <c r="D884" s="292">
        <f>+D885+D896</f>
        <v>25800000000</v>
      </c>
      <c r="E884" s="322">
        <f>SUM('ADICIONES  2021'!C884:N884)</f>
        <v>2638000000</v>
      </c>
      <c r="F884" s="289"/>
      <c r="G884" s="289">
        <f>+G885+G896</f>
        <v>0</v>
      </c>
      <c r="H884" s="289">
        <f>+H885+H896</f>
        <v>0</v>
      </c>
      <c r="I884" s="289">
        <f>+I885+I896</f>
        <v>0</v>
      </c>
      <c r="J884" s="289">
        <f>+J885+J896</f>
        <v>0</v>
      </c>
      <c r="K884" s="276">
        <f t="shared" si="978"/>
        <v>28438000000</v>
      </c>
      <c r="L884" s="289">
        <f t="shared" ref="L884:Q884" si="1047">+L885+L896</f>
        <v>3025966900</v>
      </c>
      <c r="M884" s="289">
        <f t="shared" si="1047"/>
        <v>2648887721</v>
      </c>
      <c r="N884" s="289">
        <f t="shared" si="1047"/>
        <v>2095466780</v>
      </c>
      <c r="O884" s="289">
        <f t="shared" si="1047"/>
        <v>2180051261</v>
      </c>
      <c r="P884" s="289">
        <f t="shared" si="1047"/>
        <v>2256631679</v>
      </c>
      <c r="Q884" s="289">
        <f t="shared" si="1047"/>
        <v>2100205076</v>
      </c>
      <c r="R884" s="276">
        <f t="shared" si="986"/>
        <v>14307209417</v>
      </c>
      <c r="S884" s="289">
        <f t="shared" ref="S884:Z884" si="1048">+S885+S896</f>
        <v>1916805034</v>
      </c>
      <c r="T884" s="289">
        <f t="shared" si="1048"/>
        <v>1976538068</v>
      </c>
      <c r="U884" s="289">
        <f t="shared" si="1048"/>
        <v>2513424725</v>
      </c>
      <c r="V884" s="289">
        <f t="shared" si="1048"/>
        <v>2422503277</v>
      </c>
      <c r="W884" s="289">
        <f t="shared" si="1048"/>
        <v>2273408113.3400002</v>
      </c>
      <c r="X884" s="289">
        <f t="shared" si="1048"/>
        <v>2616303653</v>
      </c>
      <c r="Y884" s="289">
        <f t="shared" si="1048"/>
        <v>271006454.5</v>
      </c>
      <c r="Z884" s="289">
        <f t="shared" si="1048"/>
        <v>0</v>
      </c>
      <c r="AA884" s="276">
        <f t="shared" si="1045"/>
        <v>13989989324.84</v>
      </c>
      <c r="AB884" s="402">
        <f t="shared" si="965"/>
        <v>28297198741.84</v>
      </c>
      <c r="AC884" s="321">
        <f t="shared" si="966"/>
        <v>0.99504883401927002</v>
      </c>
    </row>
    <row r="885" spans="1:29" s="61" customFormat="1" ht="25.5" x14ac:dyDescent="0.2">
      <c r="A885" s="421">
        <v>1</v>
      </c>
      <c r="B885" s="318" t="s">
        <v>998</v>
      </c>
      <c r="C885" s="319" t="s">
        <v>999</v>
      </c>
      <c r="D885" s="292">
        <f>SUM(D886:D892)</f>
        <v>24830592091</v>
      </c>
      <c r="E885" s="322">
        <f>SUM('ADICIONES  2021'!C885:N885)</f>
        <v>2638000000</v>
      </c>
      <c r="F885" s="292">
        <f t="shared" ref="F885:J885" si="1049">SUM(F886:F892)</f>
        <v>0</v>
      </c>
      <c r="G885" s="292">
        <f t="shared" si="1049"/>
        <v>0</v>
      </c>
      <c r="H885" s="292">
        <f t="shared" si="1049"/>
        <v>0</v>
      </c>
      <c r="I885" s="292">
        <f t="shared" si="1049"/>
        <v>0</v>
      </c>
      <c r="J885" s="292">
        <f t="shared" si="1049"/>
        <v>0</v>
      </c>
      <c r="K885" s="276">
        <f t="shared" si="978"/>
        <v>27468592091</v>
      </c>
      <c r="L885" s="292">
        <f t="shared" ref="L885:Q885" si="1050">SUM(L886:L892)</f>
        <v>2998827000</v>
      </c>
      <c r="M885" s="292">
        <f t="shared" si="1050"/>
        <v>2621013000</v>
      </c>
      <c r="N885" s="292">
        <f t="shared" si="1050"/>
        <v>2043878000</v>
      </c>
      <c r="O885" s="292">
        <f t="shared" si="1050"/>
        <v>2162047000</v>
      </c>
      <c r="P885" s="292">
        <f t="shared" si="1050"/>
        <v>2235484000</v>
      </c>
      <c r="Q885" s="292">
        <f t="shared" si="1050"/>
        <v>2081017000</v>
      </c>
      <c r="R885" s="276">
        <f t="shared" si="986"/>
        <v>14142266000</v>
      </c>
      <c r="S885" s="292">
        <f t="shared" ref="S885:Z885" si="1051">SUM(S886:S892)</f>
        <v>1905340815.49</v>
      </c>
      <c r="T885" s="292">
        <f t="shared" si="1051"/>
        <v>1942623000</v>
      </c>
      <c r="U885" s="292">
        <f t="shared" si="1051"/>
        <v>2499669000</v>
      </c>
      <c r="V885" s="292">
        <f t="shared" si="1051"/>
        <v>2388007000</v>
      </c>
      <c r="W885" s="292">
        <f t="shared" si="1051"/>
        <v>2242492432.0500002</v>
      </c>
      <c r="X885" s="292">
        <f t="shared" si="1051"/>
        <v>2592299000</v>
      </c>
      <c r="Y885" s="292">
        <f t="shared" si="1051"/>
        <v>271006454.5</v>
      </c>
      <c r="Z885" s="292">
        <f t="shared" si="1051"/>
        <v>0</v>
      </c>
      <c r="AA885" s="276">
        <f t="shared" si="1045"/>
        <v>13841437702.040001</v>
      </c>
      <c r="AB885" s="402">
        <f t="shared" si="965"/>
        <v>27983703702.040001</v>
      </c>
      <c r="AC885" s="321">
        <f t="shared" si="966"/>
        <v>1.0187527489335275</v>
      </c>
    </row>
    <row r="886" spans="1:29" ht="14.25" x14ac:dyDescent="0.2">
      <c r="B886" s="323" t="s">
        <v>1000</v>
      </c>
      <c r="C886" s="206" t="s">
        <v>375</v>
      </c>
      <c r="D886" s="303">
        <v>6207648022.75</v>
      </c>
      <c r="E886" s="325">
        <f>SUM('ADICIONES  2021'!C886:N886)</f>
        <v>0</v>
      </c>
      <c r="F886" s="290"/>
      <c r="G886" s="290"/>
      <c r="H886" s="290"/>
      <c r="I886" s="290"/>
      <c r="J886" s="290"/>
      <c r="K886" s="281">
        <f t="shared" si="978"/>
        <v>6207648022.75</v>
      </c>
      <c r="L886" s="290">
        <v>749706750</v>
      </c>
      <c r="M886" s="290">
        <v>655253250</v>
      </c>
      <c r="N886" s="290">
        <v>510969500</v>
      </c>
      <c r="O886" s="290">
        <v>540511750</v>
      </c>
      <c r="P886" s="290">
        <v>558871000</v>
      </c>
      <c r="Q886" s="290">
        <v>520254250</v>
      </c>
      <c r="R886" s="281">
        <f t="shared" si="986"/>
        <v>3535566500</v>
      </c>
      <c r="S886" s="290">
        <v>472671750</v>
      </c>
      <c r="T886" s="290">
        <v>485655750</v>
      </c>
      <c r="U886" s="290">
        <v>624917250</v>
      </c>
      <c r="V886" s="290">
        <v>597001750</v>
      </c>
      <c r="W886" s="290">
        <v>491835022.75</v>
      </c>
      <c r="X886" s="290">
        <v>124077977.25</v>
      </c>
      <c r="Y886" s="290">
        <v>0</v>
      </c>
      <c r="Z886" s="290"/>
      <c r="AA886" s="281">
        <f t="shared" si="1045"/>
        <v>2796159500</v>
      </c>
      <c r="AB886" s="403">
        <f t="shared" si="965"/>
        <v>6331726000</v>
      </c>
      <c r="AC886" s="326">
        <f t="shared" si="966"/>
        <v>1.0199879208349563</v>
      </c>
    </row>
    <row r="887" spans="1:29" ht="14.25" x14ac:dyDescent="0.2">
      <c r="B887" s="323" t="s">
        <v>1000</v>
      </c>
      <c r="C887" s="206" t="s">
        <v>375</v>
      </c>
      <c r="D887" s="303"/>
      <c r="E887" s="325">
        <f>SUM('ADICIONES  2021'!C887:N887)</f>
        <v>459500000</v>
      </c>
      <c r="F887" s="290"/>
      <c r="G887" s="290"/>
      <c r="H887" s="290"/>
      <c r="I887" s="290"/>
      <c r="J887" s="290"/>
      <c r="K887" s="281">
        <f t="shared" si="978"/>
        <v>459500000</v>
      </c>
      <c r="L887" s="290"/>
      <c r="M887" s="290"/>
      <c r="N887" s="290"/>
      <c r="O887" s="290"/>
      <c r="P887" s="290"/>
      <c r="Q887" s="290"/>
      <c r="R887" s="281">
        <f t="shared" si="986"/>
        <v>0</v>
      </c>
      <c r="S887" s="290"/>
      <c r="T887" s="290"/>
      <c r="U887" s="290"/>
      <c r="V887" s="290"/>
      <c r="W887" s="290"/>
      <c r="X887" s="290">
        <v>459500000</v>
      </c>
      <c r="Y887" s="290">
        <v>0</v>
      </c>
      <c r="Z887" s="290"/>
      <c r="AA887" s="281">
        <f t="shared" ref="AA887:AA891" si="1052">SUM(S887:Z887)</f>
        <v>459500000</v>
      </c>
      <c r="AB887" s="403">
        <f t="shared" ref="AB887:AB891" si="1053">+R887+AA887</f>
        <v>459500000</v>
      </c>
      <c r="AC887" s="326">
        <f t="shared" ref="AC887:AC891" si="1054">+AB887/K887</f>
        <v>1</v>
      </c>
    </row>
    <row r="888" spans="1:29" ht="14.25" x14ac:dyDescent="0.2">
      <c r="B888" s="323" t="s">
        <v>1000</v>
      </c>
      <c r="C888" s="206" t="s">
        <v>375</v>
      </c>
      <c r="D888" s="303"/>
      <c r="E888" s="325">
        <f>SUM('ADICIONES  2021'!C888:N888)</f>
        <v>200000000</v>
      </c>
      <c r="F888" s="290"/>
      <c r="G888" s="290"/>
      <c r="H888" s="290"/>
      <c r="I888" s="290"/>
      <c r="J888" s="290"/>
      <c r="K888" s="281">
        <f t="shared" si="978"/>
        <v>200000000</v>
      </c>
      <c r="L888" s="290"/>
      <c r="M888" s="290"/>
      <c r="N888" s="290"/>
      <c r="O888" s="290"/>
      <c r="P888" s="290"/>
      <c r="Q888" s="290"/>
      <c r="R888" s="281">
        <f t="shared" si="986"/>
        <v>0</v>
      </c>
      <c r="S888" s="290"/>
      <c r="T888" s="290"/>
      <c r="U888" s="290">
        <v>0</v>
      </c>
      <c r="V888" s="290">
        <v>0</v>
      </c>
      <c r="W888" s="290">
        <v>0</v>
      </c>
      <c r="X888" s="290">
        <v>64496772.75</v>
      </c>
      <c r="Y888" s="290">
        <v>135503227.25</v>
      </c>
      <c r="Z888" s="290"/>
      <c r="AA888" s="281">
        <f t="shared" si="1052"/>
        <v>200000000</v>
      </c>
      <c r="AB888" s="403">
        <f t="shared" si="1053"/>
        <v>200000000</v>
      </c>
      <c r="AC888" s="326">
        <f t="shared" si="1054"/>
        <v>1</v>
      </c>
    </row>
    <row r="889" spans="1:29" ht="25.5" x14ac:dyDescent="0.2">
      <c r="B889" s="323" t="s">
        <v>1001</v>
      </c>
      <c r="C889" s="206" t="s">
        <v>376</v>
      </c>
      <c r="D889" s="303">
        <v>6207648022.75</v>
      </c>
      <c r="E889" s="325">
        <f>SUM('ADICIONES  2021'!C889:N889)</f>
        <v>0</v>
      </c>
      <c r="F889" s="290"/>
      <c r="G889" s="290"/>
      <c r="H889" s="290"/>
      <c r="I889" s="290"/>
      <c r="J889" s="290"/>
      <c r="K889" s="281">
        <f t="shared" si="978"/>
        <v>6207648022.75</v>
      </c>
      <c r="L889" s="290">
        <v>749706750</v>
      </c>
      <c r="M889" s="290">
        <v>655253250</v>
      </c>
      <c r="N889" s="290">
        <v>510969500</v>
      </c>
      <c r="O889" s="290">
        <v>540511750</v>
      </c>
      <c r="P889" s="290">
        <v>558871000</v>
      </c>
      <c r="Q889" s="290">
        <v>520254250</v>
      </c>
      <c r="R889" s="281">
        <f t="shared" si="986"/>
        <v>3535566500</v>
      </c>
      <c r="S889" s="290">
        <v>472671750</v>
      </c>
      <c r="T889" s="290">
        <v>485655750</v>
      </c>
      <c r="U889" s="290">
        <v>624917250</v>
      </c>
      <c r="V889" s="290">
        <v>597001750</v>
      </c>
      <c r="W889" s="290">
        <v>491835022.75</v>
      </c>
      <c r="X889" s="290">
        <v>124077977.25</v>
      </c>
      <c r="Y889" s="290">
        <v>0</v>
      </c>
      <c r="Z889" s="290"/>
      <c r="AA889" s="281">
        <f t="shared" si="1052"/>
        <v>2796159500</v>
      </c>
      <c r="AB889" s="403">
        <f t="shared" si="1053"/>
        <v>6331726000</v>
      </c>
      <c r="AC889" s="326">
        <f t="shared" si="1054"/>
        <v>1.0199879208349563</v>
      </c>
    </row>
    <row r="890" spans="1:29" ht="25.5" x14ac:dyDescent="0.2">
      <c r="B890" s="323" t="s">
        <v>1001</v>
      </c>
      <c r="C890" s="206" t="s">
        <v>376</v>
      </c>
      <c r="D890" s="303"/>
      <c r="E890" s="325">
        <f>SUM('ADICIONES  2021'!C890:N890)</f>
        <v>459500000</v>
      </c>
      <c r="F890" s="290"/>
      <c r="G890" s="290"/>
      <c r="H890" s="290"/>
      <c r="I890" s="290"/>
      <c r="J890" s="290"/>
      <c r="K890" s="281">
        <f t="shared" si="978"/>
        <v>459500000</v>
      </c>
      <c r="L890" s="290"/>
      <c r="M890" s="290"/>
      <c r="N890" s="290"/>
      <c r="O890" s="290"/>
      <c r="P890" s="290"/>
      <c r="Q890" s="290"/>
      <c r="R890" s="281">
        <f t="shared" si="986"/>
        <v>0</v>
      </c>
      <c r="S890" s="290"/>
      <c r="T890" s="290"/>
      <c r="U890" s="290"/>
      <c r="V890" s="290"/>
      <c r="W890" s="290"/>
      <c r="X890" s="290">
        <v>459500000</v>
      </c>
      <c r="Y890" s="290">
        <v>0</v>
      </c>
      <c r="Z890" s="290"/>
      <c r="AA890" s="281">
        <f t="shared" si="1052"/>
        <v>459500000</v>
      </c>
      <c r="AB890" s="403">
        <f t="shared" si="1053"/>
        <v>459500000</v>
      </c>
      <c r="AC890" s="326">
        <f t="shared" si="1054"/>
        <v>1</v>
      </c>
    </row>
    <row r="891" spans="1:29" ht="25.5" x14ac:dyDescent="0.2">
      <c r="B891" s="323" t="s">
        <v>1001</v>
      </c>
      <c r="C891" s="206" t="s">
        <v>376</v>
      </c>
      <c r="D891" s="303"/>
      <c r="E891" s="325">
        <f>SUM('ADICIONES  2021'!C891:N891)</f>
        <v>200000000</v>
      </c>
      <c r="F891" s="290"/>
      <c r="G891" s="290"/>
      <c r="H891" s="290"/>
      <c r="I891" s="290"/>
      <c r="J891" s="290"/>
      <c r="K891" s="281">
        <f t="shared" si="978"/>
        <v>200000000</v>
      </c>
      <c r="L891" s="290"/>
      <c r="M891" s="290"/>
      <c r="N891" s="290"/>
      <c r="O891" s="290"/>
      <c r="P891" s="290"/>
      <c r="Q891" s="290"/>
      <c r="R891" s="281">
        <f t="shared" si="986"/>
        <v>0</v>
      </c>
      <c r="S891" s="290"/>
      <c r="T891" s="290"/>
      <c r="U891" s="290">
        <v>0</v>
      </c>
      <c r="V891" s="290">
        <v>0</v>
      </c>
      <c r="W891" s="290">
        <v>0</v>
      </c>
      <c r="X891" s="290">
        <v>64496772.75</v>
      </c>
      <c r="Y891" s="290">
        <v>135503227.25</v>
      </c>
      <c r="Z891" s="290"/>
      <c r="AA891" s="281">
        <f t="shared" si="1052"/>
        <v>200000000</v>
      </c>
      <c r="AB891" s="403">
        <f t="shared" si="1053"/>
        <v>200000000</v>
      </c>
      <c r="AC891" s="326">
        <f t="shared" si="1054"/>
        <v>1</v>
      </c>
    </row>
    <row r="892" spans="1:29" s="61" customFormat="1" ht="15.75" x14ac:dyDescent="0.2">
      <c r="A892" s="421"/>
      <c r="B892" s="318" t="s">
        <v>1002</v>
      </c>
      <c r="C892" s="319" t="s">
        <v>986</v>
      </c>
      <c r="D892" s="292">
        <f>SUM(D893:D895)</f>
        <v>12415296045.5</v>
      </c>
      <c r="E892" s="322">
        <f>SUM('ADICIONES  2021'!C892:N892)</f>
        <v>1319000000</v>
      </c>
      <c r="F892" s="292">
        <f t="shared" ref="F892:J892" si="1055">SUM(F893:F895)</f>
        <v>0</v>
      </c>
      <c r="G892" s="292">
        <f t="shared" si="1055"/>
        <v>0</v>
      </c>
      <c r="H892" s="292">
        <f t="shared" si="1055"/>
        <v>0</v>
      </c>
      <c r="I892" s="292">
        <f t="shared" si="1055"/>
        <v>0</v>
      </c>
      <c r="J892" s="292">
        <f t="shared" si="1055"/>
        <v>0</v>
      </c>
      <c r="K892" s="276">
        <f t="shared" si="978"/>
        <v>13734296045.5</v>
      </c>
      <c r="L892" s="292">
        <f t="shared" ref="L892:Q892" si="1056">SUM(L893:L895)</f>
        <v>1499413500</v>
      </c>
      <c r="M892" s="292">
        <f t="shared" si="1056"/>
        <v>1310506500</v>
      </c>
      <c r="N892" s="292">
        <f t="shared" si="1056"/>
        <v>1021939000</v>
      </c>
      <c r="O892" s="292">
        <f t="shared" si="1056"/>
        <v>1081023500</v>
      </c>
      <c r="P892" s="292">
        <f t="shared" si="1056"/>
        <v>1117742000</v>
      </c>
      <c r="Q892" s="292">
        <f t="shared" si="1056"/>
        <v>1040508500</v>
      </c>
      <c r="R892" s="276">
        <f t="shared" si="986"/>
        <v>7071133000</v>
      </c>
      <c r="S892" s="292">
        <f t="shared" ref="S892:Z892" si="1057">SUM(S893:S895)</f>
        <v>959997315.49000001</v>
      </c>
      <c r="T892" s="292">
        <f t="shared" si="1057"/>
        <v>971311500</v>
      </c>
      <c r="U892" s="292">
        <f t="shared" si="1057"/>
        <v>1249834500</v>
      </c>
      <c r="V892" s="292">
        <f t="shared" si="1057"/>
        <v>1194003500</v>
      </c>
      <c r="W892" s="292">
        <f t="shared" si="1057"/>
        <v>1258822386.55</v>
      </c>
      <c r="X892" s="292">
        <f t="shared" si="1057"/>
        <v>1296149500</v>
      </c>
      <c r="Y892" s="292">
        <f t="shared" si="1057"/>
        <v>0</v>
      </c>
      <c r="Z892" s="292">
        <f t="shared" si="1057"/>
        <v>0</v>
      </c>
      <c r="AA892" s="276">
        <f t="shared" si="1045"/>
        <v>6930118702.04</v>
      </c>
      <c r="AB892" s="402">
        <f t="shared" si="965"/>
        <v>14001251702.040001</v>
      </c>
      <c r="AC892" s="321">
        <f t="shared" si="966"/>
        <v>1.0194371561276683</v>
      </c>
    </row>
    <row r="893" spans="1:29" ht="14.25" x14ac:dyDescent="0.2">
      <c r="B893" s="323" t="s">
        <v>1003</v>
      </c>
      <c r="C893" s="206" t="s">
        <v>378</v>
      </c>
      <c r="D893" s="303">
        <v>12415296045.5</v>
      </c>
      <c r="E893" s="325">
        <f>SUM('ADICIONES  2021'!C893:N893)</f>
        <v>0</v>
      </c>
      <c r="F893" s="290"/>
      <c r="G893" s="290"/>
      <c r="H893" s="290"/>
      <c r="I893" s="290"/>
      <c r="J893" s="290"/>
      <c r="K893" s="281">
        <f t="shared" ref="K893:K978" si="1058">+D893+E893-F893+G893-H893</f>
        <v>12415296045.5</v>
      </c>
      <c r="L893" s="290">
        <v>1499413500</v>
      </c>
      <c r="M893" s="290">
        <v>1310506500</v>
      </c>
      <c r="N893" s="290">
        <v>1021939000</v>
      </c>
      <c r="O893" s="290">
        <v>1081023500</v>
      </c>
      <c r="P893" s="290">
        <v>1117742000</v>
      </c>
      <c r="Q893" s="290">
        <v>1040508500</v>
      </c>
      <c r="R893" s="281">
        <f t="shared" si="986"/>
        <v>7071133000</v>
      </c>
      <c r="S893" s="290">
        <v>959997315.49000001</v>
      </c>
      <c r="T893" s="290">
        <v>971311500</v>
      </c>
      <c r="U893" s="290">
        <v>1249834500</v>
      </c>
      <c r="V893" s="290">
        <v>1194003500</v>
      </c>
      <c r="W893" s="290">
        <v>969016230.00999999</v>
      </c>
      <c r="X893" s="290">
        <v>266955656.53999999</v>
      </c>
      <c r="Y893" s="290"/>
      <c r="Z893" s="290"/>
      <c r="AA893" s="281">
        <f t="shared" si="1045"/>
        <v>5611118702.04</v>
      </c>
      <c r="AB893" s="403">
        <f t="shared" si="965"/>
        <v>12682251702.040001</v>
      </c>
      <c r="AC893" s="326">
        <f t="shared" si="966"/>
        <v>1.0215021579478776</v>
      </c>
    </row>
    <row r="894" spans="1:29" ht="14.25" x14ac:dyDescent="0.2">
      <c r="B894" s="323" t="s">
        <v>1003</v>
      </c>
      <c r="C894" s="206" t="s">
        <v>378</v>
      </c>
      <c r="D894" s="303"/>
      <c r="E894" s="325">
        <f>SUM('ADICIONES  2021'!C894:N894)</f>
        <v>919000000</v>
      </c>
      <c r="F894" s="290"/>
      <c r="G894" s="290"/>
      <c r="H894" s="290"/>
      <c r="I894" s="290"/>
      <c r="J894" s="290"/>
      <c r="K894" s="281">
        <f t="shared" si="1058"/>
        <v>919000000</v>
      </c>
      <c r="L894" s="290"/>
      <c r="M894" s="290"/>
      <c r="N894" s="290"/>
      <c r="O894" s="290"/>
      <c r="P894" s="290"/>
      <c r="Q894" s="290"/>
      <c r="R894" s="281">
        <f t="shared" si="986"/>
        <v>0</v>
      </c>
      <c r="S894" s="290"/>
      <c r="T894" s="290"/>
      <c r="U894" s="290">
        <v>0</v>
      </c>
      <c r="V894" s="290">
        <v>0</v>
      </c>
      <c r="W894" s="290">
        <v>0</v>
      </c>
      <c r="X894" s="290">
        <v>919000000</v>
      </c>
      <c r="Y894" s="290"/>
      <c r="Z894" s="290"/>
      <c r="AA894" s="281">
        <f t="shared" si="1045"/>
        <v>919000000</v>
      </c>
      <c r="AB894" s="403">
        <f t="shared" si="965"/>
        <v>919000000</v>
      </c>
      <c r="AC894" s="326">
        <f t="shared" si="966"/>
        <v>1</v>
      </c>
    </row>
    <row r="895" spans="1:29" ht="14.25" x14ac:dyDescent="0.2">
      <c r="B895" s="323" t="s">
        <v>1003</v>
      </c>
      <c r="C895" s="206" t="s">
        <v>378</v>
      </c>
      <c r="D895" s="303"/>
      <c r="E895" s="325">
        <f>SUM('ADICIONES  2021'!C895:N895)</f>
        <v>400000000</v>
      </c>
      <c r="F895" s="290"/>
      <c r="G895" s="290"/>
      <c r="H895" s="290"/>
      <c r="I895" s="290"/>
      <c r="J895" s="290"/>
      <c r="K895" s="281">
        <f t="shared" si="1058"/>
        <v>400000000</v>
      </c>
      <c r="L895" s="290"/>
      <c r="M895" s="290"/>
      <c r="N895" s="290"/>
      <c r="O895" s="290"/>
      <c r="P895" s="290"/>
      <c r="Q895" s="290"/>
      <c r="R895" s="281">
        <f t="shared" si="986"/>
        <v>0</v>
      </c>
      <c r="S895" s="290"/>
      <c r="T895" s="290"/>
      <c r="U895" s="290"/>
      <c r="V895" s="290"/>
      <c r="W895" s="290">
        <v>289806156.54000002</v>
      </c>
      <c r="X895" s="290">
        <v>110193843.45999999</v>
      </c>
      <c r="Y895" s="290"/>
      <c r="Z895" s="290"/>
      <c r="AA895" s="281">
        <f t="shared" ref="AA895" si="1059">SUM(S895:Z895)</f>
        <v>400000000</v>
      </c>
      <c r="AB895" s="403">
        <f t="shared" si="965"/>
        <v>400000000</v>
      </c>
      <c r="AC895" s="326">
        <v>0</v>
      </c>
    </row>
    <row r="896" spans="1:29" s="61" customFormat="1" ht="25.5" x14ac:dyDescent="0.2">
      <c r="A896" s="421">
        <v>1</v>
      </c>
      <c r="B896" s="318" t="s">
        <v>466</v>
      </c>
      <c r="C896" s="319" t="s">
        <v>1004</v>
      </c>
      <c r="D896" s="292">
        <f>SUM(D897:D899)</f>
        <v>969407909</v>
      </c>
      <c r="E896" s="322">
        <f>SUM('ADICIONES  2021'!C896:N896)</f>
        <v>0</v>
      </c>
      <c r="F896" s="289"/>
      <c r="G896" s="289">
        <f t="shared" ref="G896:J896" si="1060">SUM(G897:G899)</f>
        <v>0</v>
      </c>
      <c r="H896" s="289">
        <f t="shared" si="1060"/>
        <v>0</v>
      </c>
      <c r="I896" s="289">
        <f t="shared" si="1060"/>
        <v>0</v>
      </c>
      <c r="J896" s="289">
        <f t="shared" si="1060"/>
        <v>0</v>
      </c>
      <c r="K896" s="276">
        <f t="shared" si="1058"/>
        <v>969407909</v>
      </c>
      <c r="L896" s="289">
        <f t="shared" ref="L896:Q896" si="1061">SUM(L897:L899)</f>
        <v>27139900</v>
      </c>
      <c r="M896" s="289">
        <f t="shared" si="1061"/>
        <v>27874721</v>
      </c>
      <c r="N896" s="289">
        <f t="shared" si="1061"/>
        <v>51588780</v>
      </c>
      <c r="O896" s="289">
        <f t="shared" si="1061"/>
        <v>18004261</v>
      </c>
      <c r="P896" s="289">
        <f t="shared" si="1061"/>
        <v>21147679</v>
      </c>
      <c r="Q896" s="289">
        <f t="shared" si="1061"/>
        <v>19188076</v>
      </c>
      <c r="R896" s="276">
        <f t="shared" si="986"/>
        <v>164943417</v>
      </c>
      <c r="S896" s="289">
        <f t="shared" ref="S896:Z896" si="1062">SUM(S897:S899)</f>
        <v>11464218.51</v>
      </c>
      <c r="T896" s="289">
        <f t="shared" si="1062"/>
        <v>33915068</v>
      </c>
      <c r="U896" s="289">
        <f>SUM(U897:U899)</f>
        <v>13755725</v>
      </c>
      <c r="V896" s="289">
        <f t="shared" si="1062"/>
        <v>34496277</v>
      </c>
      <c r="W896" s="289">
        <f t="shared" si="1062"/>
        <v>30915681.289999999</v>
      </c>
      <c r="X896" s="289">
        <f t="shared" si="1062"/>
        <v>24004653</v>
      </c>
      <c r="Y896" s="289">
        <f t="shared" si="1062"/>
        <v>0</v>
      </c>
      <c r="Z896" s="289">
        <f t="shared" si="1062"/>
        <v>0</v>
      </c>
      <c r="AA896" s="276">
        <f t="shared" si="1045"/>
        <v>148551622.79999998</v>
      </c>
      <c r="AB896" s="402">
        <f t="shared" si="965"/>
        <v>313495039.79999995</v>
      </c>
      <c r="AC896" s="321">
        <f t="shared" si="966"/>
        <v>0.32338815981333197</v>
      </c>
    </row>
    <row r="897" spans="1:29" ht="14.25" x14ac:dyDescent="0.2">
      <c r="B897" s="323" t="s">
        <v>468</v>
      </c>
      <c r="C897" s="206" t="s">
        <v>375</v>
      </c>
      <c r="D897" s="303">
        <v>242351977.25</v>
      </c>
      <c r="E897" s="325">
        <f>SUM('ADICIONES  2021'!C897:N897)</f>
        <v>0</v>
      </c>
      <c r="F897" s="290"/>
      <c r="G897" s="290"/>
      <c r="H897" s="290"/>
      <c r="I897" s="290"/>
      <c r="J897" s="290"/>
      <c r="K897" s="281">
        <f t="shared" si="1058"/>
        <v>242351977.25</v>
      </c>
      <c r="L897" s="290">
        <v>6785000</v>
      </c>
      <c r="M897" s="290">
        <v>7248852</v>
      </c>
      <c r="N897" s="290">
        <v>12897000</v>
      </c>
      <c r="O897" s="290">
        <v>4501000</v>
      </c>
      <c r="P897" s="290">
        <v>5287000</v>
      </c>
      <c r="Q897" s="290">
        <v>4797000</v>
      </c>
      <c r="R897" s="281">
        <f t="shared" si="986"/>
        <v>41515852</v>
      </c>
      <c r="S897" s="290">
        <v>2832000</v>
      </c>
      <c r="T897" s="290">
        <v>8479000</v>
      </c>
      <c r="U897" s="290">
        <v>3439000</v>
      </c>
      <c r="V897" s="290">
        <v>8624000</v>
      </c>
      <c r="W897" s="290">
        <v>7716000</v>
      </c>
      <c r="X897" s="290">
        <v>6001000</v>
      </c>
      <c r="Y897" s="290"/>
      <c r="Z897" s="290"/>
      <c r="AA897" s="281">
        <f t="shared" si="1045"/>
        <v>37091000</v>
      </c>
      <c r="AB897" s="403">
        <f t="shared" si="965"/>
        <v>78606852</v>
      </c>
      <c r="AC897" s="326">
        <f t="shared" si="966"/>
        <v>0.32434995122368038</v>
      </c>
    </row>
    <row r="898" spans="1:29" ht="25.5" x14ac:dyDescent="0.2">
      <c r="B898" s="323" t="s">
        <v>469</v>
      </c>
      <c r="C898" s="206" t="s">
        <v>376</v>
      </c>
      <c r="D898" s="303">
        <v>242351977.25</v>
      </c>
      <c r="E898" s="325">
        <f>SUM('ADICIONES  2021'!C898:N898)</f>
        <v>0</v>
      </c>
      <c r="F898" s="290"/>
      <c r="G898" s="290"/>
      <c r="H898" s="290"/>
      <c r="I898" s="290"/>
      <c r="J898" s="290"/>
      <c r="K898" s="281">
        <f t="shared" si="1058"/>
        <v>242351977.25</v>
      </c>
      <c r="L898" s="290">
        <v>6785000</v>
      </c>
      <c r="M898" s="290">
        <v>7248852</v>
      </c>
      <c r="N898" s="290">
        <v>12897000</v>
      </c>
      <c r="O898" s="290">
        <v>4501000</v>
      </c>
      <c r="P898" s="290">
        <v>5287000</v>
      </c>
      <c r="Q898" s="290">
        <v>4797000</v>
      </c>
      <c r="R898" s="281">
        <f t="shared" si="986"/>
        <v>41515852</v>
      </c>
      <c r="S898" s="290">
        <v>2832000</v>
      </c>
      <c r="T898" s="290">
        <v>8479000</v>
      </c>
      <c r="U898" s="290">
        <v>3439000</v>
      </c>
      <c r="V898" s="290">
        <v>8624000</v>
      </c>
      <c r="W898" s="290">
        <v>7716000</v>
      </c>
      <c r="X898" s="290">
        <v>6001000</v>
      </c>
      <c r="Y898" s="290"/>
      <c r="Z898" s="290"/>
      <c r="AA898" s="281">
        <f t="shared" si="1045"/>
        <v>37091000</v>
      </c>
      <c r="AB898" s="403">
        <f t="shared" si="965"/>
        <v>78606852</v>
      </c>
      <c r="AC898" s="326">
        <f t="shared" si="966"/>
        <v>0.32434995122368038</v>
      </c>
    </row>
    <row r="899" spans="1:29" s="61" customFormat="1" ht="15.75" x14ac:dyDescent="0.2">
      <c r="A899" s="421"/>
      <c r="B899" s="318" t="s">
        <v>470</v>
      </c>
      <c r="C899" s="319" t="s">
        <v>986</v>
      </c>
      <c r="D899" s="292">
        <f>+D900</f>
        <v>484703954.5</v>
      </c>
      <c r="E899" s="322">
        <f>SUM('ADICIONES  2021'!C899:N899)</f>
        <v>0</v>
      </c>
      <c r="F899" s="289"/>
      <c r="G899" s="289">
        <f t="shared" ref="G899:J899" si="1063">+G900</f>
        <v>0</v>
      </c>
      <c r="H899" s="289">
        <f t="shared" si="1063"/>
        <v>0</v>
      </c>
      <c r="I899" s="289">
        <f t="shared" si="1063"/>
        <v>0</v>
      </c>
      <c r="J899" s="289">
        <f t="shared" si="1063"/>
        <v>0</v>
      </c>
      <c r="K899" s="276">
        <f t="shared" si="1058"/>
        <v>484703954.5</v>
      </c>
      <c r="L899" s="289">
        <f t="shared" ref="L899:Q899" si="1064">+L900</f>
        <v>13569900</v>
      </c>
      <c r="M899" s="289">
        <f t="shared" si="1064"/>
        <v>13377017</v>
      </c>
      <c r="N899" s="289">
        <f t="shared" si="1064"/>
        <v>25794780</v>
      </c>
      <c r="O899" s="289">
        <f t="shared" si="1064"/>
        <v>9002261</v>
      </c>
      <c r="P899" s="289">
        <f t="shared" si="1064"/>
        <v>10573679</v>
      </c>
      <c r="Q899" s="289">
        <f t="shared" si="1064"/>
        <v>9594076</v>
      </c>
      <c r="R899" s="276">
        <f t="shared" si="986"/>
        <v>81911713</v>
      </c>
      <c r="S899" s="289">
        <f t="shared" ref="S899:Z899" si="1065">+S900</f>
        <v>5800218.5099999998</v>
      </c>
      <c r="T899" s="289">
        <f t="shared" si="1065"/>
        <v>16957068</v>
      </c>
      <c r="U899" s="289">
        <f>+U900</f>
        <v>6877725</v>
      </c>
      <c r="V899" s="289">
        <f t="shared" si="1065"/>
        <v>17248277</v>
      </c>
      <c r="W899" s="289">
        <f t="shared" si="1065"/>
        <v>15483681.289999999</v>
      </c>
      <c r="X899" s="289">
        <f t="shared" si="1065"/>
        <v>12002653</v>
      </c>
      <c r="Y899" s="289">
        <f t="shared" si="1065"/>
        <v>0</v>
      </c>
      <c r="Z899" s="289">
        <f t="shared" si="1065"/>
        <v>0</v>
      </c>
      <c r="AA899" s="276">
        <f t="shared" si="1045"/>
        <v>74369622.799999997</v>
      </c>
      <c r="AB899" s="402">
        <f t="shared" si="965"/>
        <v>156281335.80000001</v>
      </c>
      <c r="AC899" s="321">
        <f t="shared" si="966"/>
        <v>0.32242636840298361</v>
      </c>
    </row>
    <row r="900" spans="1:29" ht="14.25" x14ac:dyDescent="0.2">
      <c r="B900" s="323" t="s">
        <v>1005</v>
      </c>
      <c r="C900" s="206" t="s">
        <v>378</v>
      </c>
      <c r="D900" s="303">
        <v>484703954.5</v>
      </c>
      <c r="E900" s="325">
        <f>SUM('ADICIONES  2021'!C900:N900)</f>
        <v>0</v>
      </c>
      <c r="F900" s="290"/>
      <c r="G900" s="290"/>
      <c r="H900" s="290"/>
      <c r="I900" s="290"/>
      <c r="J900" s="290"/>
      <c r="K900" s="281">
        <f t="shared" si="1058"/>
        <v>484703954.5</v>
      </c>
      <c r="L900" s="290">
        <v>13569900</v>
      </c>
      <c r="M900" s="290">
        <v>13377017</v>
      </c>
      <c r="N900" s="290">
        <v>25794780</v>
      </c>
      <c r="O900" s="290">
        <v>9002261</v>
      </c>
      <c r="P900" s="290">
        <v>10573679</v>
      </c>
      <c r="Q900" s="290">
        <v>9594076</v>
      </c>
      <c r="R900" s="281">
        <f t="shared" si="986"/>
        <v>81911713</v>
      </c>
      <c r="S900" s="290">
        <v>5800218.5099999998</v>
      </c>
      <c r="T900" s="290">
        <v>16957068</v>
      </c>
      <c r="U900" s="290">
        <v>6877725</v>
      </c>
      <c r="V900" s="290">
        <v>17248277</v>
      </c>
      <c r="W900" s="290">
        <v>15483681.289999999</v>
      </c>
      <c r="X900" s="290">
        <v>12002653</v>
      </c>
      <c r="Y900" s="290"/>
      <c r="Z900" s="290"/>
      <c r="AA900" s="281">
        <f t="shared" si="1045"/>
        <v>74369622.799999997</v>
      </c>
      <c r="AB900" s="403">
        <f t="shared" si="965"/>
        <v>156281335.80000001</v>
      </c>
      <c r="AC900" s="326">
        <f t="shared" si="966"/>
        <v>0.32242636840298361</v>
      </c>
    </row>
    <row r="901" spans="1:29" s="61" customFormat="1" ht="25.5" x14ac:dyDescent="0.2">
      <c r="A901" s="421">
        <v>1</v>
      </c>
      <c r="B901" s="318" t="s">
        <v>473</v>
      </c>
      <c r="C901" s="319" t="s">
        <v>1006</v>
      </c>
      <c r="D901" s="292">
        <f>+D902</f>
        <v>8371129322.3100004</v>
      </c>
      <c r="E901" s="322">
        <f>SUM('ADICIONES  2021'!C901:N901)</f>
        <v>5994000000</v>
      </c>
      <c r="F901" s="289"/>
      <c r="G901" s="289">
        <f t="shared" ref="G901:J901" si="1066">+G902</f>
        <v>0</v>
      </c>
      <c r="H901" s="289">
        <f t="shared" si="1066"/>
        <v>0</v>
      </c>
      <c r="I901" s="289">
        <f t="shared" si="1066"/>
        <v>0</v>
      </c>
      <c r="J901" s="289">
        <f t="shared" si="1066"/>
        <v>0</v>
      </c>
      <c r="K901" s="276">
        <f t="shared" si="1058"/>
        <v>14365129322.310001</v>
      </c>
      <c r="L901" s="289">
        <f t="shared" ref="L901:Q901" si="1067">+L902</f>
        <v>785407808</v>
      </c>
      <c r="M901" s="289">
        <f t="shared" si="1067"/>
        <v>509996365</v>
      </c>
      <c r="N901" s="289">
        <f t="shared" si="1067"/>
        <v>1732651064</v>
      </c>
      <c r="O901" s="289">
        <f t="shared" si="1067"/>
        <v>828877149</v>
      </c>
      <c r="P901" s="289">
        <f t="shared" si="1067"/>
        <v>983893160</v>
      </c>
      <c r="Q901" s="289">
        <f t="shared" si="1067"/>
        <v>1067793950</v>
      </c>
      <c r="R901" s="276">
        <f t="shared" si="986"/>
        <v>5908619496</v>
      </c>
      <c r="S901" s="289">
        <f t="shared" ref="S901:Z901" si="1068">+S902</f>
        <v>1089855071.51</v>
      </c>
      <c r="T901" s="289">
        <f t="shared" si="1068"/>
        <v>1796180097</v>
      </c>
      <c r="U901" s="289">
        <f>+U902</f>
        <v>974297345</v>
      </c>
      <c r="V901" s="289">
        <f t="shared" si="1068"/>
        <v>1655666044</v>
      </c>
      <c r="W901" s="289">
        <f t="shared" si="1068"/>
        <v>1244070742.2</v>
      </c>
      <c r="X901" s="289">
        <f t="shared" si="1068"/>
        <v>1380945178</v>
      </c>
      <c r="Y901" s="289">
        <f t="shared" si="1068"/>
        <v>0</v>
      </c>
      <c r="Z901" s="289">
        <f t="shared" si="1068"/>
        <v>0</v>
      </c>
      <c r="AA901" s="276">
        <f t="shared" si="1045"/>
        <v>8141014477.71</v>
      </c>
      <c r="AB901" s="402">
        <f t="shared" si="965"/>
        <v>14049633973.709999</v>
      </c>
      <c r="AC901" s="321">
        <f t="shared" si="966"/>
        <v>0.97803741675266254</v>
      </c>
    </row>
    <row r="902" spans="1:29" s="61" customFormat="1" ht="38.25" x14ac:dyDescent="0.2">
      <c r="A902" s="421"/>
      <c r="B902" s="318" t="s">
        <v>1007</v>
      </c>
      <c r="C902" s="319" t="s">
        <v>1008</v>
      </c>
      <c r="D902" s="292">
        <f>+D903+D905</f>
        <v>8371129322.3100004</v>
      </c>
      <c r="E902" s="322">
        <f>SUM('ADICIONES  2021'!C902:N902)</f>
        <v>5994000000</v>
      </c>
      <c r="F902" s="289"/>
      <c r="G902" s="289">
        <f t="shared" ref="G902:J902" si="1069">+G903+G905</f>
        <v>0</v>
      </c>
      <c r="H902" s="289">
        <f t="shared" si="1069"/>
        <v>0</v>
      </c>
      <c r="I902" s="289">
        <f t="shared" si="1069"/>
        <v>0</v>
      </c>
      <c r="J902" s="289">
        <f t="shared" si="1069"/>
        <v>0</v>
      </c>
      <c r="K902" s="276">
        <f t="shared" si="1058"/>
        <v>14365129322.310001</v>
      </c>
      <c r="L902" s="289">
        <f t="shared" ref="L902:Q902" si="1070">+L903+L905</f>
        <v>785407808</v>
      </c>
      <c r="M902" s="289">
        <f t="shared" si="1070"/>
        <v>509996365</v>
      </c>
      <c r="N902" s="289">
        <f t="shared" si="1070"/>
        <v>1732651064</v>
      </c>
      <c r="O902" s="289">
        <f t="shared" si="1070"/>
        <v>828877149</v>
      </c>
      <c r="P902" s="289">
        <f t="shared" si="1070"/>
        <v>983893160</v>
      </c>
      <c r="Q902" s="289">
        <f t="shared" si="1070"/>
        <v>1067793950</v>
      </c>
      <c r="R902" s="276">
        <f t="shared" si="986"/>
        <v>5908619496</v>
      </c>
      <c r="S902" s="289">
        <f t="shared" ref="S902:Z902" si="1071">+S903+S905</f>
        <v>1089855071.51</v>
      </c>
      <c r="T902" s="289">
        <f t="shared" si="1071"/>
        <v>1796180097</v>
      </c>
      <c r="U902" s="289">
        <f>+U903+U905</f>
        <v>974297345</v>
      </c>
      <c r="V902" s="289">
        <f t="shared" si="1071"/>
        <v>1655666044</v>
      </c>
      <c r="W902" s="289">
        <f t="shared" si="1071"/>
        <v>1244070742.2</v>
      </c>
      <c r="X902" s="289">
        <f t="shared" si="1071"/>
        <v>1380945178</v>
      </c>
      <c r="Y902" s="289">
        <f t="shared" si="1071"/>
        <v>0</v>
      </c>
      <c r="Z902" s="289">
        <f t="shared" si="1071"/>
        <v>0</v>
      </c>
      <c r="AA902" s="276">
        <f t="shared" si="1045"/>
        <v>8141014477.71</v>
      </c>
      <c r="AB902" s="402">
        <f t="shared" si="965"/>
        <v>14049633973.709999</v>
      </c>
      <c r="AC902" s="321">
        <f t="shared" si="966"/>
        <v>0.97803741675266254</v>
      </c>
    </row>
    <row r="903" spans="1:29" s="61" customFormat="1" ht="38.25" x14ac:dyDescent="0.2">
      <c r="A903" s="421">
        <v>1</v>
      </c>
      <c r="B903" s="318" t="s">
        <v>1009</v>
      </c>
      <c r="C903" s="319" t="s">
        <v>1010</v>
      </c>
      <c r="D903" s="292">
        <f>+D904</f>
        <v>656122480</v>
      </c>
      <c r="E903" s="322">
        <f>SUM('ADICIONES  2021'!C903:N903)</f>
        <v>0</v>
      </c>
      <c r="F903" s="289"/>
      <c r="G903" s="289">
        <f t="shared" ref="G903:J903" si="1072">+G904</f>
        <v>0</v>
      </c>
      <c r="H903" s="289">
        <f t="shared" si="1072"/>
        <v>0</v>
      </c>
      <c r="I903" s="289">
        <f t="shared" si="1072"/>
        <v>0</v>
      </c>
      <c r="J903" s="289">
        <f t="shared" si="1072"/>
        <v>0</v>
      </c>
      <c r="K903" s="276">
        <f t="shared" si="1058"/>
        <v>656122480</v>
      </c>
      <c r="L903" s="289">
        <f t="shared" ref="L903:Q903" si="1073">+L904</f>
        <v>0</v>
      </c>
      <c r="M903" s="289">
        <f t="shared" si="1073"/>
        <v>0</v>
      </c>
      <c r="N903" s="289">
        <f t="shared" si="1073"/>
        <v>0</v>
      </c>
      <c r="O903" s="289">
        <f t="shared" si="1073"/>
        <v>0</v>
      </c>
      <c r="P903" s="289">
        <f t="shared" si="1073"/>
        <v>0</v>
      </c>
      <c r="Q903" s="289">
        <f t="shared" si="1073"/>
        <v>0</v>
      </c>
      <c r="R903" s="276">
        <f t="shared" si="986"/>
        <v>0</v>
      </c>
      <c r="S903" s="289">
        <f t="shared" ref="S903:Z903" si="1074">+S904</f>
        <v>0</v>
      </c>
      <c r="T903" s="289">
        <f t="shared" si="1074"/>
        <v>0</v>
      </c>
      <c r="U903" s="289">
        <f>+U904</f>
        <v>0</v>
      </c>
      <c r="V903" s="289">
        <f t="shared" si="1074"/>
        <v>0</v>
      </c>
      <c r="W903" s="289">
        <f t="shared" si="1074"/>
        <v>0</v>
      </c>
      <c r="X903" s="289">
        <f t="shared" si="1074"/>
        <v>0</v>
      </c>
      <c r="Y903" s="289">
        <f t="shared" si="1074"/>
        <v>0</v>
      </c>
      <c r="Z903" s="289">
        <f t="shared" si="1074"/>
        <v>0</v>
      </c>
      <c r="AA903" s="276">
        <f t="shared" si="1045"/>
        <v>0</v>
      </c>
      <c r="AB903" s="402">
        <f t="shared" si="965"/>
        <v>0</v>
      </c>
      <c r="AC903" s="321">
        <f t="shared" si="966"/>
        <v>0</v>
      </c>
    </row>
    <row r="904" spans="1:29" ht="14.25" x14ac:dyDescent="0.2">
      <c r="B904" s="323" t="s">
        <v>1011</v>
      </c>
      <c r="C904" s="206" t="s">
        <v>378</v>
      </c>
      <c r="D904" s="303">
        <v>656122480</v>
      </c>
      <c r="E904" s="325">
        <f>SUM('ADICIONES  2021'!C904:N904)</f>
        <v>0</v>
      </c>
      <c r="F904" s="290"/>
      <c r="G904" s="290"/>
      <c r="H904" s="290"/>
      <c r="I904" s="290"/>
      <c r="J904" s="290"/>
      <c r="K904" s="281">
        <f t="shared" si="1058"/>
        <v>656122480</v>
      </c>
      <c r="L904" s="290">
        <v>0</v>
      </c>
      <c r="M904" s="290">
        <v>0</v>
      </c>
      <c r="N904" s="290">
        <v>0</v>
      </c>
      <c r="O904" s="290">
        <v>0</v>
      </c>
      <c r="P904" s="290"/>
      <c r="Q904" s="290">
        <v>0</v>
      </c>
      <c r="R904" s="281">
        <f t="shared" si="986"/>
        <v>0</v>
      </c>
      <c r="S904" s="290"/>
      <c r="T904" s="290">
        <v>0</v>
      </c>
      <c r="U904" s="290">
        <v>0</v>
      </c>
      <c r="V904" s="290">
        <v>0</v>
      </c>
      <c r="W904" s="290"/>
      <c r="X904" s="290">
        <v>0</v>
      </c>
      <c r="Y904" s="290"/>
      <c r="Z904" s="290"/>
      <c r="AA904" s="281">
        <f t="shared" si="1045"/>
        <v>0</v>
      </c>
      <c r="AB904" s="403">
        <f t="shared" si="965"/>
        <v>0</v>
      </c>
      <c r="AC904" s="326">
        <f t="shared" si="966"/>
        <v>0</v>
      </c>
    </row>
    <row r="905" spans="1:29" s="61" customFormat="1" ht="38.25" x14ac:dyDescent="0.2">
      <c r="A905" s="421">
        <v>1</v>
      </c>
      <c r="B905" s="318" t="s">
        <v>1012</v>
      </c>
      <c r="C905" s="319" t="s">
        <v>1013</v>
      </c>
      <c r="D905" s="292">
        <f>SUM(D906:D908)</f>
        <v>7715006842.3100004</v>
      </c>
      <c r="E905" s="322">
        <f>SUM('ADICIONES  2021'!C905:N905)</f>
        <v>5994000000</v>
      </c>
      <c r="F905" s="292">
        <f t="shared" ref="F905:J905" si="1075">SUM(F906:F908)</f>
        <v>0</v>
      </c>
      <c r="G905" s="292">
        <f t="shared" si="1075"/>
        <v>0</v>
      </c>
      <c r="H905" s="292">
        <f t="shared" si="1075"/>
        <v>0</v>
      </c>
      <c r="I905" s="292">
        <f t="shared" si="1075"/>
        <v>0</v>
      </c>
      <c r="J905" s="292">
        <f t="shared" si="1075"/>
        <v>0</v>
      </c>
      <c r="K905" s="276">
        <f t="shared" si="1058"/>
        <v>13709006842.310001</v>
      </c>
      <c r="L905" s="292">
        <f t="shared" ref="L905:Q905" si="1076">SUM(L906:L908)</f>
        <v>785407808</v>
      </c>
      <c r="M905" s="292">
        <f t="shared" si="1076"/>
        <v>509996365</v>
      </c>
      <c r="N905" s="292">
        <f t="shared" si="1076"/>
        <v>1732651064</v>
      </c>
      <c r="O905" s="292">
        <f t="shared" si="1076"/>
        <v>828877149</v>
      </c>
      <c r="P905" s="292">
        <f t="shared" si="1076"/>
        <v>983893160</v>
      </c>
      <c r="Q905" s="292">
        <f t="shared" si="1076"/>
        <v>1067793950</v>
      </c>
      <c r="R905" s="276">
        <f t="shared" si="986"/>
        <v>5908619496</v>
      </c>
      <c r="S905" s="292">
        <f t="shared" ref="S905:Z905" si="1077">SUM(S906:S908)</f>
        <v>1089855071.51</v>
      </c>
      <c r="T905" s="292">
        <f t="shared" si="1077"/>
        <v>1796180097</v>
      </c>
      <c r="U905" s="292">
        <f>SUM(U906:U908)</f>
        <v>974297345</v>
      </c>
      <c r="V905" s="292">
        <f t="shared" si="1077"/>
        <v>1655666044</v>
      </c>
      <c r="W905" s="292">
        <f t="shared" si="1077"/>
        <v>1244070742.2</v>
      </c>
      <c r="X905" s="292">
        <f t="shared" si="1077"/>
        <v>1380945178</v>
      </c>
      <c r="Y905" s="292">
        <f t="shared" si="1077"/>
        <v>0</v>
      </c>
      <c r="Z905" s="292">
        <f t="shared" si="1077"/>
        <v>0</v>
      </c>
      <c r="AA905" s="276">
        <f t="shared" si="1045"/>
        <v>8141014477.71</v>
      </c>
      <c r="AB905" s="402">
        <f t="shared" si="965"/>
        <v>14049633973.709999</v>
      </c>
      <c r="AC905" s="321">
        <f t="shared" si="966"/>
        <v>1.0248469590334379</v>
      </c>
    </row>
    <row r="906" spans="1:29" ht="14.25" x14ac:dyDescent="0.2">
      <c r="B906" s="323" t="s">
        <v>1014</v>
      </c>
      <c r="C906" s="206" t="s">
        <v>378</v>
      </c>
      <c r="D906" s="303">
        <v>7715006842.3100004</v>
      </c>
      <c r="E906" s="325">
        <f>SUM('ADICIONES  2021'!C906:N906)</f>
        <v>0</v>
      </c>
      <c r="F906" s="290"/>
      <c r="G906" s="290"/>
      <c r="H906" s="290"/>
      <c r="I906" s="290"/>
      <c r="J906" s="290"/>
      <c r="K906" s="281">
        <f>+D906+E906-F906+G906-H906</f>
        <v>7715006842.3100004</v>
      </c>
      <c r="L906" s="290">
        <v>785407808</v>
      </c>
      <c r="M906" s="290">
        <v>509996365</v>
      </c>
      <c r="N906" s="290">
        <v>1732651064</v>
      </c>
      <c r="O906" s="290">
        <v>828877149</v>
      </c>
      <c r="P906" s="290">
        <v>983893160</v>
      </c>
      <c r="Q906" s="290">
        <v>1067793950</v>
      </c>
      <c r="R906" s="281">
        <f t="shared" si="986"/>
        <v>5908619496</v>
      </c>
      <c r="S906" s="290">
        <v>1089855071.51</v>
      </c>
      <c r="T906" s="290">
        <v>1796180097</v>
      </c>
      <c r="U906" s="290">
        <v>-1079647822.2</v>
      </c>
      <c r="V906" s="290">
        <v>0</v>
      </c>
      <c r="W906" s="290"/>
      <c r="X906" s="290">
        <v>340627131.39999998</v>
      </c>
      <c r="Y906" s="290"/>
      <c r="Z906" s="290"/>
      <c r="AA906" s="281">
        <f t="shared" si="1045"/>
        <v>2147014477.71</v>
      </c>
      <c r="AB906" s="403">
        <f t="shared" si="965"/>
        <v>8055633973.71</v>
      </c>
      <c r="AC906" s="326">
        <f t="shared" si="966"/>
        <v>1.0441512416465999</v>
      </c>
    </row>
    <row r="907" spans="1:29" ht="14.25" x14ac:dyDescent="0.2">
      <c r="B907" s="323" t="s">
        <v>1014</v>
      </c>
      <c r="C907" s="206" t="s">
        <v>378</v>
      </c>
      <c r="D907" s="303"/>
      <c r="E907" s="325">
        <f>SUM('ADICIONES  2021'!C907:N907)</f>
        <v>994000000</v>
      </c>
      <c r="F907" s="290"/>
      <c r="G907" s="290"/>
      <c r="H907" s="290"/>
      <c r="I907" s="290"/>
      <c r="J907" s="290"/>
      <c r="K907" s="281">
        <f>+D907+E907-F907+G907-H907</f>
        <v>994000000</v>
      </c>
      <c r="L907" s="290"/>
      <c r="M907" s="290"/>
      <c r="N907" s="290"/>
      <c r="O907" s="290"/>
      <c r="P907" s="290"/>
      <c r="Q907" s="290"/>
      <c r="R907" s="281">
        <f t="shared" si="986"/>
        <v>0</v>
      </c>
      <c r="S907" s="290"/>
      <c r="T907" s="290"/>
      <c r="U907" s="290"/>
      <c r="V907" s="290"/>
      <c r="W907" s="290"/>
      <c r="X907" s="290">
        <v>994000000</v>
      </c>
      <c r="Y907" s="290"/>
      <c r="Z907" s="290"/>
      <c r="AA907" s="281">
        <f t="shared" ref="AA907" si="1078">SUM(S907:Z907)</f>
        <v>994000000</v>
      </c>
      <c r="AB907" s="403">
        <f t="shared" ref="AB907" si="1079">+R907+AA907</f>
        <v>994000000</v>
      </c>
      <c r="AC907" s="326">
        <f t="shared" ref="AC907" si="1080">+AB907/K907</f>
        <v>1</v>
      </c>
    </row>
    <row r="908" spans="1:29" ht="14.25" x14ac:dyDescent="0.2">
      <c r="B908" s="323" t="s">
        <v>1014</v>
      </c>
      <c r="C908" s="206" t="s">
        <v>378</v>
      </c>
      <c r="D908" s="303"/>
      <c r="E908" s="325">
        <f>SUM('ADICIONES  2021'!C908:N908)</f>
        <v>5000000000</v>
      </c>
      <c r="F908" s="290"/>
      <c r="G908" s="290"/>
      <c r="H908" s="290"/>
      <c r="I908" s="290"/>
      <c r="J908" s="290"/>
      <c r="K908" s="281">
        <f t="shared" si="1058"/>
        <v>5000000000</v>
      </c>
      <c r="L908" s="290"/>
      <c r="M908" s="290"/>
      <c r="N908" s="290"/>
      <c r="O908" s="290"/>
      <c r="P908" s="290"/>
      <c r="Q908" s="290"/>
      <c r="R908" s="281">
        <f t="shared" si="986"/>
        <v>0</v>
      </c>
      <c r="S908" s="290"/>
      <c r="T908" s="290"/>
      <c r="U908" s="290">
        <v>2053945167.2</v>
      </c>
      <c r="V908" s="290">
        <v>1655666044</v>
      </c>
      <c r="W908" s="290">
        <v>1244070742.2</v>
      </c>
      <c r="X908" s="290">
        <v>46318046.600000001</v>
      </c>
      <c r="Y908" s="290"/>
      <c r="Z908" s="290"/>
      <c r="AA908" s="281">
        <f t="shared" si="1045"/>
        <v>5000000000</v>
      </c>
      <c r="AB908" s="403">
        <f t="shared" si="965"/>
        <v>5000000000</v>
      </c>
      <c r="AC908" s="326">
        <f t="shared" si="966"/>
        <v>1</v>
      </c>
    </row>
    <row r="909" spans="1:29" s="185" customFormat="1" ht="19.5" x14ac:dyDescent="0.2">
      <c r="A909" s="182">
        <v>1</v>
      </c>
      <c r="B909" s="312" t="s">
        <v>534</v>
      </c>
      <c r="C909" s="313" t="s">
        <v>211</v>
      </c>
      <c r="D909" s="356">
        <f>+D910+D916+D920+D980</f>
        <v>75497971256.809998</v>
      </c>
      <c r="E909" s="320">
        <f>SUM('ADICIONES  2021'!C909:N909)</f>
        <v>67999828137.870003</v>
      </c>
      <c r="F909" s="291">
        <f>+F910+F916+F920+F980</f>
        <v>10534246</v>
      </c>
      <c r="G909" s="291">
        <f>+G910+G916+G920+G980</f>
        <v>4689016590.2200003</v>
      </c>
      <c r="H909" s="291">
        <f>+H910+H916+H920+H980</f>
        <v>350000000</v>
      </c>
      <c r="I909" s="291">
        <f>+I910+I916+I920+I980</f>
        <v>0</v>
      </c>
      <c r="J909" s="291">
        <f>+J910+J916+J920+J980</f>
        <v>0</v>
      </c>
      <c r="K909" s="316">
        <f t="shared" si="1058"/>
        <v>147826281738.89999</v>
      </c>
      <c r="L909" s="291">
        <f t="shared" ref="L909:Q909" si="1081">+L910+L916+L920+L980</f>
        <v>7913795786.4992008</v>
      </c>
      <c r="M909" s="291">
        <f t="shared" si="1081"/>
        <v>4175360519.2983999</v>
      </c>
      <c r="N909" s="291">
        <f t="shared" si="1081"/>
        <v>8611672717.3661995</v>
      </c>
      <c r="O909" s="291">
        <f t="shared" si="1081"/>
        <v>9618170460.1716003</v>
      </c>
      <c r="P909" s="291">
        <f t="shared" si="1081"/>
        <v>16431035349.454802</v>
      </c>
      <c r="Q909" s="291">
        <f t="shared" si="1081"/>
        <v>6475180211.7431993</v>
      </c>
      <c r="R909" s="316">
        <f t="shared" si="986"/>
        <v>53225215044.533401</v>
      </c>
      <c r="S909" s="291">
        <f t="shared" ref="S909:Z909" si="1082">+S910+S916+S920+S980</f>
        <v>9258852449.5408001</v>
      </c>
      <c r="T909" s="291">
        <f t="shared" si="1082"/>
        <v>14830994744.707199</v>
      </c>
      <c r="U909" s="291">
        <f t="shared" si="1082"/>
        <v>9941007578.8220005</v>
      </c>
      <c r="V909" s="291">
        <f t="shared" si="1082"/>
        <v>5994064962.8064003</v>
      </c>
      <c r="W909" s="291">
        <f t="shared" si="1082"/>
        <v>9760067634.1567993</v>
      </c>
      <c r="X909" s="291">
        <f t="shared" si="1082"/>
        <v>44462046812.384399</v>
      </c>
      <c r="Y909" s="291">
        <f t="shared" si="1082"/>
        <v>1713627053.2707992</v>
      </c>
      <c r="Z909" s="291">
        <f t="shared" si="1082"/>
        <v>0</v>
      </c>
      <c r="AA909" s="316">
        <f t="shared" si="988"/>
        <v>95960661235.6884</v>
      </c>
      <c r="AB909" s="401">
        <f t="shared" si="965"/>
        <v>149185876280.2218</v>
      </c>
      <c r="AC909" s="317">
        <f t="shared" si="966"/>
        <v>1.0091972450725859</v>
      </c>
    </row>
    <row r="910" spans="1:29" s="61" customFormat="1" ht="15.75" x14ac:dyDescent="0.2">
      <c r="A910" s="421">
        <v>1</v>
      </c>
      <c r="B910" s="318" t="s">
        <v>1015</v>
      </c>
      <c r="C910" s="319" t="s">
        <v>1016</v>
      </c>
      <c r="D910" s="292">
        <f>+D911</f>
        <v>946682539</v>
      </c>
      <c r="E910" s="322">
        <f>SUM('ADICIONES  2021'!C910:N910)</f>
        <v>0</v>
      </c>
      <c r="F910" s="289">
        <f t="shared" ref="F910:J910" si="1083">+F911</f>
        <v>0</v>
      </c>
      <c r="G910" s="289">
        <f t="shared" si="1083"/>
        <v>0</v>
      </c>
      <c r="H910" s="289">
        <f t="shared" si="1083"/>
        <v>0</v>
      </c>
      <c r="I910" s="289">
        <f t="shared" si="1083"/>
        <v>0</v>
      </c>
      <c r="J910" s="289">
        <f t="shared" si="1083"/>
        <v>0</v>
      </c>
      <c r="K910" s="276">
        <f t="shared" si="1058"/>
        <v>946682539</v>
      </c>
      <c r="L910" s="289">
        <f t="shared" ref="L910:Q910" si="1084">+L911</f>
        <v>142810989.59999999</v>
      </c>
      <c r="M910" s="289">
        <f t="shared" si="1084"/>
        <v>119753997.64</v>
      </c>
      <c r="N910" s="289">
        <f t="shared" si="1084"/>
        <v>117907040.40000001</v>
      </c>
      <c r="O910" s="289">
        <f t="shared" si="1084"/>
        <v>106693304.59999999</v>
      </c>
      <c r="P910" s="289">
        <f t="shared" si="1084"/>
        <v>154730333.44</v>
      </c>
      <c r="Q910" s="289">
        <f t="shared" si="1084"/>
        <v>112025652.2</v>
      </c>
      <c r="R910" s="276">
        <f t="shared" si="986"/>
        <v>753921317.88000011</v>
      </c>
      <c r="S910" s="289">
        <f t="shared" ref="S910:Z910" si="1085">+S911</f>
        <v>166139403.5</v>
      </c>
      <c r="T910" s="289">
        <f t="shared" si="1085"/>
        <v>90043871.960000008</v>
      </c>
      <c r="U910" s="289">
        <f t="shared" si="1085"/>
        <v>94411551.879999995</v>
      </c>
      <c r="V910" s="289">
        <f t="shared" si="1085"/>
        <v>48864090.159999996</v>
      </c>
      <c r="W910" s="289">
        <f t="shared" si="1085"/>
        <v>178875877.91999999</v>
      </c>
      <c r="X910" s="289">
        <f t="shared" si="1085"/>
        <v>109765350.95999999</v>
      </c>
      <c r="Y910" s="289">
        <f t="shared" si="1085"/>
        <v>0</v>
      </c>
      <c r="Z910" s="289">
        <f t="shared" si="1085"/>
        <v>0</v>
      </c>
      <c r="AA910" s="276">
        <f t="shared" si="988"/>
        <v>688100146.38</v>
      </c>
      <c r="AB910" s="402">
        <f t="shared" si="965"/>
        <v>1442021464.2600002</v>
      </c>
      <c r="AC910" s="321">
        <f t="shared" si="966"/>
        <v>1.5232365707127511</v>
      </c>
    </row>
    <row r="911" spans="1:29" s="61" customFormat="1" ht="25.5" x14ac:dyDescent="0.2">
      <c r="A911" s="421"/>
      <c r="B911" s="318" t="s">
        <v>1017</v>
      </c>
      <c r="C911" s="319" t="s">
        <v>1018</v>
      </c>
      <c r="D911" s="292">
        <f>SUM(D912:D915)</f>
        <v>946682539</v>
      </c>
      <c r="E911" s="322">
        <f>SUM('ADICIONES  2021'!C911:N911)</f>
        <v>0</v>
      </c>
      <c r="F911" s="289">
        <f t="shared" ref="F911" si="1086">SUM(F912:F915)</f>
        <v>0</v>
      </c>
      <c r="G911" s="289">
        <f t="shared" ref="G911:J911" si="1087">SUM(G912:G915)</f>
        <v>0</v>
      </c>
      <c r="H911" s="289">
        <f t="shared" si="1087"/>
        <v>0</v>
      </c>
      <c r="I911" s="289">
        <f t="shared" si="1087"/>
        <v>0</v>
      </c>
      <c r="J911" s="289">
        <f t="shared" si="1087"/>
        <v>0</v>
      </c>
      <c r="K911" s="276">
        <f t="shared" si="1058"/>
        <v>946682539</v>
      </c>
      <c r="L911" s="289">
        <f t="shared" ref="L911:Q911" si="1088">SUM(L912:L915)</f>
        <v>142810989.59999999</v>
      </c>
      <c r="M911" s="289">
        <f t="shared" si="1088"/>
        <v>119753997.64</v>
      </c>
      <c r="N911" s="289">
        <f t="shared" si="1088"/>
        <v>117907040.40000001</v>
      </c>
      <c r="O911" s="289">
        <f t="shared" si="1088"/>
        <v>106693304.59999999</v>
      </c>
      <c r="P911" s="289">
        <f t="shared" si="1088"/>
        <v>154730333.44</v>
      </c>
      <c r="Q911" s="289">
        <f t="shared" si="1088"/>
        <v>112025652.2</v>
      </c>
      <c r="R911" s="276">
        <f t="shared" si="986"/>
        <v>753921317.88000011</v>
      </c>
      <c r="S911" s="289">
        <f t="shared" ref="S911:Z911" si="1089">SUM(S912:S915)</f>
        <v>166139403.5</v>
      </c>
      <c r="T911" s="289">
        <f t="shared" si="1089"/>
        <v>90043871.960000008</v>
      </c>
      <c r="U911" s="289">
        <f t="shared" si="1089"/>
        <v>94411551.879999995</v>
      </c>
      <c r="V911" s="289">
        <f t="shared" si="1089"/>
        <v>48864090.159999996</v>
      </c>
      <c r="W911" s="289">
        <f t="shared" si="1089"/>
        <v>178875877.91999999</v>
      </c>
      <c r="X911" s="289">
        <f t="shared" si="1089"/>
        <v>109765350.95999999</v>
      </c>
      <c r="Y911" s="289">
        <f t="shared" si="1089"/>
        <v>0</v>
      </c>
      <c r="Z911" s="289">
        <f t="shared" si="1089"/>
        <v>0</v>
      </c>
      <c r="AA911" s="276">
        <f t="shared" si="988"/>
        <v>688100146.38</v>
      </c>
      <c r="AB911" s="402">
        <f t="shared" si="965"/>
        <v>1442021464.2600002</v>
      </c>
      <c r="AC911" s="321">
        <f t="shared" si="966"/>
        <v>1.5232365707127511</v>
      </c>
    </row>
    <row r="912" spans="1:29" ht="14.25" x14ac:dyDescent="0.2">
      <c r="B912" s="323" t="s">
        <v>1019</v>
      </c>
      <c r="C912" s="206" t="s">
        <v>1020</v>
      </c>
      <c r="D912" s="303">
        <v>848349668</v>
      </c>
      <c r="E912" s="325">
        <f>SUM('ADICIONES  2021'!C912:N912)</f>
        <v>0</v>
      </c>
      <c r="F912" s="290"/>
      <c r="G912" s="290"/>
      <c r="H912" s="290"/>
      <c r="I912" s="290"/>
      <c r="J912" s="290"/>
      <c r="K912" s="281">
        <f t="shared" si="1058"/>
        <v>848349668</v>
      </c>
      <c r="L912" s="290">
        <v>139008885.59999999</v>
      </c>
      <c r="M912" s="290">
        <v>108304390.64</v>
      </c>
      <c r="N912" s="290">
        <v>111269057.40000001</v>
      </c>
      <c r="O912" s="290">
        <v>96710773.599999994</v>
      </c>
      <c r="P912" s="290">
        <v>147659036.44</v>
      </c>
      <c r="Q912" s="290">
        <v>106752838.2</v>
      </c>
      <c r="R912" s="281">
        <f t="shared" si="986"/>
        <v>709704981.88000011</v>
      </c>
      <c r="S912" s="290">
        <v>158095190.69999999</v>
      </c>
      <c r="T912" s="290">
        <v>85190543.760000005</v>
      </c>
      <c r="U912" s="290">
        <v>90763595.879999995</v>
      </c>
      <c r="V912" s="290">
        <v>43911586.159999996</v>
      </c>
      <c r="W912" s="290">
        <v>171378205.91999999</v>
      </c>
      <c r="X912" s="290">
        <v>103831187.95999999</v>
      </c>
      <c r="Y912" s="290"/>
      <c r="Z912" s="290"/>
      <c r="AA912" s="281">
        <f t="shared" si="988"/>
        <v>653170310.38</v>
      </c>
      <c r="AB912" s="403">
        <f t="shared" si="965"/>
        <v>1362875292.2600002</v>
      </c>
      <c r="AC912" s="326">
        <f t="shared" si="966"/>
        <v>1.6065018278052774</v>
      </c>
    </row>
    <row r="913" spans="1:29" ht="14.25" x14ac:dyDescent="0.2">
      <c r="B913" s="323" t="s">
        <v>1021</v>
      </c>
      <c r="C913" s="206" t="s">
        <v>105</v>
      </c>
      <c r="D913" s="303">
        <v>1316000</v>
      </c>
      <c r="E913" s="325">
        <f>SUM('ADICIONES  2021'!C913:N913)</f>
        <v>0</v>
      </c>
      <c r="F913" s="290"/>
      <c r="G913" s="290"/>
      <c r="H913" s="290"/>
      <c r="I913" s="290"/>
      <c r="J913" s="290"/>
      <c r="K913" s="281">
        <f t="shared" si="1058"/>
        <v>1316000</v>
      </c>
      <c r="L913" s="290">
        <v>211989</v>
      </c>
      <c r="M913" s="290">
        <v>0</v>
      </c>
      <c r="N913" s="290">
        <v>0</v>
      </c>
      <c r="O913" s="290">
        <v>272559</v>
      </c>
      <c r="P913" s="290">
        <v>0</v>
      </c>
      <c r="Q913" s="290">
        <v>90853</v>
      </c>
      <c r="R913" s="281">
        <f t="shared" si="986"/>
        <v>575401</v>
      </c>
      <c r="S913" s="290">
        <v>363412</v>
      </c>
      <c r="T913" s="290">
        <v>181705.2</v>
      </c>
      <c r="U913" s="290">
        <v>0</v>
      </c>
      <c r="V913" s="290">
        <v>181706</v>
      </c>
      <c r="W913" s="290">
        <v>181705</v>
      </c>
      <c r="X913" s="290">
        <v>363412</v>
      </c>
      <c r="Y913" s="290"/>
      <c r="Z913" s="290"/>
      <c r="AA913" s="281">
        <f t="shared" si="988"/>
        <v>1271940.2</v>
      </c>
      <c r="AB913" s="403">
        <f t="shared" si="965"/>
        <v>1847341.2</v>
      </c>
      <c r="AC913" s="326">
        <f t="shared" si="966"/>
        <v>1.4037547112462005</v>
      </c>
    </row>
    <row r="914" spans="1:29" ht="14.25" x14ac:dyDescent="0.2">
      <c r="B914" s="323" t="s">
        <v>1022</v>
      </c>
      <c r="C914" s="206" t="s">
        <v>106</v>
      </c>
      <c r="D914" s="303">
        <v>77259500</v>
      </c>
      <c r="E914" s="325">
        <f>SUM('ADICIONES  2021'!C914:N914)</f>
        <v>0</v>
      </c>
      <c r="F914" s="290"/>
      <c r="G914" s="290"/>
      <c r="H914" s="290"/>
      <c r="I914" s="290"/>
      <c r="J914" s="290"/>
      <c r="K914" s="281">
        <f t="shared" si="1058"/>
        <v>77259500</v>
      </c>
      <c r="L914" s="290">
        <v>2060000</v>
      </c>
      <c r="M914" s="290">
        <v>9360000</v>
      </c>
      <c r="N914" s="290">
        <v>6320000</v>
      </c>
      <c r="O914" s="290">
        <v>9180000</v>
      </c>
      <c r="P914" s="290">
        <v>5420000</v>
      </c>
      <c r="Q914" s="290">
        <v>4440000</v>
      </c>
      <c r="R914" s="281">
        <f t="shared" si="986"/>
        <v>36780000</v>
      </c>
      <c r="S914" s="290">
        <v>5197498.8</v>
      </c>
      <c r="T914" s="290">
        <v>2900000</v>
      </c>
      <c r="U914" s="290">
        <v>2800000</v>
      </c>
      <c r="V914" s="290">
        <v>3620000</v>
      </c>
      <c r="W914" s="290">
        <v>6680000</v>
      </c>
      <c r="X914" s="290">
        <v>3360000</v>
      </c>
      <c r="Y914" s="290"/>
      <c r="Z914" s="290"/>
      <c r="AA914" s="281">
        <f t="shared" si="988"/>
        <v>24557498.800000001</v>
      </c>
      <c r="AB914" s="403">
        <f t="shared" si="965"/>
        <v>61337498.799999997</v>
      </c>
      <c r="AC914" s="326">
        <f t="shared" si="966"/>
        <v>0.79391529585358434</v>
      </c>
    </row>
    <row r="915" spans="1:29" ht="25.5" x14ac:dyDescent="0.2">
      <c r="B915" s="323" t="s">
        <v>1023</v>
      </c>
      <c r="C915" s="206" t="s">
        <v>107</v>
      </c>
      <c r="D915" s="303">
        <v>19757371</v>
      </c>
      <c r="E915" s="325">
        <f>SUM('ADICIONES  2021'!C915:N915)</f>
        <v>0</v>
      </c>
      <c r="F915" s="290"/>
      <c r="G915" s="290"/>
      <c r="H915" s="290"/>
      <c r="I915" s="290"/>
      <c r="J915" s="290"/>
      <c r="K915" s="281">
        <f t="shared" si="1058"/>
        <v>19757371</v>
      </c>
      <c r="L915" s="290">
        <v>1530115</v>
      </c>
      <c r="M915" s="290">
        <v>2089607</v>
      </c>
      <c r="N915" s="290">
        <v>317983</v>
      </c>
      <c r="O915" s="290">
        <v>529972</v>
      </c>
      <c r="P915" s="290">
        <v>1651297</v>
      </c>
      <c r="Q915" s="290">
        <v>741961</v>
      </c>
      <c r="R915" s="281">
        <f t="shared" si="986"/>
        <v>6860935</v>
      </c>
      <c r="S915" s="290">
        <v>2483302</v>
      </c>
      <c r="T915" s="290">
        <v>1771623</v>
      </c>
      <c r="U915" s="290">
        <v>847956</v>
      </c>
      <c r="V915" s="290">
        <v>1150798</v>
      </c>
      <c r="W915" s="290">
        <v>635967</v>
      </c>
      <c r="X915" s="290">
        <v>2210751</v>
      </c>
      <c r="Y915" s="290"/>
      <c r="Z915" s="290"/>
      <c r="AA915" s="281">
        <f t="shared" si="988"/>
        <v>9100397</v>
      </c>
      <c r="AB915" s="403">
        <f t="shared" si="965"/>
        <v>15961332</v>
      </c>
      <c r="AC915" s="326">
        <f t="shared" si="966"/>
        <v>0.80786720055011363</v>
      </c>
    </row>
    <row r="916" spans="1:29" s="61" customFormat="1" ht="15.75" x14ac:dyDescent="0.2">
      <c r="A916" s="421">
        <v>1</v>
      </c>
      <c r="B916" s="318" t="s">
        <v>587</v>
      </c>
      <c r="C916" s="319" t="s">
        <v>104</v>
      </c>
      <c r="D916" s="292">
        <f>+D917</f>
        <v>232126203</v>
      </c>
      <c r="E916" s="322">
        <f>SUM('ADICIONES  2021'!C916:N916)</f>
        <v>0</v>
      </c>
      <c r="F916" s="289"/>
      <c r="G916" s="289">
        <f t="shared" ref="G916:J918" si="1090">+G917</f>
        <v>0</v>
      </c>
      <c r="H916" s="289">
        <f t="shared" si="1090"/>
        <v>0</v>
      </c>
      <c r="I916" s="289">
        <f t="shared" si="1090"/>
        <v>0</v>
      </c>
      <c r="J916" s="289">
        <f t="shared" si="1090"/>
        <v>0</v>
      </c>
      <c r="K916" s="276">
        <f t="shared" si="1058"/>
        <v>232126203</v>
      </c>
      <c r="L916" s="289">
        <f t="shared" ref="L916:Q918" si="1091">+L917</f>
        <v>240000</v>
      </c>
      <c r="M916" s="289">
        <f t="shared" si="1091"/>
        <v>120000</v>
      </c>
      <c r="N916" s="289">
        <f t="shared" si="1091"/>
        <v>120000</v>
      </c>
      <c r="O916" s="289">
        <f t="shared" si="1091"/>
        <v>360000</v>
      </c>
      <c r="P916" s="289">
        <f t="shared" si="1091"/>
        <v>120000</v>
      </c>
      <c r="Q916" s="289">
        <f t="shared" si="1091"/>
        <v>120000</v>
      </c>
      <c r="R916" s="276">
        <f t="shared" si="986"/>
        <v>1080000</v>
      </c>
      <c r="S916" s="289">
        <f t="shared" ref="S916:Z918" si="1092">+S917</f>
        <v>360000</v>
      </c>
      <c r="T916" s="289">
        <f t="shared" si="1092"/>
        <v>120000</v>
      </c>
      <c r="U916" s="289">
        <f t="shared" si="1092"/>
        <v>120000</v>
      </c>
      <c r="V916" s="289">
        <f t="shared" si="1092"/>
        <v>8581000</v>
      </c>
      <c r="W916" s="289">
        <f t="shared" si="1092"/>
        <v>240000</v>
      </c>
      <c r="X916" s="289">
        <f t="shared" si="1092"/>
        <v>74389228</v>
      </c>
      <c r="Y916" s="289">
        <f t="shared" si="1092"/>
        <v>0</v>
      </c>
      <c r="Z916" s="289">
        <f t="shared" si="1092"/>
        <v>0</v>
      </c>
      <c r="AA916" s="276">
        <f t="shared" si="988"/>
        <v>83810228</v>
      </c>
      <c r="AB916" s="402">
        <f t="shared" si="965"/>
        <v>84890228</v>
      </c>
      <c r="AC916" s="321">
        <f t="shared" si="966"/>
        <v>0.36570721832726483</v>
      </c>
    </row>
    <row r="917" spans="1:29" s="61" customFormat="1" ht="25.5" x14ac:dyDescent="0.2">
      <c r="A917" s="421"/>
      <c r="B917" s="318" t="s">
        <v>1024</v>
      </c>
      <c r="C917" s="319" t="s">
        <v>1025</v>
      </c>
      <c r="D917" s="292">
        <f>+D918</f>
        <v>232126203</v>
      </c>
      <c r="E917" s="322">
        <f>SUM('ADICIONES  2021'!C917:N917)</f>
        <v>0</v>
      </c>
      <c r="F917" s="289"/>
      <c r="G917" s="289">
        <f t="shared" si="1090"/>
        <v>0</v>
      </c>
      <c r="H917" s="289">
        <f t="shared" si="1090"/>
        <v>0</v>
      </c>
      <c r="I917" s="289">
        <f t="shared" si="1090"/>
        <v>0</v>
      </c>
      <c r="J917" s="289">
        <f t="shared" si="1090"/>
        <v>0</v>
      </c>
      <c r="K917" s="276">
        <f t="shared" si="1058"/>
        <v>232126203</v>
      </c>
      <c r="L917" s="289">
        <f t="shared" si="1091"/>
        <v>240000</v>
      </c>
      <c r="M917" s="289">
        <f t="shared" si="1091"/>
        <v>120000</v>
      </c>
      <c r="N917" s="289">
        <f t="shared" si="1091"/>
        <v>120000</v>
      </c>
      <c r="O917" s="289">
        <f t="shared" si="1091"/>
        <v>360000</v>
      </c>
      <c r="P917" s="289">
        <f t="shared" si="1091"/>
        <v>120000</v>
      </c>
      <c r="Q917" s="289">
        <f t="shared" si="1091"/>
        <v>120000</v>
      </c>
      <c r="R917" s="276">
        <f t="shared" si="986"/>
        <v>1080000</v>
      </c>
      <c r="S917" s="289">
        <f t="shared" si="1092"/>
        <v>360000</v>
      </c>
      <c r="T917" s="289">
        <f t="shared" si="1092"/>
        <v>120000</v>
      </c>
      <c r="U917" s="289">
        <f t="shared" si="1092"/>
        <v>120000</v>
      </c>
      <c r="V917" s="289">
        <f t="shared" si="1092"/>
        <v>8581000</v>
      </c>
      <c r="W917" s="289">
        <f t="shared" si="1092"/>
        <v>240000</v>
      </c>
      <c r="X917" s="289">
        <f t="shared" si="1092"/>
        <v>74389228</v>
      </c>
      <c r="Y917" s="289">
        <f t="shared" si="1092"/>
        <v>0</v>
      </c>
      <c r="Z917" s="289">
        <f t="shared" si="1092"/>
        <v>0</v>
      </c>
      <c r="AA917" s="276">
        <f t="shared" si="988"/>
        <v>83810228</v>
      </c>
      <c r="AB917" s="402">
        <f t="shared" si="965"/>
        <v>84890228</v>
      </c>
      <c r="AC917" s="321">
        <f t="shared" si="966"/>
        <v>0.36570721832726483</v>
      </c>
    </row>
    <row r="918" spans="1:29" s="61" customFormat="1" ht="15.75" x14ac:dyDescent="0.2">
      <c r="A918" s="421"/>
      <c r="B918" s="318" t="s">
        <v>1026</v>
      </c>
      <c r="C918" s="319" t="s">
        <v>1027</v>
      </c>
      <c r="D918" s="292">
        <f>+D919</f>
        <v>232126203</v>
      </c>
      <c r="E918" s="322">
        <f>SUM('ADICIONES  2021'!C918:N918)</f>
        <v>0</v>
      </c>
      <c r="F918" s="289"/>
      <c r="G918" s="289">
        <f t="shared" si="1090"/>
        <v>0</v>
      </c>
      <c r="H918" s="289">
        <f t="shared" si="1090"/>
        <v>0</v>
      </c>
      <c r="I918" s="289">
        <f t="shared" si="1090"/>
        <v>0</v>
      </c>
      <c r="J918" s="289">
        <f t="shared" si="1090"/>
        <v>0</v>
      </c>
      <c r="K918" s="276">
        <f t="shared" si="1058"/>
        <v>232126203</v>
      </c>
      <c r="L918" s="289">
        <f t="shared" si="1091"/>
        <v>240000</v>
      </c>
      <c r="M918" s="289">
        <f t="shared" si="1091"/>
        <v>120000</v>
      </c>
      <c r="N918" s="289">
        <f t="shared" si="1091"/>
        <v>120000</v>
      </c>
      <c r="O918" s="289">
        <f t="shared" si="1091"/>
        <v>360000</v>
      </c>
      <c r="P918" s="289">
        <f t="shared" si="1091"/>
        <v>120000</v>
      </c>
      <c r="Q918" s="289">
        <f t="shared" si="1091"/>
        <v>120000</v>
      </c>
      <c r="R918" s="276">
        <f t="shared" si="986"/>
        <v>1080000</v>
      </c>
      <c r="S918" s="289">
        <f t="shared" si="1092"/>
        <v>360000</v>
      </c>
      <c r="T918" s="289">
        <f t="shared" si="1092"/>
        <v>120000</v>
      </c>
      <c r="U918" s="289">
        <f t="shared" si="1092"/>
        <v>120000</v>
      </c>
      <c r="V918" s="289">
        <f t="shared" si="1092"/>
        <v>8581000</v>
      </c>
      <c r="W918" s="289">
        <f t="shared" si="1092"/>
        <v>240000</v>
      </c>
      <c r="X918" s="289">
        <f t="shared" si="1092"/>
        <v>74389228</v>
      </c>
      <c r="Y918" s="289">
        <f t="shared" si="1092"/>
        <v>0</v>
      </c>
      <c r="Z918" s="289">
        <f t="shared" si="1092"/>
        <v>0</v>
      </c>
      <c r="AA918" s="276">
        <f t="shared" si="988"/>
        <v>83810228</v>
      </c>
      <c r="AB918" s="402">
        <f t="shared" si="965"/>
        <v>84890228</v>
      </c>
      <c r="AC918" s="321">
        <f t="shared" si="966"/>
        <v>0.36570721832726483</v>
      </c>
    </row>
    <row r="919" spans="1:29" ht="14.25" x14ac:dyDescent="0.2">
      <c r="B919" s="323" t="s">
        <v>1028</v>
      </c>
      <c r="C919" s="206" t="s">
        <v>1029</v>
      </c>
      <c r="D919" s="303">
        <v>232126203</v>
      </c>
      <c r="E919" s="325">
        <f>SUM('ADICIONES  2021'!C919:N919)</f>
        <v>0</v>
      </c>
      <c r="F919" s="290"/>
      <c r="G919" s="290"/>
      <c r="H919" s="290"/>
      <c r="I919" s="290"/>
      <c r="J919" s="290"/>
      <c r="K919" s="281">
        <f t="shared" si="1058"/>
        <v>232126203</v>
      </c>
      <c r="L919" s="290">
        <v>240000</v>
      </c>
      <c r="M919" s="290">
        <v>120000</v>
      </c>
      <c r="N919" s="290">
        <v>120000</v>
      </c>
      <c r="O919" s="290">
        <v>360000</v>
      </c>
      <c r="P919" s="290">
        <v>120000</v>
      </c>
      <c r="Q919" s="290">
        <v>120000</v>
      </c>
      <c r="R919" s="281">
        <f t="shared" si="986"/>
        <v>1080000</v>
      </c>
      <c r="S919" s="290">
        <v>360000</v>
      </c>
      <c r="T919" s="290">
        <v>120000</v>
      </c>
      <c r="U919" s="290">
        <v>120000</v>
      </c>
      <c r="V919" s="290">
        <v>8581000</v>
      </c>
      <c r="W919" s="290">
        <v>240000</v>
      </c>
      <c r="X919" s="290">
        <v>74389228</v>
      </c>
      <c r="Y919" s="290"/>
      <c r="Z919" s="290"/>
      <c r="AA919" s="281">
        <f t="shared" si="988"/>
        <v>83810228</v>
      </c>
      <c r="AB919" s="403">
        <f t="shared" si="965"/>
        <v>84890228</v>
      </c>
      <c r="AC919" s="326">
        <f t="shared" si="966"/>
        <v>0.36570721832726483</v>
      </c>
    </row>
    <row r="920" spans="1:29" s="61" customFormat="1" ht="15.75" x14ac:dyDescent="0.2">
      <c r="A920" s="421">
        <v>1</v>
      </c>
      <c r="B920" s="318" t="s">
        <v>607</v>
      </c>
      <c r="C920" s="319" t="s">
        <v>1030</v>
      </c>
      <c r="D920" s="292">
        <f>+D921+D927+D975</f>
        <v>62551399804.150002</v>
      </c>
      <c r="E920" s="322">
        <f>SUM('ADICIONES  2021'!C920:N920)</f>
        <v>67980710491.870003</v>
      </c>
      <c r="F920" s="292">
        <f t="shared" ref="F920" si="1093">+F921+F927+F975</f>
        <v>10534246</v>
      </c>
      <c r="G920" s="292">
        <f t="shared" ref="G920:J920" si="1094">+G921+G927+G975</f>
        <v>4689016590.2200003</v>
      </c>
      <c r="H920" s="292">
        <f t="shared" si="1094"/>
        <v>350000000</v>
      </c>
      <c r="I920" s="292">
        <f t="shared" si="1094"/>
        <v>0</v>
      </c>
      <c r="J920" s="292">
        <f t="shared" si="1094"/>
        <v>0</v>
      </c>
      <c r="K920" s="276">
        <f t="shared" si="1058"/>
        <v>134860592640.24001</v>
      </c>
      <c r="L920" s="292">
        <f t="shared" ref="L920:Q920" si="1095">+L921+L927+L975</f>
        <v>6582521004.8992004</v>
      </c>
      <c r="M920" s="292">
        <f t="shared" si="1095"/>
        <v>3179980547.1784</v>
      </c>
      <c r="N920" s="292">
        <f t="shared" si="1095"/>
        <v>7562907784.9661999</v>
      </c>
      <c r="O920" s="292">
        <f t="shared" si="1095"/>
        <v>8513936975.5716</v>
      </c>
      <c r="P920" s="292">
        <f t="shared" si="1095"/>
        <v>15265919873.014801</v>
      </c>
      <c r="Q920" s="292">
        <f t="shared" si="1095"/>
        <v>5524870299.5431995</v>
      </c>
      <c r="R920" s="276">
        <f t="shared" si="986"/>
        <v>46630136485.173401</v>
      </c>
      <c r="S920" s="292">
        <f t="shared" ref="S920:Z920" si="1096">+S921+S927+S975</f>
        <v>8190969017.7407999</v>
      </c>
      <c r="T920" s="292">
        <f t="shared" si="1096"/>
        <v>13779368602.7472</v>
      </c>
      <c r="U920" s="292">
        <f t="shared" si="1096"/>
        <v>8965399923.9420013</v>
      </c>
      <c r="V920" s="292">
        <f t="shared" si="1096"/>
        <v>5030419297.6464005</v>
      </c>
      <c r="W920" s="292">
        <f t="shared" si="1096"/>
        <v>8541352772.4267998</v>
      </c>
      <c r="X920" s="292">
        <f t="shared" si="1096"/>
        <v>42966353875.4244</v>
      </c>
      <c r="Y920" s="292">
        <f t="shared" si="1096"/>
        <v>1713627053.2707992</v>
      </c>
      <c r="Z920" s="292">
        <f t="shared" si="1096"/>
        <v>0</v>
      </c>
      <c r="AA920" s="276">
        <f t="shared" si="988"/>
        <v>89187490543.19841</v>
      </c>
      <c r="AB920" s="402">
        <f t="shared" si="965"/>
        <v>135817627028.37181</v>
      </c>
      <c r="AC920" s="321">
        <f t="shared" si="966"/>
        <v>1.0070964717668476</v>
      </c>
    </row>
    <row r="921" spans="1:29" s="61" customFormat="1" ht="15.75" x14ac:dyDescent="0.2">
      <c r="A921" s="421">
        <v>1</v>
      </c>
      <c r="B921" s="318" t="s">
        <v>609</v>
      </c>
      <c r="C921" s="319" t="s">
        <v>1031</v>
      </c>
      <c r="D921" s="292">
        <f>+D922</f>
        <v>22909078896</v>
      </c>
      <c r="E921" s="322">
        <f>SUM('ADICIONES  2021'!C921:N921)</f>
        <v>4981448737</v>
      </c>
      <c r="F921" s="289">
        <f t="shared" ref="F921:J921" si="1097">+F922</f>
        <v>0</v>
      </c>
      <c r="G921" s="289">
        <f t="shared" si="1097"/>
        <v>0</v>
      </c>
      <c r="H921" s="289">
        <f t="shared" si="1097"/>
        <v>0</v>
      </c>
      <c r="I921" s="289">
        <f t="shared" si="1097"/>
        <v>0</v>
      </c>
      <c r="J921" s="289">
        <f t="shared" si="1097"/>
        <v>0</v>
      </c>
      <c r="K921" s="276">
        <f t="shared" si="1058"/>
        <v>27890527633</v>
      </c>
      <c r="L921" s="289">
        <f t="shared" ref="L921:Q921" si="1098">+L922</f>
        <v>2348122163</v>
      </c>
      <c r="M921" s="289">
        <f t="shared" si="1098"/>
        <v>0</v>
      </c>
      <c r="N921" s="289">
        <f t="shared" si="1098"/>
        <v>4644073722</v>
      </c>
      <c r="O921" s="289">
        <f t="shared" si="1098"/>
        <v>2322036861</v>
      </c>
      <c r="P921" s="289">
        <f t="shared" si="1098"/>
        <v>2322036861</v>
      </c>
      <c r="Q921" s="289">
        <f t="shared" si="1098"/>
        <v>2322036861</v>
      </c>
      <c r="R921" s="276">
        <f t="shared" si="986"/>
        <v>13958306468</v>
      </c>
      <c r="S921" s="289">
        <f t="shared" ref="S921:Z921" si="1099">+S922</f>
        <v>2322036861</v>
      </c>
      <c r="T921" s="289">
        <f t="shared" si="1099"/>
        <v>2322036861</v>
      </c>
      <c r="U921" s="289">
        <f t="shared" si="1099"/>
        <v>2322036861</v>
      </c>
      <c r="V921" s="289">
        <f t="shared" si="1099"/>
        <v>2322036861</v>
      </c>
      <c r="W921" s="289">
        <f t="shared" si="1099"/>
        <v>2322036861</v>
      </c>
      <c r="X921" s="289">
        <f t="shared" si="1099"/>
        <v>2322036860</v>
      </c>
      <c r="Y921" s="289">
        <f t="shared" si="1099"/>
        <v>0</v>
      </c>
      <c r="Z921" s="289">
        <f t="shared" si="1099"/>
        <v>0</v>
      </c>
      <c r="AA921" s="276">
        <f t="shared" si="988"/>
        <v>13932221165</v>
      </c>
      <c r="AB921" s="402">
        <f t="shared" si="965"/>
        <v>27890527633</v>
      </c>
      <c r="AC921" s="321">
        <f t="shared" si="966"/>
        <v>1</v>
      </c>
    </row>
    <row r="922" spans="1:29" s="61" customFormat="1" ht="15.75" x14ac:dyDescent="0.2">
      <c r="A922" s="421"/>
      <c r="B922" s="318" t="s">
        <v>1032</v>
      </c>
      <c r="C922" s="319" t="s">
        <v>1033</v>
      </c>
      <c r="D922" s="292">
        <f>SUM(D923:D926)</f>
        <v>22909078896</v>
      </c>
      <c r="E922" s="322">
        <f>SUM('ADICIONES  2021'!C922:N922)</f>
        <v>4981448737</v>
      </c>
      <c r="F922" s="289">
        <f t="shared" ref="F922" si="1100">SUM(F923:F926)</f>
        <v>0</v>
      </c>
      <c r="G922" s="289">
        <f t="shared" ref="G922:J922" si="1101">SUM(G923:G926)</f>
        <v>0</v>
      </c>
      <c r="H922" s="289">
        <f t="shared" si="1101"/>
        <v>0</v>
      </c>
      <c r="I922" s="289">
        <f t="shared" si="1101"/>
        <v>0</v>
      </c>
      <c r="J922" s="289">
        <f t="shared" si="1101"/>
        <v>0</v>
      </c>
      <c r="K922" s="276">
        <f t="shared" si="1058"/>
        <v>27890527633</v>
      </c>
      <c r="L922" s="289">
        <f t="shared" ref="L922:Q922" si="1102">SUM(L923:L926)</f>
        <v>2348122163</v>
      </c>
      <c r="M922" s="289">
        <f t="shared" si="1102"/>
        <v>0</v>
      </c>
      <c r="N922" s="289">
        <f t="shared" si="1102"/>
        <v>4644073722</v>
      </c>
      <c r="O922" s="289">
        <f t="shared" si="1102"/>
        <v>2322036861</v>
      </c>
      <c r="P922" s="289">
        <f t="shared" si="1102"/>
        <v>2322036861</v>
      </c>
      <c r="Q922" s="289">
        <f t="shared" si="1102"/>
        <v>2322036861</v>
      </c>
      <c r="R922" s="276">
        <f t="shared" si="986"/>
        <v>13958306468</v>
      </c>
      <c r="S922" s="289">
        <f t="shared" ref="S922:Z922" si="1103">SUM(S923:S926)</f>
        <v>2322036861</v>
      </c>
      <c r="T922" s="289">
        <f t="shared" si="1103"/>
        <v>2322036861</v>
      </c>
      <c r="U922" s="289">
        <f t="shared" si="1103"/>
        <v>2322036861</v>
      </c>
      <c r="V922" s="289">
        <f t="shared" si="1103"/>
        <v>2322036861</v>
      </c>
      <c r="W922" s="289">
        <f t="shared" si="1103"/>
        <v>2322036861</v>
      </c>
      <c r="X922" s="289">
        <f t="shared" si="1103"/>
        <v>2322036860</v>
      </c>
      <c r="Y922" s="289">
        <f t="shared" si="1103"/>
        <v>0</v>
      </c>
      <c r="Z922" s="289">
        <f t="shared" si="1103"/>
        <v>0</v>
      </c>
      <c r="AA922" s="276">
        <f t="shared" si="988"/>
        <v>13932221165</v>
      </c>
      <c r="AB922" s="402">
        <f t="shared" ref="AB922:AB1029" si="1104">+R922+AA922</f>
        <v>27890527633</v>
      </c>
      <c r="AC922" s="321">
        <f t="shared" ref="AC922:AC1029" si="1105">+AB922/K922</f>
        <v>1</v>
      </c>
    </row>
    <row r="923" spans="1:29" ht="14.25" x14ac:dyDescent="0.2">
      <c r="B923" s="323" t="s">
        <v>1034</v>
      </c>
      <c r="C923" s="206" t="s">
        <v>1035</v>
      </c>
      <c r="D923" s="303">
        <v>17248664388</v>
      </c>
      <c r="E923" s="325">
        <f>SUM('ADICIONES  2021'!C923:N923)</f>
        <v>0</v>
      </c>
      <c r="F923" s="290"/>
      <c r="G923" s="290"/>
      <c r="H923" s="290"/>
      <c r="I923" s="290"/>
      <c r="J923" s="290"/>
      <c r="K923" s="281">
        <f t="shared" si="1058"/>
        <v>17248664388</v>
      </c>
      <c r="L923" s="290">
        <v>1817561055</v>
      </c>
      <c r="M923" s="290">
        <v>0</v>
      </c>
      <c r="N923" s="290">
        <v>3555573918</v>
      </c>
      <c r="O923" s="290">
        <v>1777786959</v>
      </c>
      <c r="P923" s="290">
        <v>1777786959</v>
      </c>
      <c r="Q923" s="290">
        <v>1777786959</v>
      </c>
      <c r="R923" s="281">
        <f t="shared" si="986"/>
        <v>10706495850</v>
      </c>
      <c r="S923" s="290">
        <v>1777786959</v>
      </c>
      <c r="T923" s="290">
        <v>1777786959</v>
      </c>
      <c r="U923" s="290">
        <v>1777786959</v>
      </c>
      <c r="V923" s="290">
        <v>1777786959</v>
      </c>
      <c r="W923" s="290">
        <v>0</v>
      </c>
      <c r="X923" s="290">
        <v>0</v>
      </c>
      <c r="Y923" s="290">
        <v>-568979298</v>
      </c>
      <c r="Z923" s="290"/>
      <c r="AA923" s="281">
        <f t="shared" si="988"/>
        <v>6542168538</v>
      </c>
      <c r="AB923" s="403">
        <f t="shared" si="1104"/>
        <v>17248664388</v>
      </c>
      <c r="AC923" s="326">
        <f t="shared" si="1105"/>
        <v>1</v>
      </c>
    </row>
    <row r="924" spans="1:29" ht="14.25" x14ac:dyDescent="0.2">
      <c r="B924" s="323" t="s">
        <v>1034</v>
      </c>
      <c r="C924" s="206" t="s">
        <v>1035</v>
      </c>
      <c r="D924" s="303"/>
      <c r="E924" s="325">
        <f>SUM('ADICIONES  2021'!C924:N924)</f>
        <v>4124553211</v>
      </c>
      <c r="F924" s="290"/>
      <c r="G924" s="290"/>
      <c r="H924" s="290"/>
      <c r="I924" s="290"/>
      <c r="J924" s="290"/>
      <c r="K924" s="281">
        <f t="shared" si="1058"/>
        <v>4124553211</v>
      </c>
      <c r="L924" s="290"/>
      <c r="M924" s="290"/>
      <c r="N924" s="290"/>
      <c r="O924" s="290">
        <v>0</v>
      </c>
      <c r="P924" s="290">
        <v>0</v>
      </c>
      <c r="Q924" s="290">
        <v>0</v>
      </c>
      <c r="R924" s="281">
        <f t="shared" si="986"/>
        <v>0</v>
      </c>
      <c r="S924" s="290">
        <v>0</v>
      </c>
      <c r="T924" s="290">
        <v>0</v>
      </c>
      <c r="U924" s="290">
        <v>0</v>
      </c>
      <c r="V924" s="290">
        <v>0</v>
      </c>
      <c r="W924" s="290">
        <v>1777786959</v>
      </c>
      <c r="X924" s="290">
        <v>1777786954</v>
      </c>
      <c r="Y924" s="290">
        <v>568979298</v>
      </c>
      <c r="Z924" s="290"/>
      <c r="AA924" s="281">
        <f t="shared" ref="AA924:AA926" si="1106">SUM(S924:Z924)</f>
        <v>4124553211</v>
      </c>
      <c r="AB924" s="403">
        <f t="shared" si="1104"/>
        <v>4124553211</v>
      </c>
      <c r="AC924" s="326">
        <f t="shared" si="1105"/>
        <v>1</v>
      </c>
    </row>
    <row r="925" spans="1:29" ht="38.25" x14ac:dyDescent="0.2">
      <c r="B925" s="323" t="s">
        <v>1036</v>
      </c>
      <c r="C925" s="206" t="s">
        <v>1037</v>
      </c>
      <c r="D925" s="303">
        <v>5660414508</v>
      </c>
      <c r="E925" s="325">
        <f>SUM('ADICIONES  2021'!C925:N925)</f>
        <v>0</v>
      </c>
      <c r="F925" s="290"/>
      <c r="G925" s="290"/>
      <c r="H925" s="290"/>
      <c r="I925" s="290"/>
      <c r="J925" s="290"/>
      <c r="K925" s="281">
        <f t="shared" si="1058"/>
        <v>5660414508</v>
      </c>
      <c r="L925" s="290">
        <v>530561108</v>
      </c>
      <c r="M925" s="290">
        <v>0</v>
      </c>
      <c r="N925" s="290">
        <v>1088499804</v>
      </c>
      <c r="O925" s="290">
        <v>544249902</v>
      </c>
      <c r="P925" s="290">
        <v>544249902</v>
      </c>
      <c r="Q925" s="290">
        <v>544249902</v>
      </c>
      <c r="R925" s="281">
        <f t="shared" si="986"/>
        <v>3251810618</v>
      </c>
      <c r="S925" s="290">
        <v>544249902</v>
      </c>
      <c r="T925" s="290">
        <v>544249902</v>
      </c>
      <c r="U925" s="290">
        <v>544249902</v>
      </c>
      <c r="V925" s="290">
        <v>544249902</v>
      </c>
      <c r="W925" s="290">
        <v>231604282</v>
      </c>
      <c r="X925" s="290">
        <v>0</v>
      </c>
      <c r="Y925" s="290">
        <v>0</v>
      </c>
      <c r="Z925" s="290"/>
      <c r="AA925" s="281">
        <f t="shared" si="1106"/>
        <v>2408603890</v>
      </c>
      <c r="AB925" s="403">
        <f t="shared" si="1104"/>
        <v>5660414508</v>
      </c>
      <c r="AC925" s="326">
        <f t="shared" si="1105"/>
        <v>1</v>
      </c>
    </row>
    <row r="926" spans="1:29" ht="38.25" x14ac:dyDescent="0.2">
      <c r="B926" s="323" t="s">
        <v>1036</v>
      </c>
      <c r="C926" s="206" t="s">
        <v>1037</v>
      </c>
      <c r="D926" s="303"/>
      <c r="E926" s="325">
        <f>SUM('ADICIONES  2021'!C926:N926)</f>
        <v>856895526</v>
      </c>
      <c r="F926" s="290"/>
      <c r="G926" s="290"/>
      <c r="H926" s="290"/>
      <c r="I926" s="290"/>
      <c r="J926" s="290"/>
      <c r="K926" s="281">
        <f t="shared" si="1058"/>
        <v>856895526</v>
      </c>
      <c r="L926" s="290"/>
      <c r="M926" s="290"/>
      <c r="N926" s="290"/>
      <c r="O926" s="290">
        <v>0</v>
      </c>
      <c r="P926" s="290">
        <v>0</v>
      </c>
      <c r="Q926" s="290">
        <v>0</v>
      </c>
      <c r="R926" s="281">
        <f t="shared" si="986"/>
        <v>0</v>
      </c>
      <c r="S926" s="290">
        <v>0</v>
      </c>
      <c r="T926" s="290">
        <v>0</v>
      </c>
      <c r="U926" s="290">
        <v>0</v>
      </c>
      <c r="V926" s="290">
        <v>0</v>
      </c>
      <c r="W926" s="290">
        <v>312645620</v>
      </c>
      <c r="X926" s="290">
        <v>544249906</v>
      </c>
      <c r="Y926" s="290">
        <v>0</v>
      </c>
      <c r="Z926" s="290"/>
      <c r="AA926" s="281">
        <f t="shared" si="1106"/>
        <v>856895526</v>
      </c>
      <c r="AB926" s="403">
        <f t="shared" si="1104"/>
        <v>856895526</v>
      </c>
      <c r="AC926" s="326">
        <f t="shared" si="1105"/>
        <v>1</v>
      </c>
    </row>
    <row r="927" spans="1:29" s="61" customFormat="1" ht="25.5" x14ac:dyDescent="0.2">
      <c r="A927" s="421">
        <v>1</v>
      </c>
      <c r="B927" s="318" t="s">
        <v>633</v>
      </c>
      <c r="C927" s="319" t="s">
        <v>1038</v>
      </c>
      <c r="D927" s="292">
        <f>+D928+D953</f>
        <v>39642320908.150002</v>
      </c>
      <c r="E927" s="322">
        <f>SUM('ADICIONES  2021'!C927:N927)</f>
        <v>59517171471.43</v>
      </c>
      <c r="F927" s="289">
        <f>+F928+F953</f>
        <v>10534246</v>
      </c>
      <c r="G927" s="289">
        <f>+G928+G953</f>
        <v>4689016590.2200003</v>
      </c>
      <c r="H927" s="289">
        <f>+H928+H953</f>
        <v>350000000</v>
      </c>
      <c r="I927" s="289">
        <f>+I928+I953</f>
        <v>0</v>
      </c>
      <c r="J927" s="289">
        <f>+J928+J953</f>
        <v>0</v>
      </c>
      <c r="K927" s="276">
        <f t="shared" si="1058"/>
        <v>103487974723.8</v>
      </c>
      <c r="L927" s="289">
        <f t="shared" ref="L927:Q927" si="1107">+L928+L953</f>
        <v>4234398841.8992</v>
      </c>
      <c r="M927" s="289">
        <f t="shared" si="1107"/>
        <v>3179980547.1784</v>
      </c>
      <c r="N927" s="289">
        <f t="shared" si="1107"/>
        <v>2918834062.9661999</v>
      </c>
      <c r="O927" s="289">
        <f t="shared" si="1107"/>
        <v>6191900114.5716</v>
      </c>
      <c r="P927" s="289">
        <f t="shared" si="1107"/>
        <v>9491792728.5748005</v>
      </c>
      <c r="Q927" s="289">
        <f t="shared" si="1107"/>
        <v>3202833438.5432</v>
      </c>
      <c r="R927" s="276">
        <f t="shared" si="986"/>
        <v>29219739733.733402</v>
      </c>
      <c r="S927" s="289">
        <f t="shared" ref="S927:Z927" si="1108">+S928+S953</f>
        <v>5848185678.6308002</v>
      </c>
      <c r="T927" s="289">
        <f t="shared" si="1108"/>
        <v>11457331741.7472</v>
      </c>
      <c r="U927" s="289">
        <f t="shared" si="1108"/>
        <v>6643363062.9420004</v>
      </c>
      <c r="V927" s="289">
        <f t="shared" si="1108"/>
        <v>2708382436.6464</v>
      </c>
      <c r="W927" s="289">
        <f t="shared" si="1108"/>
        <v>6219281316.8568001</v>
      </c>
      <c r="X927" s="289">
        <f t="shared" si="1108"/>
        <v>40644317015.4244</v>
      </c>
      <c r="Y927" s="289">
        <f t="shared" si="1108"/>
        <v>1713627053.2707992</v>
      </c>
      <c r="Z927" s="289">
        <f t="shared" si="1108"/>
        <v>0</v>
      </c>
      <c r="AA927" s="276">
        <f t="shared" si="988"/>
        <v>75234488305.518402</v>
      </c>
      <c r="AB927" s="402">
        <f t="shared" si="1104"/>
        <v>104454228039.2518</v>
      </c>
      <c r="AC927" s="321">
        <f t="shared" si="1105"/>
        <v>1.0093368656409658</v>
      </c>
    </row>
    <row r="928" spans="1:29" s="61" customFormat="1" ht="15.75" x14ac:dyDescent="0.2">
      <c r="A928" s="421">
        <v>1</v>
      </c>
      <c r="B928" s="318" t="s">
        <v>1039</v>
      </c>
      <c r="C928" s="319" t="s">
        <v>1040</v>
      </c>
      <c r="D928" s="292">
        <f>+D929+D933+D940+D949</f>
        <v>5000045908.1499996</v>
      </c>
      <c r="E928" s="322">
        <f>SUM('ADICIONES  2021'!C928:N928)</f>
        <v>47382291507.43</v>
      </c>
      <c r="F928" s="289">
        <f>+F929+F933+F940+F949</f>
        <v>10534246</v>
      </c>
      <c r="G928" s="289">
        <f>+G929+G933+G940+G949</f>
        <v>0</v>
      </c>
      <c r="H928" s="289">
        <f t="shared" ref="H928:J928" si="1109">+H929+H933+H940+H949</f>
        <v>0</v>
      </c>
      <c r="I928" s="289">
        <f t="shared" si="1109"/>
        <v>0</v>
      </c>
      <c r="J928" s="289">
        <f t="shared" si="1109"/>
        <v>0</v>
      </c>
      <c r="K928" s="276">
        <f t="shared" si="1058"/>
        <v>52371803169.580002</v>
      </c>
      <c r="L928" s="289">
        <f t="shared" ref="L928:Q928" si="1110">+L929+L933+L940+L949</f>
        <v>246145912</v>
      </c>
      <c r="M928" s="289">
        <f t="shared" si="1110"/>
        <v>1744556000</v>
      </c>
      <c r="N928" s="289">
        <f t="shared" si="1110"/>
        <v>637912007</v>
      </c>
      <c r="O928" s="289">
        <f t="shared" si="1110"/>
        <v>264932609</v>
      </c>
      <c r="P928" s="289">
        <f t="shared" si="1110"/>
        <v>8531602299.4300003</v>
      </c>
      <c r="Q928" s="289">
        <f t="shared" si="1110"/>
        <v>396864936</v>
      </c>
      <c r="R928" s="276">
        <f t="shared" si="986"/>
        <v>11822013763.43</v>
      </c>
      <c r="S928" s="289">
        <f t="shared" ref="S928:Z928" si="1111">+S929+S933+S940+S949</f>
        <v>1175658325</v>
      </c>
      <c r="T928" s="289">
        <f t="shared" si="1111"/>
        <v>7504788380</v>
      </c>
      <c r="U928" s="289">
        <f t="shared" si="1111"/>
        <v>99788242</v>
      </c>
      <c r="V928" s="289">
        <f t="shared" si="1111"/>
        <v>299310942</v>
      </c>
      <c r="W928" s="289">
        <f t="shared" si="1111"/>
        <v>99788242</v>
      </c>
      <c r="X928" s="289">
        <f t="shared" si="1111"/>
        <v>30657430353</v>
      </c>
      <c r="Y928" s="289">
        <f t="shared" si="1111"/>
        <v>0</v>
      </c>
      <c r="Z928" s="289">
        <f t="shared" si="1111"/>
        <v>0</v>
      </c>
      <c r="AA928" s="276">
        <f t="shared" si="988"/>
        <v>39836764484</v>
      </c>
      <c r="AB928" s="402">
        <f t="shared" si="1104"/>
        <v>51658778247.43</v>
      </c>
      <c r="AC928" s="321">
        <f t="shared" si="1105"/>
        <v>0.98638532800100032</v>
      </c>
    </row>
    <row r="929" spans="1:29" s="61" customFormat="1" ht="25.5" x14ac:dyDescent="0.2">
      <c r="A929" s="421"/>
      <c r="B929" s="318" t="s">
        <v>1041</v>
      </c>
      <c r="C929" s="319" t="s">
        <v>1042</v>
      </c>
      <c r="D929" s="292">
        <f>SUM(D930:D932)</f>
        <v>2082947768</v>
      </c>
      <c r="E929" s="322">
        <f>SUM('ADICIONES  2021'!C929:N929)</f>
        <v>0</v>
      </c>
      <c r="F929" s="289">
        <f>SUM(F930:F932)</f>
        <v>10534246</v>
      </c>
      <c r="G929" s="289">
        <f>SUM(G930:G932)</f>
        <v>0</v>
      </c>
      <c r="H929" s="289">
        <f t="shared" ref="H929:J929" si="1112">SUM(H930:H932)</f>
        <v>0</v>
      </c>
      <c r="I929" s="289">
        <f t="shared" si="1112"/>
        <v>0</v>
      </c>
      <c r="J929" s="289">
        <f t="shared" si="1112"/>
        <v>0</v>
      </c>
      <c r="K929" s="276">
        <f t="shared" si="1058"/>
        <v>2072413522</v>
      </c>
      <c r="L929" s="289">
        <f t="shared" ref="L929:Q929" si="1113">SUM(L930:L932)</f>
        <v>0</v>
      </c>
      <c r="M929" s="289">
        <f t="shared" si="1113"/>
        <v>0</v>
      </c>
      <c r="N929" s="289">
        <f t="shared" si="1113"/>
        <v>362999420</v>
      </c>
      <c r="O929" s="289">
        <f t="shared" si="1113"/>
        <v>121554219</v>
      </c>
      <c r="P929" s="289">
        <f t="shared" si="1113"/>
        <v>399152972</v>
      </c>
      <c r="Q929" s="289">
        <f t="shared" si="1113"/>
        <v>396864936</v>
      </c>
      <c r="R929" s="276">
        <f t="shared" si="986"/>
        <v>1280571547</v>
      </c>
      <c r="S929" s="289">
        <f t="shared" ref="S929:Z929" si="1114">SUM(S930:S932)</f>
        <v>99788242</v>
      </c>
      <c r="T929" s="289">
        <f t="shared" si="1114"/>
        <v>99788242</v>
      </c>
      <c r="U929" s="289">
        <f t="shared" si="1114"/>
        <v>99788242</v>
      </c>
      <c r="V929" s="289">
        <f t="shared" si="1114"/>
        <v>99788242</v>
      </c>
      <c r="W929" s="289">
        <f t="shared" si="1114"/>
        <v>99788242</v>
      </c>
      <c r="X929" s="289">
        <f t="shared" si="1114"/>
        <v>292900765</v>
      </c>
      <c r="Y929" s="289">
        <f t="shared" si="1114"/>
        <v>0</v>
      </c>
      <c r="Z929" s="289">
        <f t="shared" si="1114"/>
        <v>0</v>
      </c>
      <c r="AA929" s="276">
        <f t="shared" si="988"/>
        <v>791841975</v>
      </c>
      <c r="AB929" s="402">
        <f t="shared" si="1104"/>
        <v>2072413522</v>
      </c>
      <c r="AC929" s="321">
        <f t="shared" si="1105"/>
        <v>1</v>
      </c>
    </row>
    <row r="930" spans="1:29" ht="14.25" x14ac:dyDescent="0.2">
      <c r="B930" s="323" t="s">
        <v>1043</v>
      </c>
      <c r="C930" s="206" t="s">
        <v>1044</v>
      </c>
      <c r="D930" s="303">
        <v>1591355036</v>
      </c>
      <c r="E930" s="325">
        <f>SUM('ADICIONES  2021'!C930:N930)</f>
        <v>0</v>
      </c>
      <c r="F930" s="290">
        <v>3495153</v>
      </c>
      <c r="G930" s="290"/>
      <c r="H930" s="290"/>
      <c r="I930" s="290"/>
      <c r="J930" s="290"/>
      <c r="K930" s="281">
        <f t="shared" si="1058"/>
        <v>1587859883</v>
      </c>
      <c r="L930" s="290"/>
      <c r="M930" s="290"/>
      <c r="N930" s="290">
        <v>0</v>
      </c>
      <c r="O930" s="290">
        <v>0</v>
      </c>
      <c r="P930" s="290">
        <v>399152972</v>
      </c>
      <c r="Q930" s="290">
        <v>396864936</v>
      </c>
      <c r="R930" s="281">
        <f t="shared" ref="R930:R1034" si="1115">SUM(L930:Q930)</f>
        <v>796017908</v>
      </c>
      <c r="S930" s="290">
        <v>99788242</v>
      </c>
      <c r="T930" s="290">
        <v>99788242</v>
      </c>
      <c r="U930" s="290">
        <v>99788242</v>
      </c>
      <c r="V930" s="290">
        <v>99788242</v>
      </c>
      <c r="W930" s="290">
        <v>99788242</v>
      </c>
      <c r="X930" s="290">
        <v>292900765</v>
      </c>
      <c r="Y930" s="290"/>
      <c r="Z930" s="290"/>
      <c r="AA930" s="281">
        <f t="shared" ref="AA930:AA1024" si="1116">SUM(S930:Z930)</f>
        <v>791841975</v>
      </c>
      <c r="AB930" s="403">
        <f t="shared" si="1104"/>
        <v>1587859883</v>
      </c>
      <c r="AC930" s="326">
        <f t="shared" si="1105"/>
        <v>1</v>
      </c>
    </row>
    <row r="931" spans="1:29" ht="14.25" x14ac:dyDescent="0.2">
      <c r="B931" s="323" t="s">
        <v>1045</v>
      </c>
      <c r="C931" s="206" t="s">
        <v>1046</v>
      </c>
      <c r="D931" s="303">
        <v>123846146</v>
      </c>
      <c r="E931" s="325">
        <f>SUM('ADICIONES  2021'!C931:N931)</f>
        <v>0</v>
      </c>
      <c r="F931" s="290">
        <v>2291927</v>
      </c>
      <c r="G931" s="290"/>
      <c r="H931" s="290"/>
      <c r="I931" s="290"/>
      <c r="J931" s="290"/>
      <c r="K931" s="281">
        <f t="shared" si="1058"/>
        <v>121554219</v>
      </c>
      <c r="L931" s="290"/>
      <c r="M931" s="290"/>
      <c r="N931" s="290">
        <v>0</v>
      </c>
      <c r="O931" s="290">
        <v>121554219</v>
      </c>
      <c r="P931" s="290">
        <v>0</v>
      </c>
      <c r="Q931" s="290">
        <v>0</v>
      </c>
      <c r="R931" s="281">
        <f t="shared" si="1115"/>
        <v>121554219</v>
      </c>
      <c r="S931" s="290">
        <v>0</v>
      </c>
      <c r="T931" s="290">
        <v>0</v>
      </c>
      <c r="U931" s="290">
        <v>0</v>
      </c>
      <c r="V931" s="290">
        <v>0</v>
      </c>
      <c r="W931" s="290"/>
      <c r="X931" s="290">
        <v>0</v>
      </c>
      <c r="Y931" s="290"/>
      <c r="Z931" s="290"/>
      <c r="AA931" s="281">
        <f t="shared" si="1116"/>
        <v>0</v>
      </c>
      <c r="AB931" s="403">
        <f t="shared" si="1104"/>
        <v>121554219</v>
      </c>
      <c r="AC931" s="326">
        <f t="shared" si="1105"/>
        <v>1</v>
      </c>
    </row>
    <row r="932" spans="1:29" ht="14.25" x14ac:dyDescent="0.2">
      <c r="B932" s="323" t="s">
        <v>1047</v>
      </c>
      <c r="C932" s="206" t="s">
        <v>1048</v>
      </c>
      <c r="D932" s="303">
        <v>367746586</v>
      </c>
      <c r="E932" s="325">
        <f>SUM('ADICIONES  2021'!C932:N932)</f>
        <v>0</v>
      </c>
      <c r="F932" s="290">
        <v>4747166</v>
      </c>
      <c r="G932" s="290"/>
      <c r="H932" s="290"/>
      <c r="I932" s="290"/>
      <c r="J932" s="290"/>
      <c r="K932" s="281">
        <f t="shared" si="1058"/>
        <v>362999420</v>
      </c>
      <c r="L932" s="290"/>
      <c r="M932" s="290"/>
      <c r="N932" s="290">
        <v>362999420</v>
      </c>
      <c r="O932" s="290">
        <v>0</v>
      </c>
      <c r="P932" s="290">
        <v>0</v>
      </c>
      <c r="Q932" s="290">
        <v>0</v>
      </c>
      <c r="R932" s="281">
        <f t="shared" si="1115"/>
        <v>362999420</v>
      </c>
      <c r="S932" s="290">
        <v>0</v>
      </c>
      <c r="T932" s="290">
        <v>0</v>
      </c>
      <c r="U932" s="290">
        <v>0</v>
      </c>
      <c r="V932" s="290">
        <v>0</v>
      </c>
      <c r="W932" s="290"/>
      <c r="X932" s="290">
        <v>0</v>
      </c>
      <c r="Y932" s="290"/>
      <c r="Z932" s="290"/>
      <c r="AA932" s="281">
        <f t="shared" si="1116"/>
        <v>0</v>
      </c>
      <c r="AB932" s="403">
        <f t="shared" si="1104"/>
        <v>362999420</v>
      </c>
      <c r="AC932" s="326">
        <f t="shared" si="1105"/>
        <v>1</v>
      </c>
    </row>
    <row r="933" spans="1:29" s="61" customFormat="1" ht="38.25" x14ac:dyDescent="0.2">
      <c r="A933" s="421"/>
      <c r="B933" s="318" t="s">
        <v>1208</v>
      </c>
      <c r="C933" s="319" t="s">
        <v>1056</v>
      </c>
      <c r="D933" s="292">
        <f>SUM(D934:D939)</f>
        <v>1699345500</v>
      </c>
      <c r="E933" s="322">
        <f>SUM('ADICIONES  2021'!C933:N933)</f>
        <v>40097189553.43</v>
      </c>
      <c r="F933" s="292">
        <f t="shared" ref="F933:I933" si="1117">SUM(F934:F939)</f>
        <v>0</v>
      </c>
      <c r="G933" s="292">
        <f t="shared" si="1117"/>
        <v>0</v>
      </c>
      <c r="H933" s="292">
        <f t="shared" si="1117"/>
        <v>0</v>
      </c>
      <c r="I933" s="292">
        <f t="shared" si="1117"/>
        <v>0</v>
      </c>
      <c r="J933" s="292">
        <f>SUM(J934:J939)</f>
        <v>0</v>
      </c>
      <c r="K933" s="276">
        <f t="shared" si="1058"/>
        <v>41796535053.43</v>
      </c>
      <c r="L933" s="292">
        <f t="shared" ref="L933:Q933" si="1118">SUM(L934:L939)</f>
        <v>0</v>
      </c>
      <c r="M933" s="292">
        <f t="shared" si="1118"/>
        <v>1744556000</v>
      </c>
      <c r="N933" s="292">
        <f t="shared" si="1118"/>
        <v>0</v>
      </c>
      <c r="O933" s="292">
        <f t="shared" si="1118"/>
        <v>0</v>
      </c>
      <c r="P933" s="292">
        <f t="shared" si="1118"/>
        <v>8132449327.4300003</v>
      </c>
      <c r="Q933" s="292">
        <f t="shared" si="1118"/>
        <v>0</v>
      </c>
      <c r="R933" s="276">
        <f t="shared" si="1115"/>
        <v>9877005327.4300003</v>
      </c>
      <c r="S933" s="292">
        <f t="shared" ref="S933:Z933" si="1119">SUM(S934:S939)</f>
        <v>0</v>
      </c>
      <c r="T933" s="292">
        <f t="shared" si="1119"/>
        <v>1555000138</v>
      </c>
      <c r="U933" s="292">
        <f t="shared" si="1119"/>
        <v>0</v>
      </c>
      <c r="V933" s="292">
        <f t="shared" si="1119"/>
        <v>0</v>
      </c>
      <c r="W933" s="292">
        <f t="shared" si="1119"/>
        <v>0</v>
      </c>
      <c r="X933" s="292">
        <f t="shared" si="1119"/>
        <v>30364529588</v>
      </c>
      <c r="Y933" s="292">
        <f t="shared" si="1119"/>
        <v>0</v>
      </c>
      <c r="Z933" s="292">
        <f t="shared" si="1119"/>
        <v>0</v>
      </c>
      <c r="AA933" s="276">
        <f t="shared" si="1116"/>
        <v>31919529726</v>
      </c>
      <c r="AB933" s="402">
        <f t="shared" si="1104"/>
        <v>41796535053.43</v>
      </c>
      <c r="AC933" s="321">
        <f t="shared" si="1105"/>
        <v>1</v>
      </c>
    </row>
    <row r="934" spans="1:29" ht="25.5" x14ac:dyDescent="0.2">
      <c r="B934" s="323" t="s">
        <v>1209</v>
      </c>
      <c r="C934" s="206" t="s">
        <v>1057</v>
      </c>
      <c r="D934" s="303">
        <v>1699345500</v>
      </c>
      <c r="E934" s="325">
        <f>SUM('ADICIONES  2021'!C934:N934)</f>
        <v>0</v>
      </c>
      <c r="F934" s="290"/>
      <c r="G934" s="290"/>
      <c r="H934" s="290"/>
      <c r="I934" s="290"/>
      <c r="J934" s="290"/>
      <c r="K934" s="281">
        <f t="shared" si="1058"/>
        <v>1699345500</v>
      </c>
      <c r="L934" s="290"/>
      <c r="M934" s="290">
        <v>1744556000</v>
      </c>
      <c r="N934" s="290"/>
      <c r="O934" s="290">
        <v>0</v>
      </c>
      <c r="P934" s="290">
        <v>-45210500</v>
      </c>
      <c r="Q934" s="290"/>
      <c r="R934" s="281">
        <f t="shared" si="1115"/>
        <v>1699345500</v>
      </c>
      <c r="S934" s="290">
        <v>0</v>
      </c>
      <c r="T934" s="290"/>
      <c r="U934" s="290">
        <v>0</v>
      </c>
      <c r="V934" s="290"/>
      <c r="W934" s="290"/>
      <c r="X934" s="290">
        <v>0</v>
      </c>
      <c r="Y934" s="290"/>
      <c r="Z934" s="290"/>
      <c r="AA934" s="281">
        <f t="shared" si="1116"/>
        <v>0</v>
      </c>
      <c r="AB934" s="403">
        <f t="shared" si="1104"/>
        <v>1699345500</v>
      </c>
      <c r="AC934" s="326">
        <f t="shared" si="1105"/>
        <v>1</v>
      </c>
    </row>
    <row r="935" spans="1:29" ht="25.5" x14ac:dyDescent="0.2">
      <c r="B935" s="323" t="s">
        <v>1209</v>
      </c>
      <c r="C935" s="206" t="s">
        <v>1057</v>
      </c>
      <c r="D935" s="303"/>
      <c r="E935" s="325">
        <f>SUM('ADICIONES  2021'!C935:N935)</f>
        <v>45210500</v>
      </c>
      <c r="F935" s="290"/>
      <c r="G935" s="290"/>
      <c r="H935" s="290"/>
      <c r="I935" s="290"/>
      <c r="J935" s="290"/>
      <c r="K935" s="281">
        <f t="shared" si="1058"/>
        <v>45210500</v>
      </c>
      <c r="L935" s="290"/>
      <c r="M935" s="290"/>
      <c r="N935" s="290"/>
      <c r="O935" s="290">
        <v>0</v>
      </c>
      <c r="P935" s="290">
        <v>45210500</v>
      </c>
      <c r="Q935" s="290"/>
      <c r="R935" s="281">
        <f t="shared" si="1115"/>
        <v>45210500</v>
      </c>
      <c r="S935" s="290">
        <v>0</v>
      </c>
      <c r="T935" s="290"/>
      <c r="U935" s="290">
        <v>0</v>
      </c>
      <c r="V935" s="290"/>
      <c r="W935" s="290"/>
      <c r="X935" s="290">
        <v>0</v>
      </c>
      <c r="Y935" s="290"/>
      <c r="Z935" s="290"/>
      <c r="AA935" s="281">
        <f t="shared" si="1116"/>
        <v>0</v>
      </c>
      <c r="AB935" s="403">
        <f t="shared" si="1104"/>
        <v>45210500</v>
      </c>
      <c r="AC935" s="326">
        <f t="shared" si="1105"/>
        <v>1</v>
      </c>
    </row>
    <row r="936" spans="1:29" ht="25.5" x14ac:dyDescent="0.2">
      <c r="B936" s="323" t="s">
        <v>1209</v>
      </c>
      <c r="C936" s="206" t="s">
        <v>1057</v>
      </c>
      <c r="D936" s="303"/>
      <c r="E936" s="325">
        <f>SUM('ADICIONES  2021'!C936:N936)</f>
        <v>1555000138</v>
      </c>
      <c r="F936" s="290"/>
      <c r="G936" s="290"/>
      <c r="H936" s="290"/>
      <c r="I936" s="290"/>
      <c r="J936" s="290"/>
      <c r="K936" s="281">
        <f t="shared" si="1058"/>
        <v>1555000138</v>
      </c>
      <c r="L936" s="290"/>
      <c r="M936" s="290"/>
      <c r="N936" s="290"/>
      <c r="O936" s="290"/>
      <c r="P936" s="290"/>
      <c r="Q936" s="290"/>
      <c r="R936" s="281">
        <f t="shared" si="1115"/>
        <v>0</v>
      </c>
      <c r="S936" s="290"/>
      <c r="T936" s="290">
        <v>1555000138</v>
      </c>
      <c r="U936" s="290">
        <v>0</v>
      </c>
      <c r="V936" s="290"/>
      <c r="W936" s="290"/>
      <c r="X936" s="290">
        <v>0</v>
      </c>
      <c r="Y936" s="290"/>
      <c r="Z936" s="290"/>
      <c r="AA936" s="281">
        <f t="shared" ref="AA936:AA939" si="1120">SUM(S936:Z936)</f>
        <v>1555000138</v>
      </c>
      <c r="AB936" s="403">
        <f t="shared" si="1104"/>
        <v>1555000138</v>
      </c>
      <c r="AC936" s="326">
        <v>0</v>
      </c>
    </row>
    <row r="937" spans="1:29" ht="25.5" x14ac:dyDescent="0.2">
      <c r="B937" s="323" t="s">
        <v>1209</v>
      </c>
      <c r="C937" s="206" t="s">
        <v>1057</v>
      </c>
      <c r="D937" s="303"/>
      <c r="E937" s="325">
        <f>SUM('ADICIONES  2021'!C937:N937)</f>
        <v>1741074000</v>
      </c>
      <c r="F937" s="290"/>
      <c r="G937" s="290"/>
      <c r="H937" s="290"/>
      <c r="I937" s="290"/>
      <c r="J937" s="290"/>
      <c r="K937" s="281">
        <f t="shared" si="1058"/>
        <v>1741074000</v>
      </c>
      <c r="L937" s="290"/>
      <c r="M937" s="290"/>
      <c r="N937" s="290"/>
      <c r="O937" s="290"/>
      <c r="P937" s="290"/>
      <c r="Q937" s="290"/>
      <c r="R937" s="281">
        <f t="shared" si="1115"/>
        <v>0</v>
      </c>
      <c r="S937" s="290"/>
      <c r="T937" s="290"/>
      <c r="U937" s="290"/>
      <c r="V937" s="290"/>
      <c r="W937" s="290"/>
      <c r="X937" s="290">
        <v>1741074000</v>
      </c>
      <c r="Y937" s="290"/>
      <c r="Z937" s="290"/>
      <c r="AA937" s="281">
        <f t="shared" ref="AA937:AA938" si="1121">SUM(S937:Z937)</f>
        <v>1741074000</v>
      </c>
      <c r="AB937" s="403">
        <f t="shared" ref="AB937:AB938" si="1122">+R937+AA937</f>
        <v>1741074000</v>
      </c>
      <c r="AC937" s="326">
        <v>1</v>
      </c>
    </row>
    <row r="938" spans="1:29" ht="25.5" x14ac:dyDescent="0.2">
      <c r="B938" s="323" t="s">
        <v>1209</v>
      </c>
      <c r="C938" s="206" t="s">
        <v>1057</v>
      </c>
      <c r="D938" s="303"/>
      <c r="E938" s="325">
        <f>SUM('ADICIONES  2021'!C938:N938)</f>
        <v>28623455588</v>
      </c>
      <c r="F938" s="290"/>
      <c r="G938" s="290"/>
      <c r="H938" s="290"/>
      <c r="I938" s="290"/>
      <c r="J938" s="290"/>
      <c r="K938" s="281">
        <f t="shared" si="1058"/>
        <v>28623455588</v>
      </c>
      <c r="L938" s="290"/>
      <c r="M938" s="290"/>
      <c r="N938" s="290"/>
      <c r="O938" s="290"/>
      <c r="P938" s="290"/>
      <c r="Q938" s="290"/>
      <c r="R938" s="281">
        <f t="shared" si="1115"/>
        <v>0</v>
      </c>
      <c r="S938" s="290"/>
      <c r="T938" s="290"/>
      <c r="U938" s="290"/>
      <c r="V938" s="290"/>
      <c r="W938" s="290"/>
      <c r="X938" s="290">
        <v>28623455588</v>
      </c>
      <c r="Y938" s="290"/>
      <c r="Z938" s="290"/>
      <c r="AA938" s="281">
        <f t="shared" si="1121"/>
        <v>28623455588</v>
      </c>
      <c r="AB938" s="403">
        <f t="shared" si="1122"/>
        <v>28623455588</v>
      </c>
      <c r="AC938" s="326">
        <v>2</v>
      </c>
    </row>
    <row r="939" spans="1:29" ht="14.25" x14ac:dyDescent="0.2">
      <c r="B939" s="323" t="s">
        <v>1831</v>
      </c>
      <c r="C939" s="206" t="s">
        <v>1832</v>
      </c>
      <c r="D939" s="303"/>
      <c r="E939" s="325">
        <f>SUM('ADICIONES  2021'!C939:N939)</f>
        <v>8132449327.4300003</v>
      </c>
      <c r="F939" s="290"/>
      <c r="G939" s="290"/>
      <c r="H939" s="290"/>
      <c r="I939" s="290"/>
      <c r="J939" s="290"/>
      <c r="K939" s="281">
        <f t="shared" si="1058"/>
        <v>8132449327.4300003</v>
      </c>
      <c r="L939" s="290"/>
      <c r="M939" s="290"/>
      <c r="N939" s="290"/>
      <c r="O939" s="290"/>
      <c r="P939" s="290">
        <v>8132449327.4300003</v>
      </c>
      <c r="Q939" s="290"/>
      <c r="R939" s="281">
        <f t="shared" si="1115"/>
        <v>8132449327.4300003</v>
      </c>
      <c r="S939" s="290">
        <v>0</v>
      </c>
      <c r="T939" s="290"/>
      <c r="U939" s="290">
        <v>0</v>
      </c>
      <c r="V939" s="290"/>
      <c r="W939" s="290"/>
      <c r="X939" s="290">
        <v>0</v>
      </c>
      <c r="Y939" s="290"/>
      <c r="Z939" s="290"/>
      <c r="AA939" s="281">
        <f t="shared" si="1120"/>
        <v>0</v>
      </c>
      <c r="AB939" s="403">
        <f t="shared" si="1104"/>
        <v>8132449327.4300003</v>
      </c>
      <c r="AC939" s="326">
        <v>0</v>
      </c>
    </row>
    <row r="940" spans="1:29" s="61" customFormat="1" ht="25.5" x14ac:dyDescent="0.2">
      <c r="A940" s="421"/>
      <c r="B940" s="318" t="s">
        <v>1210</v>
      </c>
      <c r="C940" s="319" t="s">
        <v>377</v>
      </c>
      <c r="D940" s="292">
        <f>+D941+D945+D946+D947+D948</f>
        <v>910253281.14999998</v>
      </c>
      <c r="E940" s="322">
        <f>SUM('ADICIONES  2021'!C940:N940)</f>
        <v>7044935287</v>
      </c>
      <c r="F940" s="292">
        <f t="shared" ref="F940:J940" si="1123">+F941+F945+F946+F947+F948</f>
        <v>0</v>
      </c>
      <c r="G940" s="292">
        <f t="shared" si="1123"/>
        <v>0</v>
      </c>
      <c r="H940" s="292">
        <f t="shared" si="1123"/>
        <v>0</v>
      </c>
      <c r="I940" s="292">
        <f t="shared" si="1123"/>
        <v>0</v>
      </c>
      <c r="J940" s="292">
        <f t="shared" si="1123"/>
        <v>0</v>
      </c>
      <c r="K940" s="276">
        <f t="shared" si="1058"/>
        <v>7955188568.1499996</v>
      </c>
      <c r="L940" s="292">
        <f t="shared" ref="L940:Q940" si="1124">+L941+L945+L946+L947+L948</f>
        <v>184609434</v>
      </c>
      <c r="M940" s="292">
        <f t="shared" si="1124"/>
        <v>0</v>
      </c>
      <c r="N940" s="292">
        <f t="shared" si="1124"/>
        <v>274912587</v>
      </c>
      <c r="O940" s="292">
        <f t="shared" si="1124"/>
        <v>143378390</v>
      </c>
      <c r="P940" s="292">
        <f t="shared" si="1124"/>
        <v>0</v>
      </c>
      <c r="Q940" s="292">
        <f t="shared" si="1124"/>
        <v>0</v>
      </c>
      <c r="R940" s="276">
        <f t="shared" si="1115"/>
        <v>602900411</v>
      </c>
      <c r="S940" s="292">
        <f t="shared" ref="S940:Z940" si="1125">+S941+S945+S946+S947+S948</f>
        <v>806902562</v>
      </c>
      <c r="T940" s="292">
        <f t="shared" si="1125"/>
        <v>5850000000</v>
      </c>
      <c r="U940" s="292">
        <f t="shared" si="1125"/>
        <v>0</v>
      </c>
      <c r="V940" s="292">
        <f t="shared" si="1125"/>
        <v>199522700</v>
      </c>
      <c r="W940" s="292">
        <f t="shared" si="1125"/>
        <v>0</v>
      </c>
      <c r="X940" s="292">
        <f t="shared" si="1125"/>
        <v>0</v>
      </c>
      <c r="Y940" s="292">
        <f t="shared" si="1125"/>
        <v>0</v>
      </c>
      <c r="Z940" s="292">
        <f t="shared" si="1125"/>
        <v>0</v>
      </c>
      <c r="AA940" s="276">
        <f t="shared" si="1116"/>
        <v>6856425262</v>
      </c>
      <c r="AB940" s="402">
        <f t="shared" si="1104"/>
        <v>7459325673</v>
      </c>
      <c r="AC940" s="321">
        <f t="shared" si="1105"/>
        <v>0.93766798977773147</v>
      </c>
    </row>
    <row r="941" spans="1:29" s="61" customFormat="1" ht="15.75" x14ac:dyDescent="0.2">
      <c r="A941" s="421"/>
      <c r="B941" s="318" t="s">
        <v>1211</v>
      </c>
      <c r="C941" s="319" t="s">
        <v>378</v>
      </c>
      <c r="D941" s="292">
        <f>SUM(D942:D944)</f>
        <v>910253281.14999998</v>
      </c>
      <c r="E941" s="322">
        <f>SUM('ADICIONES  2021'!C941:N941)</f>
        <v>720500000</v>
      </c>
      <c r="F941" s="292">
        <f t="shared" ref="F941:J941" si="1126">SUM(F942:F944)</f>
        <v>0</v>
      </c>
      <c r="G941" s="292">
        <f t="shared" si="1126"/>
        <v>0</v>
      </c>
      <c r="H941" s="292">
        <f t="shared" si="1126"/>
        <v>0</v>
      </c>
      <c r="I941" s="292">
        <f t="shared" si="1126"/>
        <v>0</v>
      </c>
      <c r="J941" s="292">
        <f t="shared" si="1126"/>
        <v>0</v>
      </c>
      <c r="K941" s="276">
        <f t="shared" si="1058"/>
        <v>1630753281.1500001</v>
      </c>
      <c r="L941" s="292">
        <f t="shared" ref="L941:Q941" si="1127">SUM(L942:L944)</f>
        <v>184609434</v>
      </c>
      <c r="M941" s="292">
        <f t="shared" si="1127"/>
        <v>0</v>
      </c>
      <c r="N941" s="292">
        <f t="shared" si="1127"/>
        <v>0</v>
      </c>
      <c r="O941" s="292">
        <f t="shared" si="1127"/>
        <v>143378390</v>
      </c>
      <c r="P941" s="292">
        <f t="shared" si="1127"/>
        <v>0</v>
      </c>
      <c r="Q941" s="292">
        <f t="shared" si="1127"/>
        <v>0</v>
      </c>
      <c r="R941" s="276">
        <f t="shared" si="1115"/>
        <v>327987824</v>
      </c>
      <c r="S941" s="292">
        <f t="shared" ref="S941:Z941" si="1128">SUM(S942:S944)</f>
        <v>806902562</v>
      </c>
      <c r="T941" s="292">
        <f t="shared" si="1128"/>
        <v>0</v>
      </c>
      <c r="U941" s="292">
        <f t="shared" si="1128"/>
        <v>0</v>
      </c>
      <c r="V941" s="292">
        <f t="shared" si="1128"/>
        <v>0</v>
      </c>
      <c r="W941" s="292">
        <f t="shared" si="1128"/>
        <v>0</v>
      </c>
      <c r="X941" s="292">
        <f t="shared" si="1128"/>
        <v>0</v>
      </c>
      <c r="Y941" s="292">
        <f t="shared" si="1128"/>
        <v>0</v>
      </c>
      <c r="Z941" s="292">
        <f t="shared" si="1128"/>
        <v>0</v>
      </c>
      <c r="AA941" s="276">
        <f t="shared" si="1116"/>
        <v>806902562</v>
      </c>
      <c r="AB941" s="402">
        <f t="shared" si="1104"/>
        <v>1134890386</v>
      </c>
      <c r="AC941" s="321">
        <f t="shared" si="1105"/>
        <v>0.69593015639967337</v>
      </c>
    </row>
    <row r="942" spans="1:29" ht="38.25" x14ac:dyDescent="0.2">
      <c r="B942" s="323" t="s">
        <v>1212</v>
      </c>
      <c r="C942" s="206" t="s">
        <v>1058</v>
      </c>
      <c r="D942" s="303">
        <v>910253281.14999998</v>
      </c>
      <c r="E942" s="325">
        <f>SUM('ADICIONES  2021'!C942:N942)</f>
        <v>0</v>
      </c>
      <c r="F942" s="290"/>
      <c r="G942" s="290"/>
      <c r="H942" s="290"/>
      <c r="I942" s="290"/>
      <c r="J942" s="290"/>
      <c r="K942" s="281">
        <f t="shared" si="1058"/>
        <v>910253281.14999998</v>
      </c>
      <c r="L942" s="290">
        <v>184609434</v>
      </c>
      <c r="M942" s="290"/>
      <c r="N942" s="290"/>
      <c r="O942" s="290">
        <v>143378390</v>
      </c>
      <c r="P942" s="290"/>
      <c r="Q942" s="290"/>
      <c r="R942" s="281">
        <f t="shared" si="1115"/>
        <v>327987824</v>
      </c>
      <c r="S942" s="290">
        <v>806902562</v>
      </c>
      <c r="T942" s="290"/>
      <c r="U942" s="290">
        <v>-224637104.84999999</v>
      </c>
      <c r="V942" s="290">
        <v>0</v>
      </c>
      <c r="W942" s="290"/>
      <c r="X942" s="290"/>
      <c r="Y942" s="290"/>
      <c r="Z942" s="290"/>
      <c r="AA942" s="281">
        <f t="shared" si="1116"/>
        <v>582265457.14999998</v>
      </c>
      <c r="AB942" s="403">
        <f t="shared" si="1104"/>
        <v>910253281.14999998</v>
      </c>
      <c r="AC942" s="326">
        <f t="shared" si="1105"/>
        <v>1</v>
      </c>
    </row>
    <row r="943" spans="1:29" ht="38.25" x14ac:dyDescent="0.2">
      <c r="B943" s="323" t="s">
        <v>1212</v>
      </c>
      <c r="C943" s="206" t="s">
        <v>1058</v>
      </c>
      <c r="D943" s="303"/>
      <c r="E943" s="325">
        <f>SUM('ADICIONES  2021'!C943:N943)</f>
        <v>200000000</v>
      </c>
      <c r="F943" s="290"/>
      <c r="G943" s="290"/>
      <c r="H943" s="290"/>
      <c r="I943" s="290"/>
      <c r="J943" s="290"/>
      <c r="K943" s="281">
        <f t="shared" si="1058"/>
        <v>200000000</v>
      </c>
      <c r="L943" s="290"/>
      <c r="M943" s="290"/>
      <c r="N943" s="290"/>
      <c r="O943" s="290"/>
      <c r="P943" s="290"/>
      <c r="Q943" s="290"/>
      <c r="R943" s="281">
        <f t="shared" si="1115"/>
        <v>0</v>
      </c>
      <c r="S943" s="290"/>
      <c r="T943" s="290"/>
      <c r="U943" s="290"/>
      <c r="V943" s="290"/>
      <c r="W943" s="290"/>
      <c r="X943" s="290"/>
      <c r="Y943" s="290"/>
      <c r="Z943" s="290"/>
      <c r="AA943" s="281">
        <f t="shared" ref="AA943" si="1129">SUM(S943:Z943)</f>
        <v>0</v>
      </c>
      <c r="AB943" s="403">
        <f t="shared" ref="AB943" si="1130">+R943+AA943</f>
        <v>0</v>
      </c>
      <c r="AC943" s="326">
        <f t="shared" ref="AC943" si="1131">+AB943/K943</f>
        <v>0</v>
      </c>
    </row>
    <row r="944" spans="1:29" ht="38.25" x14ac:dyDescent="0.2">
      <c r="B944" s="323" t="s">
        <v>1212</v>
      </c>
      <c r="C944" s="206" t="s">
        <v>1058</v>
      </c>
      <c r="D944" s="303"/>
      <c r="E944" s="325">
        <f>SUM('ADICIONES  2021'!C944:N944)</f>
        <v>520500000</v>
      </c>
      <c r="F944" s="290"/>
      <c r="G944" s="290"/>
      <c r="H944" s="290"/>
      <c r="I944" s="290"/>
      <c r="J944" s="290"/>
      <c r="K944" s="281">
        <f t="shared" si="1058"/>
        <v>520500000</v>
      </c>
      <c r="L944" s="290"/>
      <c r="M944" s="290"/>
      <c r="N944" s="290"/>
      <c r="O944" s="290"/>
      <c r="P944" s="290"/>
      <c r="Q944" s="290"/>
      <c r="R944" s="281">
        <f t="shared" si="1115"/>
        <v>0</v>
      </c>
      <c r="S944" s="290"/>
      <c r="T944" s="290"/>
      <c r="U944" s="290">
        <v>224637104.84999999</v>
      </c>
      <c r="V944" s="290">
        <v>0</v>
      </c>
      <c r="W944" s="290"/>
      <c r="X944" s="290"/>
      <c r="Y944" s="290"/>
      <c r="Z944" s="290"/>
      <c r="AA944" s="281">
        <f t="shared" ref="AA944:AA948" si="1132">SUM(S944:Z944)</f>
        <v>224637104.84999999</v>
      </c>
      <c r="AB944" s="403">
        <f t="shared" si="1104"/>
        <v>224637104.84999999</v>
      </c>
      <c r="AC944" s="326">
        <f t="shared" si="1105"/>
        <v>0.43157945216138327</v>
      </c>
    </row>
    <row r="945" spans="1:29" ht="25.5" x14ac:dyDescent="0.2">
      <c r="B945" s="323" t="s">
        <v>1213</v>
      </c>
      <c r="C945" s="206" t="s">
        <v>1214</v>
      </c>
      <c r="D945" s="303">
        <v>0</v>
      </c>
      <c r="E945" s="325">
        <f>SUM('ADICIONES  2021'!C945:N945)</f>
        <v>0</v>
      </c>
      <c r="F945" s="290"/>
      <c r="G945" s="290"/>
      <c r="H945" s="290"/>
      <c r="I945" s="290"/>
      <c r="J945" s="290"/>
      <c r="K945" s="281">
        <f t="shared" si="1058"/>
        <v>0</v>
      </c>
      <c r="L945" s="290">
        <v>0</v>
      </c>
      <c r="M945" s="290"/>
      <c r="N945" s="290">
        <v>274912587</v>
      </c>
      <c r="O945" s="290">
        <v>0</v>
      </c>
      <c r="P945" s="290"/>
      <c r="Q945" s="290"/>
      <c r="R945" s="281">
        <f t="shared" si="1115"/>
        <v>274912587</v>
      </c>
      <c r="S945" s="290">
        <v>0</v>
      </c>
      <c r="T945" s="290"/>
      <c r="U945" s="290">
        <v>-274912587</v>
      </c>
      <c r="V945" s="290">
        <v>0</v>
      </c>
      <c r="W945" s="290"/>
      <c r="X945" s="290"/>
      <c r="Y945" s="290"/>
      <c r="Z945" s="290"/>
      <c r="AA945" s="281">
        <f t="shared" si="1132"/>
        <v>-274912587</v>
      </c>
      <c r="AB945" s="403">
        <f t="shared" si="1104"/>
        <v>0</v>
      </c>
      <c r="AC945" s="326">
        <v>0</v>
      </c>
    </row>
    <row r="946" spans="1:29" ht="25.5" x14ac:dyDescent="0.2">
      <c r="B946" s="323" t="s">
        <v>1213</v>
      </c>
      <c r="C946" s="206" t="s">
        <v>1214</v>
      </c>
      <c r="D946" s="303"/>
      <c r="E946" s="325">
        <f>SUM('ADICIONES  2021'!C946:N946)</f>
        <v>274912587</v>
      </c>
      <c r="F946" s="290"/>
      <c r="G946" s="290"/>
      <c r="H946" s="290"/>
      <c r="I946" s="290"/>
      <c r="J946" s="290"/>
      <c r="K946" s="281">
        <f t="shared" si="1058"/>
        <v>274912587</v>
      </c>
      <c r="L946" s="290"/>
      <c r="M946" s="290"/>
      <c r="N946" s="290"/>
      <c r="O946" s="290">
        <v>0</v>
      </c>
      <c r="P946" s="290"/>
      <c r="Q946" s="290"/>
      <c r="R946" s="281">
        <f t="shared" si="1115"/>
        <v>0</v>
      </c>
      <c r="S946" s="290">
        <v>0</v>
      </c>
      <c r="T946" s="290">
        <v>5850000000</v>
      </c>
      <c r="U946" s="290">
        <v>274912587</v>
      </c>
      <c r="V946" s="290">
        <v>0</v>
      </c>
      <c r="W946" s="290"/>
      <c r="X946" s="290"/>
      <c r="Y946" s="290">
        <v>-5850000000</v>
      </c>
      <c r="Z946" s="290"/>
      <c r="AA946" s="281">
        <f t="shared" si="1132"/>
        <v>274912587</v>
      </c>
      <c r="AB946" s="403">
        <f t="shared" si="1104"/>
        <v>274912587</v>
      </c>
      <c r="AC946" s="326">
        <f t="shared" si="1105"/>
        <v>1</v>
      </c>
    </row>
    <row r="947" spans="1:29" ht="25.5" x14ac:dyDescent="0.2">
      <c r="B947" s="323" t="s">
        <v>1213</v>
      </c>
      <c r="C947" s="206" t="s">
        <v>1214</v>
      </c>
      <c r="D947" s="303"/>
      <c r="E947" s="325">
        <f>SUM('ADICIONES  2021'!C947:N947)</f>
        <v>5850000000</v>
      </c>
      <c r="F947" s="290"/>
      <c r="G947" s="290"/>
      <c r="H947" s="290"/>
      <c r="I947" s="290"/>
      <c r="J947" s="290"/>
      <c r="K947" s="281">
        <f t="shared" si="1058"/>
        <v>5850000000</v>
      </c>
      <c r="L947" s="290"/>
      <c r="M947" s="290"/>
      <c r="N947" s="290"/>
      <c r="O947" s="290"/>
      <c r="P947" s="290"/>
      <c r="Q947" s="290"/>
      <c r="R947" s="281">
        <f t="shared" si="1115"/>
        <v>0</v>
      </c>
      <c r="S947" s="290"/>
      <c r="T947" s="290"/>
      <c r="U947" s="290">
        <v>0</v>
      </c>
      <c r="V947" s="290">
        <v>0</v>
      </c>
      <c r="W947" s="290"/>
      <c r="X947" s="290"/>
      <c r="Y947" s="290">
        <v>5850000000</v>
      </c>
      <c r="Z947" s="290"/>
      <c r="AA947" s="281">
        <f t="shared" si="1132"/>
        <v>5850000000</v>
      </c>
      <c r="AB947" s="403">
        <f t="shared" si="1104"/>
        <v>5850000000</v>
      </c>
      <c r="AC947" s="326">
        <f t="shared" si="1105"/>
        <v>1</v>
      </c>
    </row>
    <row r="948" spans="1:29" ht="25.5" x14ac:dyDescent="0.2">
      <c r="B948" s="323" t="s">
        <v>1213</v>
      </c>
      <c r="C948" s="206" t="s">
        <v>1214</v>
      </c>
      <c r="D948" s="303"/>
      <c r="E948" s="325">
        <f>SUM('ADICIONES  2021'!C948:N948)</f>
        <v>199522700</v>
      </c>
      <c r="F948" s="290"/>
      <c r="G948" s="290"/>
      <c r="H948" s="290"/>
      <c r="I948" s="290"/>
      <c r="J948" s="290"/>
      <c r="K948" s="281">
        <f t="shared" si="1058"/>
        <v>199522700</v>
      </c>
      <c r="L948" s="290"/>
      <c r="M948" s="290"/>
      <c r="N948" s="290"/>
      <c r="O948" s="290"/>
      <c r="P948" s="290"/>
      <c r="Q948" s="290"/>
      <c r="R948" s="281">
        <f t="shared" si="1115"/>
        <v>0</v>
      </c>
      <c r="S948" s="290"/>
      <c r="T948" s="290"/>
      <c r="U948" s="290">
        <v>0</v>
      </c>
      <c r="V948" s="290">
        <v>199522700</v>
      </c>
      <c r="W948" s="290"/>
      <c r="X948" s="290"/>
      <c r="Y948" s="290"/>
      <c r="Z948" s="290"/>
      <c r="AA948" s="281">
        <f t="shared" si="1132"/>
        <v>199522700</v>
      </c>
      <c r="AB948" s="403">
        <f t="shared" si="1104"/>
        <v>199522700</v>
      </c>
      <c r="AC948" s="326">
        <f t="shared" si="1105"/>
        <v>1</v>
      </c>
    </row>
    <row r="949" spans="1:29" s="61" customFormat="1" ht="25.5" x14ac:dyDescent="0.2">
      <c r="A949" s="421"/>
      <c r="B949" s="318" t="s">
        <v>1215</v>
      </c>
      <c r="C949" s="319" t="s">
        <v>1059</v>
      </c>
      <c r="D949" s="292">
        <f>SUM(D950:D952)</f>
        <v>307499359</v>
      </c>
      <c r="E949" s="322">
        <f>SUM('ADICIONES  2021'!C949:N949)</f>
        <v>240166667</v>
      </c>
      <c r="F949" s="292">
        <f t="shared" ref="F949:J949" si="1133">SUM(F950:F952)</f>
        <v>0</v>
      </c>
      <c r="G949" s="292">
        <f t="shared" si="1133"/>
        <v>0</v>
      </c>
      <c r="H949" s="292">
        <f t="shared" si="1133"/>
        <v>0</v>
      </c>
      <c r="I949" s="292">
        <f t="shared" si="1133"/>
        <v>0</v>
      </c>
      <c r="J949" s="292">
        <f t="shared" si="1133"/>
        <v>0</v>
      </c>
      <c r="K949" s="276">
        <f t="shared" si="1058"/>
        <v>547666026</v>
      </c>
      <c r="L949" s="292">
        <f t="shared" ref="L949:Q949" si="1134">SUM(L950:L952)</f>
        <v>61536478</v>
      </c>
      <c r="M949" s="292">
        <f t="shared" si="1134"/>
        <v>0</v>
      </c>
      <c r="N949" s="292">
        <f t="shared" si="1134"/>
        <v>0</v>
      </c>
      <c r="O949" s="292">
        <f t="shared" si="1134"/>
        <v>0</v>
      </c>
      <c r="P949" s="292">
        <f t="shared" si="1134"/>
        <v>0</v>
      </c>
      <c r="Q949" s="292">
        <f t="shared" si="1134"/>
        <v>0</v>
      </c>
      <c r="R949" s="276">
        <f t="shared" si="1115"/>
        <v>61536478</v>
      </c>
      <c r="S949" s="292">
        <f t="shared" ref="S949:Z949" si="1135">SUM(S950:S952)</f>
        <v>268967521</v>
      </c>
      <c r="T949" s="292">
        <f t="shared" si="1135"/>
        <v>0</v>
      </c>
      <c r="U949" s="292">
        <f t="shared" si="1135"/>
        <v>0</v>
      </c>
      <c r="V949" s="292">
        <f t="shared" si="1135"/>
        <v>0</v>
      </c>
      <c r="W949" s="292">
        <f t="shared" si="1135"/>
        <v>0</v>
      </c>
      <c r="X949" s="292">
        <f t="shared" si="1135"/>
        <v>0</v>
      </c>
      <c r="Y949" s="292">
        <f t="shared" si="1135"/>
        <v>0</v>
      </c>
      <c r="Z949" s="292">
        <f t="shared" si="1135"/>
        <v>0</v>
      </c>
      <c r="AA949" s="276">
        <f t="shared" si="1116"/>
        <v>268967521</v>
      </c>
      <c r="AB949" s="402">
        <f t="shared" si="1104"/>
        <v>330503999</v>
      </c>
      <c r="AC949" s="321">
        <f t="shared" si="1105"/>
        <v>0.60347727138363705</v>
      </c>
    </row>
    <row r="950" spans="1:29" ht="25.5" x14ac:dyDescent="0.2">
      <c r="B950" s="323" t="s">
        <v>1216</v>
      </c>
      <c r="C950" s="206" t="s">
        <v>1060</v>
      </c>
      <c r="D950" s="303">
        <v>307499359</v>
      </c>
      <c r="E950" s="325">
        <f>SUM('ADICIONES  2021'!C950:N950)</f>
        <v>0</v>
      </c>
      <c r="F950" s="290"/>
      <c r="G950" s="290"/>
      <c r="H950" s="290"/>
      <c r="I950" s="290"/>
      <c r="J950" s="290"/>
      <c r="K950" s="281">
        <f t="shared" si="1058"/>
        <v>307499359</v>
      </c>
      <c r="L950" s="290">
        <v>61536478</v>
      </c>
      <c r="M950" s="290"/>
      <c r="N950" s="290">
        <v>0</v>
      </c>
      <c r="O950" s="290"/>
      <c r="P950" s="290"/>
      <c r="Q950" s="290"/>
      <c r="R950" s="281">
        <f t="shared" si="1115"/>
        <v>61536478</v>
      </c>
      <c r="S950" s="290">
        <v>268967521</v>
      </c>
      <c r="T950" s="290">
        <v>0</v>
      </c>
      <c r="U950" s="290">
        <v>-23004640</v>
      </c>
      <c r="V950" s="290"/>
      <c r="W950" s="290"/>
      <c r="X950" s="290"/>
      <c r="Y950" s="290"/>
      <c r="Z950" s="290"/>
      <c r="AA950" s="281">
        <f t="shared" si="1116"/>
        <v>245962881</v>
      </c>
      <c r="AB950" s="403">
        <f t="shared" si="1104"/>
        <v>307499359</v>
      </c>
      <c r="AC950" s="326">
        <f t="shared" si="1105"/>
        <v>1</v>
      </c>
    </row>
    <row r="951" spans="1:29" ht="25.5" x14ac:dyDescent="0.2">
      <c r="B951" s="323" t="s">
        <v>1216</v>
      </c>
      <c r="C951" s="206" t="s">
        <v>1060</v>
      </c>
      <c r="D951" s="303"/>
      <c r="E951" s="325">
        <f>SUM('ADICIONES  2021'!C951:N951)</f>
        <v>66666667</v>
      </c>
      <c r="F951" s="290"/>
      <c r="G951" s="290"/>
      <c r="H951" s="290"/>
      <c r="I951" s="290"/>
      <c r="J951" s="290"/>
      <c r="K951" s="281">
        <f t="shared" si="1058"/>
        <v>66666667</v>
      </c>
      <c r="L951" s="290"/>
      <c r="M951" s="290"/>
      <c r="N951" s="290"/>
      <c r="O951" s="290"/>
      <c r="P951" s="290"/>
      <c r="Q951" s="290"/>
      <c r="R951" s="281">
        <f t="shared" si="1115"/>
        <v>0</v>
      </c>
      <c r="S951" s="290"/>
      <c r="T951" s="290"/>
      <c r="U951" s="290"/>
      <c r="V951" s="290"/>
      <c r="W951" s="290"/>
      <c r="X951" s="290"/>
      <c r="Y951" s="290"/>
      <c r="Z951" s="290"/>
      <c r="AA951" s="281">
        <f t="shared" ref="AA951" si="1136">SUM(S951:Z951)</f>
        <v>0</v>
      </c>
      <c r="AB951" s="403">
        <f t="shared" ref="AB951" si="1137">+R951+AA951</f>
        <v>0</v>
      </c>
      <c r="AC951" s="326">
        <f t="shared" ref="AC951" si="1138">+AB951/K951</f>
        <v>0</v>
      </c>
    </row>
    <row r="952" spans="1:29" ht="25.5" x14ac:dyDescent="0.2">
      <c r="B952" s="323" t="s">
        <v>1216</v>
      </c>
      <c r="C952" s="206" t="s">
        <v>1060</v>
      </c>
      <c r="D952" s="303"/>
      <c r="E952" s="325">
        <f>SUM('ADICIONES  2021'!C952:N952)</f>
        <v>173500000</v>
      </c>
      <c r="F952" s="290"/>
      <c r="G952" s="290"/>
      <c r="H952" s="290"/>
      <c r="I952" s="290"/>
      <c r="J952" s="290"/>
      <c r="K952" s="281">
        <f t="shared" si="1058"/>
        <v>173500000</v>
      </c>
      <c r="L952" s="290"/>
      <c r="M952" s="290"/>
      <c r="N952" s="290"/>
      <c r="O952" s="290"/>
      <c r="P952" s="290"/>
      <c r="Q952" s="290"/>
      <c r="R952" s="281">
        <f t="shared" si="1115"/>
        <v>0</v>
      </c>
      <c r="S952" s="290"/>
      <c r="T952" s="290"/>
      <c r="U952" s="290">
        <v>23004640</v>
      </c>
      <c r="V952" s="290"/>
      <c r="W952" s="290"/>
      <c r="X952" s="290"/>
      <c r="Y952" s="290"/>
      <c r="Z952" s="290"/>
      <c r="AA952" s="281">
        <f t="shared" ref="AA952" si="1139">SUM(S952:Z952)</f>
        <v>23004640</v>
      </c>
      <c r="AB952" s="403">
        <f t="shared" si="1104"/>
        <v>23004640</v>
      </c>
      <c r="AC952" s="326">
        <f t="shared" si="1105"/>
        <v>0.13259158501440924</v>
      </c>
    </row>
    <row r="953" spans="1:29" s="61" customFormat="1" ht="15.75" x14ac:dyDescent="0.2">
      <c r="A953" s="421"/>
      <c r="B953" s="318" t="s">
        <v>635</v>
      </c>
      <c r="C953" s="319" t="s">
        <v>1049</v>
      </c>
      <c r="D953" s="292">
        <f>+D954+D972</f>
        <v>34642275000</v>
      </c>
      <c r="E953" s="322">
        <f>SUM('ADICIONES  2021'!C953:N953)</f>
        <v>12134879964</v>
      </c>
      <c r="F953" s="292">
        <f t="shared" ref="F953:J953" si="1140">+F954+F972</f>
        <v>0</v>
      </c>
      <c r="G953" s="292">
        <f t="shared" si="1140"/>
        <v>4689016590.2200003</v>
      </c>
      <c r="H953" s="292">
        <f t="shared" si="1140"/>
        <v>350000000</v>
      </c>
      <c r="I953" s="292">
        <f t="shared" si="1140"/>
        <v>0</v>
      </c>
      <c r="J953" s="292">
        <f t="shared" si="1140"/>
        <v>0</v>
      </c>
      <c r="K953" s="276">
        <f t="shared" si="1058"/>
        <v>51116171554.220001</v>
      </c>
      <c r="L953" s="292">
        <f t="shared" ref="L953:Q953" si="1141">+L954+L972</f>
        <v>3988252929.8992</v>
      </c>
      <c r="M953" s="292">
        <f t="shared" si="1141"/>
        <v>1435424547.1784</v>
      </c>
      <c r="N953" s="292">
        <f t="shared" si="1141"/>
        <v>2280922055.9661999</v>
      </c>
      <c r="O953" s="292">
        <f t="shared" si="1141"/>
        <v>5926967505.5716</v>
      </c>
      <c r="P953" s="292">
        <f t="shared" si="1141"/>
        <v>960190429.14479995</v>
      </c>
      <c r="Q953" s="292">
        <f t="shared" si="1141"/>
        <v>2805968502.5432</v>
      </c>
      <c r="R953" s="276">
        <f t="shared" si="1115"/>
        <v>17397725970.303402</v>
      </c>
      <c r="S953" s="292">
        <f t="shared" ref="S953:Z953" si="1142">+S954+S972</f>
        <v>4672527353.6308002</v>
      </c>
      <c r="T953" s="292">
        <f t="shared" si="1142"/>
        <v>3952543361.7472</v>
      </c>
      <c r="U953" s="292">
        <f t="shared" si="1142"/>
        <v>6543574820.9420004</v>
      </c>
      <c r="V953" s="292">
        <f t="shared" si="1142"/>
        <v>2409071494.6464</v>
      </c>
      <c r="W953" s="292">
        <f t="shared" si="1142"/>
        <v>6119493074.8568001</v>
      </c>
      <c r="X953" s="292">
        <f t="shared" si="1142"/>
        <v>9986886662.4244003</v>
      </c>
      <c r="Y953" s="292">
        <f t="shared" si="1142"/>
        <v>1713627053.2707992</v>
      </c>
      <c r="Z953" s="292">
        <f t="shared" si="1142"/>
        <v>0</v>
      </c>
      <c r="AA953" s="276">
        <f t="shared" si="1116"/>
        <v>35397723821.518402</v>
      </c>
      <c r="AB953" s="402">
        <f t="shared" si="1104"/>
        <v>52795449791.821808</v>
      </c>
      <c r="AC953" s="321">
        <f t="shared" si="1105"/>
        <v>1.0328521911274313</v>
      </c>
    </row>
    <row r="954" spans="1:29" s="61" customFormat="1" ht="25.5" x14ac:dyDescent="0.2">
      <c r="A954" s="421">
        <v>1</v>
      </c>
      <c r="B954" s="318" t="s">
        <v>637</v>
      </c>
      <c r="C954" s="319" t="s">
        <v>1050</v>
      </c>
      <c r="D954" s="292">
        <f>+D955+D970+D971</f>
        <v>34642275000</v>
      </c>
      <c r="E954" s="322">
        <f>SUM('ADICIONES  2021'!C954:N954)</f>
        <v>10051000000</v>
      </c>
      <c r="F954" s="292">
        <f t="shared" ref="F954:J954" si="1143">+F955+F970+F971</f>
        <v>0</v>
      </c>
      <c r="G954" s="292">
        <f t="shared" si="1143"/>
        <v>4689016590.2200003</v>
      </c>
      <c r="H954" s="292">
        <f t="shared" si="1143"/>
        <v>350000000</v>
      </c>
      <c r="I954" s="292">
        <f t="shared" si="1143"/>
        <v>0</v>
      </c>
      <c r="J954" s="292">
        <f t="shared" si="1143"/>
        <v>0</v>
      </c>
      <c r="K954" s="276">
        <f t="shared" si="1058"/>
        <v>49032291590.220001</v>
      </c>
      <c r="L954" s="292">
        <f t="shared" ref="L954:Q954" si="1144">+L955+L970+L971</f>
        <v>3988252929.8992</v>
      </c>
      <c r="M954" s="292">
        <f t="shared" si="1144"/>
        <v>1435424547.1784</v>
      </c>
      <c r="N954" s="292">
        <f t="shared" si="1144"/>
        <v>2280922055.9661999</v>
      </c>
      <c r="O954" s="292">
        <f t="shared" si="1144"/>
        <v>5926967505.5716</v>
      </c>
      <c r="P954" s="292">
        <f t="shared" si="1144"/>
        <v>960190429.14479995</v>
      </c>
      <c r="Q954" s="292">
        <f t="shared" si="1144"/>
        <v>2805968502.5432</v>
      </c>
      <c r="R954" s="276">
        <f t="shared" si="1115"/>
        <v>17397725970.303402</v>
      </c>
      <c r="S954" s="292">
        <f t="shared" ref="S954:Z954" si="1145">+S955+S970+S971</f>
        <v>4672527353.6308002</v>
      </c>
      <c r="T954" s="292">
        <f t="shared" si="1145"/>
        <v>3952543361.7472</v>
      </c>
      <c r="U954" s="292">
        <f t="shared" si="1145"/>
        <v>6543574820.9420004</v>
      </c>
      <c r="V954" s="292">
        <f t="shared" si="1145"/>
        <v>2409071494.6464</v>
      </c>
      <c r="W954" s="292">
        <f t="shared" si="1145"/>
        <v>6119493074.8568001</v>
      </c>
      <c r="X954" s="292">
        <f t="shared" si="1145"/>
        <v>7903006698.4243994</v>
      </c>
      <c r="Y954" s="292">
        <f t="shared" si="1145"/>
        <v>1713627053.2707992</v>
      </c>
      <c r="Z954" s="292">
        <f t="shared" si="1145"/>
        <v>0</v>
      </c>
      <c r="AA954" s="276">
        <f t="shared" si="1116"/>
        <v>33313843857.518398</v>
      </c>
      <c r="AB954" s="402">
        <f t="shared" si="1104"/>
        <v>50711569827.8218</v>
      </c>
      <c r="AC954" s="321">
        <f t="shared" si="1105"/>
        <v>1.0342484143232813</v>
      </c>
    </row>
    <row r="955" spans="1:29" s="61" customFormat="1" ht="15.75" x14ac:dyDescent="0.2">
      <c r="A955" s="421"/>
      <c r="B955" s="318" t="s">
        <v>1051</v>
      </c>
      <c r="C955" s="319" t="s">
        <v>973</v>
      </c>
      <c r="D955" s="292">
        <f>SUM(D956:D969)</f>
        <v>33841475000</v>
      </c>
      <c r="E955" s="322">
        <f>SUM('ADICIONES  2021'!C955:N955)</f>
        <v>10051000000</v>
      </c>
      <c r="F955" s="292">
        <f t="shared" ref="F955:J955" si="1146">SUM(F956:F969)</f>
        <v>0</v>
      </c>
      <c r="G955" s="292">
        <f t="shared" si="1146"/>
        <v>4429016590.2200003</v>
      </c>
      <c r="H955" s="292">
        <f t="shared" si="1146"/>
        <v>350000000</v>
      </c>
      <c r="I955" s="292">
        <f t="shared" si="1146"/>
        <v>0</v>
      </c>
      <c r="J955" s="292">
        <f t="shared" si="1146"/>
        <v>0</v>
      </c>
      <c r="K955" s="276">
        <f t="shared" si="1058"/>
        <v>47971491590.220001</v>
      </c>
      <c r="L955" s="292">
        <f t="shared" ref="L955:Q955" si="1147">SUM(L956:L969)</f>
        <v>3891772526.6799998</v>
      </c>
      <c r="M955" s="292">
        <f t="shared" si="1147"/>
        <v>1351207076.2408001</v>
      </c>
      <c r="N955" s="292">
        <f t="shared" si="1147"/>
        <v>2214813338.0910001</v>
      </c>
      <c r="O955" s="292">
        <f t="shared" si="1147"/>
        <v>5857273439.5299997</v>
      </c>
      <c r="P955" s="292">
        <f t="shared" si="1147"/>
        <v>888308654.38</v>
      </c>
      <c r="Q955" s="292">
        <f t="shared" si="1147"/>
        <v>2739134612.2199998</v>
      </c>
      <c r="R955" s="276">
        <f t="shared" si="1115"/>
        <v>16942509647.1418</v>
      </c>
      <c r="S955" s="292">
        <f t="shared" ref="S955:Z955" si="1148">SUM(S956:S969)</f>
        <v>4611729996.21</v>
      </c>
      <c r="T955" s="292">
        <f t="shared" si="1148"/>
        <v>3890027000.6399999</v>
      </c>
      <c r="U955" s="292">
        <f t="shared" si="1148"/>
        <v>6463192086.5100002</v>
      </c>
      <c r="V955" s="292">
        <f t="shared" si="1148"/>
        <v>2333447780.0799999</v>
      </c>
      <c r="W955" s="292">
        <f t="shared" si="1148"/>
        <v>6036248556.6999998</v>
      </c>
      <c r="X955" s="292">
        <f t="shared" si="1148"/>
        <v>7819772052.5299997</v>
      </c>
      <c r="Y955" s="292">
        <f t="shared" si="1148"/>
        <v>1553842708.009999</v>
      </c>
      <c r="Z955" s="292">
        <f t="shared" si="1148"/>
        <v>0</v>
      </c>
      <c r="AA955" s="276">
        <f t="shared" si="1116"/>
        <v>32708260180.68</v>
      </c>
      <c r="AB955" s="402">
        <f t="shared" si="1104"/>
        <v>49650769827.8218</v>
      </c>
      <c r="AC955" s="321">
        <f t="shared" si="1105"/>
        <v>1.0350057540829969</v>
      </c>
    </row>
    <row r="956" spans="1:29" ht="38.25" x14ac:dyDescent="0.2">
      <c r="B956" s="323" t="s">
        <v>1052</v>
      </c>
      <c r="C956" s="206" t="s">
        <v>378</v>
      </c>
      <c r="D956" s="303">
        <v>2000000000</v>
      </c>
      <c r="E956" s="325">
        <f>SUM('ADICIONES  2021'!C956:N956)</f>
        <v>0</v>
      </c>
      <c r="F956" s="290"/>
      <c r="G956" s="290"/>
      <c r="H956" s="290"/>
      <c r="I956" s="290"/>
      <c r="J956" s="290"/>
      <c r="K956" s="281">
        <f t="shared" si="1058"/>
        <v>2000000000</v>
      </c>
      <c r="L956" s="290">
        <v>0</v>
      </c>
      <c r="M956" s="290">
        <v>0</v>
      </c>
      <c r="N956" s="290">
        <v>0</v>
      </c>
      <c r="O956" s="290">
        <v>0</v>
      </c>
      <c r="P956" s="290">
        <v>0</v>
      </c>
      <c r="Q956" s="290">
        <v>0</v>
      </c>
      <c r="R956" s="281">
        <f t="shared" si="1115"/>
        <v>0</v>
      </c>
      <c r="S956" s="290">
        <v>7033.94</v>
      </c>
      <c r="T956" s="290"/>
      <c r="U956" s="290">
        <v>0</v>
      </c>
      <c r="V956" s="290"/>
      <c r="W956" s="290">
        <v>4831.1099999999997</v>
      </c>
      <c r="X956" s="290">
        <v>0</v>
      </c>
      <c r="Y956" s="290"/>
      <c r="Z956" s="290"/>
      <c r="AA956" s="281">
        <f t="shared" si="1116"/>
        <v>11865.05</v>
      </c>
      <c r="AB956" s="403">
        <f t="shared" si="1104"/>
        <v>11865.05</v>
      </c>
      <c r="AC956" s="326">
        <f t="shared" si="1105"/>
        <v>5.9325249999999996E-6</v>
      </c>
    </row>
    <row r="957" spans="1:29" ht="38.25" x14ac:dyDescent="0.2">
      <c r="B957" s="323" t="s">
        <v>1052</v>
      </c>
      <c r="C957" s="206" t="s">
        <v>378</v>
      </c>
      <c r="D957" s="303">
        <v>24000000000</v>
      </c>
      <c r="E957" s="325">
        <f>SUM('ADICIONES  2021'!C957:N957)</f>
        <v>0</v>
      </c>
      <c r="F957" s="290"/>
      <c r="G957" s="290"/>
      <c r="H957" s="290"/>
      <c r="I957" s="290"/>
      <c r="J957" s="290"/>
      <c r="K957" s="281">
        <f t="shared" si="1058"/>
        <v>24000000000</v>
      </c>
      <c r="L957" s="290">
        <v>2967361318</v>
      </c>
      <c r="M957" s="290">
        <v>630051962</v>
      </c>
      <c r="N957" s="290">
        <v>1475057266</v>
      </c>
      <c r="O957" s="290">
        <v>5289121912</v>
      </c>
      <c r="P957" s="290">
        <v>250256151</v>
      </c>
      <c r="Q957" s="290">
        <v>2112266333</v>
      </c>
      <c r="R957" s="281">
        <f t="shared" si="1115"/>
        <v>12724114942</v>
      </c>
      <c r="S957" s="290">
        <v>3894276917.27</v>
      </c>
      <c r="T957" s="290">
        <v>3349425642.9400001</v>
      </c>
      <c r="U957" s="290">
        <v>4032182497.79</v>
      </c>
      <c r="V957" s="290"/>
      <c r="W957" s="290">
        <v>5130271354.3400002</v>
      </c>
      <c r="X957" s="290">
        <v>0</v>
      </c>
      <c r="Y957" s="290">
        <v>-5130271354.3400002</v>
      </c>
      <c r="Z957" s="290"/>
      <c r="AA957" s="281">
        <f t="shared" ref="AA957:AA970" si="1149">SUM(S957:Z957)</f>
        <v>11275885058</v>
      </c>
      <c r="AB957" s="403">
        <f t="shared" si="1104"/>
        <v>24000000000</v>
      </c>
      <c r="AC957" s="326">
        <f t="shared" si="1105"/>
        <v>1</v>
      </c>
    </row>
    <row r="958" spans="1:29" ht="38.25" x14ac:dyDescent="0.2">
      <c r="B958" s="323" t="s">
        <v>1052</v>
      </c>
      <c r="C958" s="206" t="s">
        <v>378</v>
      </c>
      <c r="D958" s="303"/>
      <c r="E958" s="325">
        <f>SUM('ADICIONES  2021'!C958:N958)</f>
        <v>6351000000</v>
      </c>
      <c r="F958" s="290"/>
      <c r="G958" s="290"/>
      <c r="H958" s="290"/>
      <c r="I958" s="290"/>
      <c r="J958" s="290"/>
      <c r="K958" s="281">
        <f t="shared" si="1058"/>
        <v>6351000000</v>
      </c>
      <c r="L958" s="290"/>
      <c r="M958" s="290"/>
      <c r="N958" s="290"/>
      <c r="O958" s="290"/>
      <c r="P958" s="290"/>
      <c r="Q958" s="290"/>
      <c r="R958" s="281">
        <f t="shared" si="1115"/>
        <v>0</v>
      </c>
      <c r="S958" s="290"/>
      <c r="T958" s="290"/>
      <c r="U958" s="290"/>
      <c r="V958" s="290"/>
      <c r="W958" s="290"/>
      <c r="X958" s="290">
        <v>3973053591</v>
      </c>
      <c r="Y958" s="290">
        <v>6057212781.5499992</v>
      </c>
      <c r="Z958" s="290"/>
      <c r="AA958" s="281">
        <f t="shared" si="1149"/>
        <v>10030266372.549999</v>
      </c>
      <c r="AB958" s="403">
        <f t="shared" si="1104"/>
        <v>10030266372.549999</v>
      </c>
      <c r="AC958" s="326">
        <f t="shared" si="1105"/>
        <v>1.5793207955518815</v>
      </c>
    </row>
    <row r="959" spans="1:29" ht="38.25" x14ac:dyDescent="0.2">
      <c r="B959" s="323" t="s">
        <v>1052</v>
      </c>
      <c r="C959" s="206" t="s">
        <v>378</v>
      </c>
      <c r="D959" s="303"/>
      <c r="E959" s="325">
        <f>SUM('ADICIONES  2021'!C959:N959)</f>
        <v>2200000000</v>
      </c>
      <c r="F959" s="290"/>
      <c r="G959" s="290"/>
      <c r="H959" s="290"/>
      <c r="I959" s="290"/>
      <c r="J959" s="290"/>
      <c r="K959" s="281">
        <f t="shared" si="1058"/>
        <v>2200000000</v>
      </c>
      <c r="L959" s="290"/>
      <c r="M959" s="290"/>
      <c r="N959" s="290"/>
      <c r="O959" s="290"/>
      <c r="P959" s="290"/>
      <c r="Q959" s="290"/>
      <c r="R959" s="281">
        <f t="shared" si="1115"/>
        <v>0</v>
      </c>
      <c r="S959" s="290"/>
      <c r="T959" s="290"/>
      <c r="U959" s="290">
        <v>1481826294.21</v>
      </c>
      <c r="V959" s="290">
        <v>1645115133</v>
      </c>
      <c r="W959" s="290"/>
      <c r="X959" s="290">
        <v>0</v>
      </c>
      <c r="Y959" s="290">
        <v>-926941427.21000004</v>
      </c>
      <c r="Z959" s="290"/>
      <c r="AA959" s="281">
        <f t="shared" si="1149"/>
        <v>2200000000</v>
      </c>
      <c r="AB959" s="403">
        <f t="shared" si="1104"/>
        <v>2200000000</v>
      </c>
      <c r="AC959" s="326">
        <f t="shared" si="1105"/>
        <v>1</v>
      </c>
    </row>
    <row r="960" spans="1:29" ht="38.25" x14ac:dyDescent="0.2">
      <c r="B960" s="323" t="s">
        <v>1053</v>
      </c>
      <c r="C960" s="206" t="s">
        <v>1823</v>
      </c>
      <c r="D960" s="303"/>
      <c r="E960" s="325">
        <f>SUM('ADICIONES  2021'!C960:N960)</f>
        <v>0</v>
      </c>
      <c r="F960" s="290"/>
      <c r="G960" s="290">
        <v>2500000000</v>
      </c>
      <c r="H960" s="290"/>
      <c r="I960" s="290"/>
      <c r="J960" s="290"/>
      <c r="K960" s="281">
        <f t="shared" si="1058"/>
        <v>2500000000</v>
      </c>
      <c r="L960" s="290"/>
      <c r="M960" s="290"/>
      <c r="N960" s="290"/>
      <c r="O960" s="290"/>
      <c r="P960" s="290">
        <v>0</v>
      </c>
      <c r="Q960" s="290">
        <v>0</v>
      </c>
      <c r="R960" s="281">
        <f t="shared" si="1115"/>
        <v>0</v>
      </c>
      <c r="S960" s="290">
        <v>0</v>
      </c>
      <c r="T960" s="290"/>
      <c r="U960" s="290"/>
      <c r="V960" s="290"/>
      <c r="W960" s="290"/>
      <c r="X960" s="290">
        <v>2500000000</v>
      </c>
      <c r="Y960" s="290"/>
      <c r="Z960" s="290"/>
      <c r="AA960" s="281">
        <f t="shared" si="1149"/>
        <v>2500000000</v>
      </c>
      <c r="AB960" s="403">
        <f t="shared" si="1104"/>
        <v>2500000000</v>
      </c>
      <c r="AC960" s="326">
        <f t="shared" si="1105"/>
        <v>1</v>
      </c>
    </row>
    <row r="961" spans="1:29" ht="38.25" x14ac:dyDescent="0.2">
      <c r="B961" s="323" t="s">
        <v>1053</v>
      </c>
      <c r="C961" s="206" t="s">
        <v>1823</v>
      </c>
      <c r="D961" s="303"/>
      <c r="E961" s="325">
        <f>SUM('ADICIONES  2021'!C961:N961)</f>
        <v>0</v>
      </c>
      <c r="F961" s="290"/>
      <c r="G961" s="290">
        <v>242000000</v>
      </c>
      <c r="H961" s="290"/>
      <c r="I961" s="290"/>
      <c r="J961" s="290"/>
      <c r="K961" s="281">
        <f t="shared" si="1058"/>
        <v>242000000</v>
      </c>
      <c r="L961" s="290"/>
      <c r="M961" s="290"/>
      <c r="N961" s="290"/>
      <c r="O961" s="290"/>
      <c r="P961" s="290"/>
      <c r="Q961" s="290"/>
      <c r="R961" s="281">
        <f t="shared" si="1115"/>
        <v>0</v>
      </c>
      <c r="S961" s="290"/>
      <c r="T961" s="290"/>
      <c r="U961" s="290"/>
      <c r="V961" s="290"/>
      <c r="W961" s="290"/>
      <c r="X961" s="290">
        <v>242000000</v>
      </c>
      <c r="Y961" s="290"/>
      <c r="Z961" s="290"/>
      <c r="AA961" s="281">
        <f t="shared" si="1149"/>
        <v>242000000</v>
      </c>
      <c r="AB961" s="403">
        <f t="shared" si="1104"/>
        <v>242000000</v>
      </c>
      <c r="AC961" s="326">
        <f t="shared" si="1105"/>
        <v>1</v>
      </c>
    </row>
    <row r="962" spans="1:29" ht="38.25" x14ac:dyDescent="0.2">
      <c r="B962" s="323" t="s">
        <v>1053</v>
      </c>
      <c r="C962" s="206" t="s">
        <v>1823</v>
      </c>
      <c r="D962" s="303"/>
      <c r="E962" s="325">
        <f>SUM('ADICIONES  2021'!C962:N962)</f>
        <v>0</v>
      </c>
      <c r="F962" s="290"/>
      <c r="G962" s="290">
        <v>58000000</v>
      </c>
      <c r="H962" s="290"/>
      <c r="I962" s="290"/>
      <c r="J962" s="290"/>
      <c r="K962" s="281">
        <f t="shared" si="1058"/>
        <v>58000000</v>
      </c>
      <c r="L962" s="290"/>
      <c r="M962" s="290"/>
      <c r="N962" s="290"/>
      <c r="O962" s="290"/>
      <c r="P962" s="290"/>
      <c r="Q962" s="290"/>
      <c r="R962" s="281">
        <f t="shared" si="1115"/>
        <v>0</v>
      </c>
      <c r="S962" s="290"/>
      <c r="T962" s="290"/>
      <c r="U962" s="290"/>
      <c r="V962" s="290"/>
      <c r="W962" s="290"/>
      <c r="X962" s="290">
        <v>58000000</v>
      </c>
      <c r="Y962" s="290"/>
      <c r="Z962" s="290"/>
      <c r="AA962" s="281">
        <f t="shared" si="1149"/>
        <v>58000000</v>
      </c>
      <c r="AB962" s="403">
        <f t="shared" si="1104"/>
        <v>58000000</v>
      </c>
      <c r="AC962" s="326">
        <f t="shared" si="1105"/>
        <v>1</v>
      </c>
    </row>
    <row r="963" spans="1:29" ht="38.25" x14ac:dyDescent="0.2">
      <c r="B963" s="323" t="s">
        <v>1053</v>
      </c>
      <c r="C963" s="206" t="s">
        <v>1054</v>
      </c>
      <c r="D963" s="303"/>
      <c r="E963" s="325">
        <f>SUM('ADICIONES  2021'!C963:N963)</f>
        <v>0</v>
      </c>
      <c r="F963" s="290"/>
      <c r="G963" s="290">
        <v>329206267</v>
      </c>
      <c r="H963" s="290"/>
      <c r="I963" s="290"/>
      <c r="J963" s="290"/>
      <c r="K963" s="281">
        <f t="shared" si="1058"/>
        <v>329206267</v>
      </c>
      <c r="L963" s="290"/>
      <c r="M963" s="290"/>
      <c r="N963" s="290"/>
      <c r="O963" s="290"/>
      <c r="P963" s="290"/>
      <c r="Q963" s="290"/>
      <c r="R963" s="281">
        <f t="shared" si="1115"/>
        <v>0</v>
      </c>
      <c r="S963" s="290"/>
      <c r="T963" s="290"/>
      <c r="U963" s="290"/>
      <c r="V963" s="290"/>
      <c r="W963" s="290"/>
      <c r="X963" s="290">
        <v>329206267</v>
      </c>
      <c r="Y963" s="290"/>
      <c r="Z963" s="290"/>
      <c r="AA963" s="281">
        <f t="shared" ref="AA963" si="1150">SUM(S963:Z963)</f>
        <v>329206267</v>
      </c>
      <c r="AB963" s="403">
        <f t="shared" ref="AB963" si="1151">+R963+AA963</f>
        <v>329206267</v>
      </c>
      <c r="AC963" s="326">
        <f t="shared" ref="AC963" si="1152">+AB963/K963</f>
        <v>1</v>
      </c>
    </row>
    <row r="964" spans="1:29" ht="38.25" x14ac:dyDescent="0.2">
      <c r="B964" s="323" t="s">
        <v>1053</v>
      </c>
      <c r="C964" s="206" t="s">
        <v>1207</v>
      </c>
      <c r="D964" s="303">
        <v>1341475000</v>
      </c>
      <c r="E964" s="325">
        <f>SUM('ADICIONES  2021'!C964:N964)</f>
        <v>0</v>
      </c>
      <c r="F964" s="290"/>
      <c r="G964" s="290"/>
      <c r="H964" s="290"/>
      <c r="I964" s="290"/>
      <c r="J964" s="290"/>
      <c r="K964" s="281">
        <f t="shared" si="1058"/>
        <v>1341475000</v>
      </c>
      <c r="L964" s="290">
        <f>1211239200*11.665%</f>
        <v>141291052.67999998</v>
      </c>
      <c r="M964" s="290">
        <f>322089552*11.665%</f>
        <v>37571746.240799993</v>
      </c>
      <c r="N964" s="290">
        <f>1741614540*11.665%</f>
        <v>203159336.09099999</v>
      </c>
      <c r="O964" s="290">
        <f>21028200*11.665%</f>
        <v>2452939.5299999998</v>
      </c>
      <c r="P964" s="290">
        <f>468037200*11.665%</f>
        <v>54596539.379999995</v>
      </c>
      <c r="Q964" s="290">
        <f>723406800*11.665%</f>
        <v>84385403.219999999</v>
      </c>
      <c r="R964" s="281">
        <f t="shared" si="1115"/>
        <v>523457017.14179993</v>
      </c>
      <c r="S964" s="290">
        <f>1919940000*11.665%</f>
        <v>223961000.99999997</v>
      </c>
      <c r="T964" s="290">
        <f>284298000*11.665%</f>
        <v>33163361.699999996</v>
      </c>
      <c r="U964" s="290">
        <f>2543729400*11.665%</f>
        <v>296726034.50999999</v>
      </c>
      <c r="V964" s="290">
        <f>638695200*11.665%</f>
        <v>74503795.079999998</v>
      </c>
      <c r="W964" s="290">
        <f>1974165000*11.665%</f>
        <v>230286347.24999997</v>
      </c>
      <c r="X964" s="290">
        <f>359248200*11.665%</f>
        <v>41906302.529999994</v>
      </c>
      <c r="Y964" s="290">
        <v>-82528859.209999993</v>
      </c>
      <c r="Z964" s="290"/>
      <c r="AA964" s="281">
        <f t="shared" si="1149"/>
        <v>818017982.8599999</v>
      </c>
      <c r="AB964" s="403">
        <f t="shared" si="1104"/>
        <v>1341475000.0017998</v>
      </c>
      <c r="AC964" s="326">
        <f t="shared" si="1105"/>
        <v>1.0000000000013416</v>
      </c>
    </row>
    <row r="965" spans="1:29" ht="38.25" x14ac:dyDescent="0.2">
      <c r="B965" s="323" t="s">
        <v>1053</v>
      </c>
      <c r="C965" s="206" t="s">
        <v>1824</v>
      </c>
      <c r="D965" s="303">
        <v>6500000000</v>
      </c>
      <c r="E965" s="325">
        <f>SUM('ADICIONES  2021'!C965:N965)</f>
        <v>0</v>
      </c>
      <c r="F965" s="290"/>
      <c r="G965" s="290"/>
      <c r="H965" s="290">
        <v>350000000</v>
      </c>
      <c r="I965" s="290"/>
      <c r="J965" s="290"/>
      <c r="K965" s="281">
        <f t="shared" si="1058"/>
        <v>6150000000</v>
      </c>
      <c r="L965" s="290">
        <f>15060003000*5.2%</f>
        <v>783120156.00000012</v>
      </c>
      <c r="M965" s="290">
        <f>13145834000*5.2%</f>
        <v>683583368.00000012</v>
      </c>
      <c r="N965" s="290">
        <f>10319168000*5.2%</f>
        <v>536596736.00000006</v>
      </c>
      <c r="O965" s="290">
        <f>10878819000*5.2%</f>
        <v>565698588</v>
      </c>
      <c r="P965" s="290">
        <f>11220307000*5.2%</f>
        <v>583455964</v>
      </c>
      <c r="Q965" s="290">
        <f>10432363000*5.2%</f>
        <v>542482876</v>
      </c>
      <c r="R965" s="281">
        <f t="shared" si="1115"/>
        <v>3694937688</v>
      </c>
      <c r="S965" s="290">
        <f>9490097000*5.2%</f>
        <v>493485044.00000006</v>
      </c>
      <c r="T965" s="290">
        <f>9758423000*5.2%</f>
        <v>507437996.00000006</v>
      </c>
      <c r="U965" s="290">
        <f>12547255000*5.2%</f>
        <v>652457260</v>
      </c>
      <c r="V965" s="290">
        <f>11804401000*5.2%</f>
        <v>613828852</v>
      </c>
      <c r="W965" s="290">
        <f>12993962000*5.2%</f>
        <v>675686024</v>
      </c>
      <c r="X965" s="290">
        <f>12992421000*5.2%</f>
        <v>675605892</v>
      </c>
      <c r="Y965" s="290">
        <v>-1163438756</v>
      </c>
      <c r="Z965" s="290"/>
      <c r="AA965" s="281">
        <f t="shared" si="1149"/>
        <v>2455062312</v>
      </c>
      <c r="AB965" s="403">
        <f t="shared" si="1104"/>
        <v>6150000000</v>
      </c>
      <c r="AC965" s="326">
        <f t="shared" si="1105"/>
        <v>1</v>
      </c>
    </row>
    <row r="966" spans="1:29" ht="38.25" x14ac:dyDescent="0.2">
      <c r="B966" s="323" t="s">
        <v>1053</v>
      </c>
      <c r="C966" s="206" t="s">
        <v>1824</v>
      </c>
      <c r="D966" s="303"/>
      <c r="E966" s="325">
        <f>SUM('ADICIONES  2021'!C966:N966)</f>
        <v>0</v>
      </c>
      <c r="F966" s="290"/>
      <c r="G966" s="290">
        <v>672676484</v>
      </c>
      <c r="H966" s="290"/>
      <c r="I966" s="290"/>
      <c r="J966" s="290"/>
      <c r="K966" s="281">
        <f t="shared" si="1058"/>
        <v>672676484</v>
      </c>
      <c r="L966" s="290"/>
      <c r="M966" s="290"/>
      <c r="N966" s="290"/>
      <c r="O966" s="290"/>
      <c r="P966" s="290"/>
      <c r="Q966" s="290"/>
      <c r="R966" s="281">
        <f t="shared" si="1115"/>
        <v>0</v>
      </c>
      <c r="S966" s="290"/>
      <c r="T966" s="290"/>
      <c r="U966" s="290"/>
      <c r="V966" s="290"/>
      <c r="W966" s="290"/>
      <c r="X966" s="290"/>
      <c r="Y966" s="290">
        <v>672676484</v>
      </c>
      <c r="Z966" s="290"/>
      <c r="AA966" s="281">
        <f t="shared" si="1149"/>
        <v>672676484</v>
      </c>
      <c r="AB966" s="403">
        <f t="shared" si="1104"/>
        <v>672676484</v>
      </c>
      <c r="AC966" s="326">
        <f t="shared" si="1105"/>
        <v>1</v>
      </c>
    </row>
    <row r="967" spans="1:29" ht="38.25" x14ac:dyDescent="0.2">
      <c r="B967" s="323" t="s">
        <v>1053</v>
      </c>
      <c r="C967" s="206" t="s">
        <v>1824</v>
      </c>
      <c r="D967" s="303"/>
      <c r="E967" s="325">
        <f>SUM('ADICIONES  2021'!C967:N967)</f>
        <v>0</v>
      </c>
      <c r="F967" s="290"/>
      <c r="G967" s="290">
        <v>600000000</v>
      </c>
      <c r="H967" s="290"/>
      <c r="I967" s="290"/>
      <c r="J967" s="290"/>
      <c r="K967" s="281">
        <f t="shared" si="1058"/>
        <v>600000000</v>
      </c>
      <c r="L967" s="290"/>
      <c r="M967" s="290"/>
      <c r="N967" s="290"/>
      <c r="O967" s="290"/>
      <c r="P967" s="290"/>
      <c r="Q967" s="290"/>
      <c r="R967" s="281">
        <f t="shared" si="1115"/>
        <v>0</v>
      </c>
      <c r="S967" s="290"/>
      <c r="T967" s="290"/>
      <c r="U967" s="290"/>
      <c r="V967" s="290"/>
      <c r="W967" s="290"/>
      <c r="X967" s="290"/>
      <c r="Y967" s="290">
        <v>600000000</v>
      </c>
      <c r="Z967" s="290"/>
      <c r="AA967" s="281">
        <f t="shared" ref="AA967" si="1153">SUM(S967:Z967)</f>
        <v>600000000</v>
      </c>
      <c r="AB967" s="403">
        <f t="shared" si="1104"/>
        <v>600000000</v>
      </c>
      <c r="AC967" s="326">
        <f t="shared" si="1105"/>
        <v>1</v>
      </c>
    </row>
    <row r="968" spans="1:29" ht="38.25" x14ac:dyDescent="0.2">
      <c r="B968" s="323" t="s">
        <v>1053</v>
      </c>
      <c r="C968" s="206" t="s">
        <v>1824</v>
      </c>
      <c r="D968" s="303"/>
      <c r="E968" s="325">
        <f>SUM('ADICIONES  2021'!C968:N968)</f>
        <v>0</v>
      </c>
      <c r="F968" s="290"/>
      <c r="G968" s="290">
        <v>27133839.219999999</v>
      </c>
      <c r="H968" s="290"/>
      <c r="I968" s="290"/>
      <c r="J968" s="290"/>
      <c r="K968" s="281">
        <f t="shared" si="1058"/>
        <v>27133839.219999999</v>
      </c>
      <c r="L968" s="290"/>
      <c r="M968" s="290"/>
      <c r="N968" s="290"/>
      <c r="O968" s="290"/>
      <c r="P968" s="290"/>
      <c r="Q968" s="290"/>
      <c r="R968" s="281">
        <f t="shared" si="1115"/>
        <v>0</v>
      </c>
      <c r="S968" s="290"/>
      <c r="T968" s="290"/>
      <c r="U968" s="290"/>
      <c r="V968" s="290"/>
      <c r="W968" s="290"/>
      <c r="X968" s="290"/>
      <c r="Y968" s="290">
        <v>27133839.219999999</v>
      </c>
      <c r="Z968" s="290"/>
      <c r="AA968" s="281">
        <f t="shared" ref="AA968:AA969" si="1154">SUM(S968:Z968)</f>
        <v>27133839.219999999</v>
      </c>
      <c r="AB968" s="403">
        <f t="shared" ref="AB968:AB969" si="1155">+R968+AA968</f>
        <v>27133839.219999999</v>
      </c>
      <c r="AC968" s="326">
        <f t="shared" ref="AC968:AC969" si="1156">+AB968/K968</f>
        <v>1</v>
      </c>
    </row>
    <row r="969" spans="1:29" ht="38.25" x14ac:dyDescent="0.2">
      <c r="B969" s="323" t="s">
        <v>1053</v>
      </c>
      <c r="C969" s="206" t="s">
        <v>1824</v>
      </c>
      <c r="D969" s="303"/>
      <c r="E969" s="325">
        <f>SUM('ADICIONES  2021'!C969:N969)</f>
        <v>1500000000</v>
      </c>
      <c r="F969" s="290"/>
      <c r="G969" s="290"/>
      <c r="H969" s="290"/>
      <c r="I969" s="290"/>
      <c r="J969" s="290"/>
      <c r="K969" s="281">
        <f t="shared" si="1058"/>
        <v>1500000000</v>
      </c>
      <c r="L969" s="290"/>
      <c r="M969" s="290"/>
      <c r="N969" s="290"/>
      <c r="O969" s="290"/>
      <c r="P969" s="290"/>
      <c r="Q969" s="290"/>
      <c r="R969" s="281">
        <f t="shared" si="1115"/>
        <v>0</v>
      </c>
      <c r="S969" s="290"/>
      <c r="T969" s="290"/>
      <c r="U969" s="290"/>
      <c r="V969" s="290"/>
      <c r="W969" s="290"/>
      <c r="X969" s="290"/>
      <c r="Y969" s="290">
        <v>1500000000</v>
      </c>
      <c r="Z969" s="290"/>
      <c r="AA969" s="281">
        <f t="shared" si="1154"/>
        <v>1500000000</v>
      </c>
      <c r="AB969" s="403">
        <f t="shared" si="1155"/>
        <v>1500000000</v>
      </c>
      <c r="AC969" s="326">
        <f t="shared" si="1156"/>
        <v>1</v>
      </c>
    </row>
    <row r="970" spans="1:29" ht="25.5" x14ac:dyDescent="0.2">
      <c r="B970" s="323" t="s">
        <v>1055</v>
      </c>
      <c r="C970" s="206" t="s">
        <v>1825</v>
      </c>
      <c r="D970" s="303">
        <v>800800000</v>
      </c>
      <c r="E970" s="325">
        <f>SUM('ADICIONES  2021'!C970:N970)</f>
        <v>0</v>
      </c>
      <c r="F970" s="288"/>
      <c r="G970" s="290"/>
      <c r="H970" s="290"/>
      <c r="I970" s="290"/>
      <c r="J970" s="290"/>
      <c r="K970" s="281">
        <f t="shared" si="1058"/>
        <v>800800000</v>
      </c>
      <c r="L970" s="290">
        <f>15060003000*0.64064%</f>
        <v>96480403.2192</v>
      </c>
      <c r="M970" s="290">
        <f>13145834000*0.64064%</f>
        <v>84217470.937600002</v>
      </c>
      <c r="N970" s="290">
        <f>10319168000*0.64064%</f>
        <v>66108717.875199996</v>
      </c>
      <c r="O970" s="290">
        <f>10878819000*0.64064%</f>
        <v>69694066.041599989</v>
      </c>
      <c r="P970" s="290">
        <f>11220307000*0.64064%</f>
        <v>71881774.764799997</v>
      </c>
      <c r="Q970" s="290">
        <f>10432363000*0.64064%</f>
        <v>66833890.323199995</v>
      </c>
      <c r="R970" s="281">
        <f t="shared" si="1115"/>
        <v>455216323.16159999</v>
      </c>
      <c r="S970" s="290">
        <f>9490097000*0.64064%</f>
        <v>60797357.420799993</v>
      </c>
      <c r="T970" s="290">
        <f>9758423000*0.64064%</f>
        <v>62516361.107199997</v>
      </c>
      <c r="U970" s="290">
        <f>12547255000*0.64064%</f>
        <v>80382734.431999996</v>
      </c>
      <c r="V970" s="290">
        <f>11804401000*0.64064%</f>
        <v>75623714.566399992</v>
      </c>
      <c r="W970" s="290">
        <f>12993962000*0.64064%</f>
        <v>83244518.156800002</v>
      </c>
      <c r="X970" s="290">
        <f>12992421000*0.64064%</f>
        <v>83234645.894400001</v>
      </c>
      <c r="Y970" s="290">
        <v>-100215654.7392</v>
      </c>
      <c r="Z970" s="288"/>
      <c r="AA970" s="281">
        <f t="shared" si="1149"/>
        <v>345583676.83840001</v>
      </c>
      <c r="AB970" s="403">
        <f t="shared" si="1104"/>
        <v>800800000</v>
      </c>
      <c r="AC970" s="326">
        <f t="shared" si="1105"/>
        <v>1</v>
      </c>
    </row>
    <row r="971" spans="1:29" ht="25.5" x14ac:dyDescent="0.2">
      <c r="B971" s="323" t="s">
        <v>1055</v>
      </c>
      <c r="C971" s="206" t="s">
        <v>1900</v>
      </c>
      <c r="D971" s="303"/>
      <c r="E971" s="325">
        <f>SUM('ADICIONES  2021'!C971:N971)</f>
        <v>0</v>
      </c>
      <c r="F971" s="288"/>
      <c r="G971" s="290">
        <v>260000000</v>
      </c>
      <c r="H971" s="290"/>
      <c r="I971" s="290"/>
      <c r="J971" s="290"/>
      <c r="K971" s="281">
        <f t="shared" si="1058"/>
        <v>260000000</v>
      </c>
      <c r="L971" s="290"/>
      <c r="M971" s="290"/>
      <c r="N971" s="290"/>
      <c r="O971" s="290"/>
      <c r="P971" s="290"/>
      <c r="Q971" s="290"/>
      <c r="R971" s="281">
        <f t="shared" si="1115"/>
        <v>0</v>
      </c>
      <c r="S971" s="290"/>
      <c r="T971" s="290"/>
      <c r="U971" s="290"/>
      <c r="V971" s="290"/>
      <c r="W971" s="288"/>
      <c r="X971" s="288"/>
      <c r="Y971" s="290">
        <v>260000000</v>
      </c>
      <c r="Z971" s="288"/>
      <c r="AA971" s="281">
        <f t="shared" ref="AA971" si="1157">SUM(S971:Z971)</f>
        <v>260000000</v>
      </c>
      <c r="AB971" s="403">
        <f t="shared" si="1104"/>
        <v>260000000</v>
      </c>
      <c r="AC971" s="326">
        <f t="shared" si="1105"/>
        <v>1</v>
      </c>
    </row>
    <row r="972" spans="1:29" s="5" customFormat="1" x14ac:dyDescent="0.2">
      <c r="A972" s="96"/>
      <c r="B972" s="318" t="s">
        <v>639</v>
      </c>
      <c r="C972" s="319" t="s">
        <v>1912</v>
      </c>
      <c r="D972" s="292">
        <f>+D973</f>
        <v>0</v>
      </c>
      <c r="E972" s="322">
        <f>SUM('ADICIONES  2021'!C972:N972)</f>
        <v>2083879964</v>
      </c>
      <c r="F972" s="292">
        <f t="shared" ref="F972:J973" si="1158">+F973</f>
        <v>0</v>
      </c>
      <c r="G972" s="292">
        <f t="shared" si="1158"/>
        <v>0</v>
      </c>
      <c r="H972" s="292">
        <f t="shared" si="1158"/>
        <v>0</v>
      </c>
      <c r="I972" s="292">
        <f t="shared" si="1158"/>
        <v>0</v>
      </c>
      <c r="J972" s="292">
        <f t="shared" si="1158"/>
        <v>0</v>
      </c>
      <c r="K972" s="276">
        <f t="shared" si="1058"/>
        <v>2083879964</v>
      </c>
      <c r="L972" s="292">
        <f t="shared" ref="L972:Q973" si="1159">+L973</f>
        <v>0</v>
      </c>
      <c r="M972" s="292">
        <f t="shared" si="1159"/>
        <v>0</v>
      </c>
      <c r="N972" s="292">
        <f t="shared" si="1159"/>
        <v>0</v>
      </c>
      <c r="O972" s="292">
        <f t="shared" si="1159"/>
        <v>0</v>
      </c>
      <c r="P972" s="292">
        <f t="shared" si="1159"/>
        <v>0</v>
      </c>
      <c r="Q972" s="292">
        <f t="shared" si="1159"/>
        <v>0</v>
      </c>
      <c r="R972" s="276">
        <f t="shared" si="1115"/>
        <v>0</v>
      </c>
      <c r="S972" s="292">
        <f t="shared" ref="S972:Z973" si="1160">+S973</f>
        <v>0</v>
      </c>
      <c r="T972" s="292">
        <f t="shared" si="1160"/>
        <v>0</v>
      </c>
      <c r="U972" s="292">
        <f t="shared" si="1160"/>
        <v>0</v>
      </c>
      <c r="V972" s="292">
        <f t="shared" si="1160"/>
        <v>0</v>
      </c>
      <c r="W972" s="292">
        <f t="shared" si="1160"/>
        <v>0</v>
      </c>
      <c r="X972" s="292">
        <f t="shared" si="1160"/>
        <v>2083879964</v>
      </c>
      <c r="Y972" s="292">
        <f t="shared" si="1160"/>
        <v>0</v>
      </c>
      <c r="Z972" s="292">
        <f t="shared" si="1160"/>
        <v>0</v>
      </c>
      <c r="AA972" s="276">
        <f t="shared" ref="AA972:AA974" si="1161">SUM(S972:Z972)</f>
        <v>2083879964</v>
      </c>
      <c r="AB972" s="402">
        <f t="shared" ref="AB972:AB974" si="1162">+R972+AA972</f>
        <v>2083879964</v>
      </c>
      <c r="AC972" s="321">
        <f t="shared" ref="AC972:AC974" si="1163">+AB972/K972</f>
        <v>1</v>
      </c>
    </row>
    <row r="973" spans="1:29" s="5" customFormat="1" ht="38.25" x14ac:dyDescent="0.2">
      <c r="A973" s="96"/>
      <c r="B973" s="318" t="s">
        <v>1913</v>
      </c>
      <c r="C973" s="319" t="s">
        <v>1914</v>
      </c>
      <c r="D973" s="292">
        <f>+D974</f>
        <v>0</v>
      </c>
      <c r="E973" s="322">
        <f>SUM('ADICIONES  2021'!C973:N973)</f>
        <v>2083879964</v>
      </c>
      <c r="F973" s="292">
        <f t="shared" si="1158"/>
        <v>0</v>
      </c>
      <c r="G973" s="292">
        <f t="shared" si="1158"/>
        <v>0</v>
      </c>
      <c r="H973" s="292">
        <f t="shared" si="1158"/>
        <v>0</v>
      </c>
      <c r="I973" s="292">
        <f t="shared" si="1158"/>
        <v>0</v>
      </c>
      <c r="J973" s="292">
        <f t="shared" si="1158"/>
        <v>0</v>
      </c>
      <c r="K973" s="276">
        <f t="shared" si="1058"/>
        <v>2083879964</v>
      </c>
      <c r="L973" s="292">
        <f t="shared" si="1159"/>
        <v>0</v>
      </c>
      <c r="M973" s="292">
        <f t="shared" si="1159"/>
        <v>0</v>
      </c>
      <c r="N973" s="292">
        <f t="shared" si="1159"/>
        <v>0</v>
      </c>
      <c r="O973" s="292">
        <f t="shared" si="1159"/>
        <v>0</v>
      </c>
      <c r="P973" s="292">
        <f t="shared" si="1159"/>
        <v>0</v>
      </c>
      <c r="Q973" s="292">
        <f t="shared" si="1159"/>
        <v>0</v>
      </c>
      <c r="R973" s="276">
        <f t="shared" si="1115"/>
        <v>0</v>
      </c>
      <c r="S973" s="292">
        <f t="shared" si="1160"/>
        <v>0</v>
      </c>
      <c r="T973" s="292">
        <f t="shared" si="1160"/>
        <v>0</v>
      </c>
      <c r="U973" s="292">
        <f t="shared" si="1160"/>
        <v>0</v>
      </c>
      <c r="V973" s="292">
        <f t="shared" si="1160"/>
        <v>0</v>
      </c>
      <c r="W973" s="292">
        <f t="shared" si="1160"/>
        <v>0</v>
      </c>
      <c r="X973" s="292">
        <f t="shared" si="1160"/>
        <v>2083879964</v>
      </c>
      <c r="Y973" s="292">
        <f t="shared" si="1160"/>
        <v>0</v>
      </c>
      <c r="Z973" s="292">
        <f t="shared" si="1160"/>
        <v>0</v>
      </c>
      <c r="AA973" s="276">
        <f t="shared" si="1161"/>
        <v>2083879964</v>
      </c>
      <c r="AB973" s="402">
        <f t="shared" si="1162"/>
        <v>2083879964</v>
      </c>
      <c r="AC973" s="321">
        <f t="shared" si="1163"/>
        <v>1</v>
      </c>
    </row>
    <row r="974" spans="1:29" ht="38.25" x14ac:dyDescent="0.2">
      <c r="B974" s="323" t="s">
        <v>1915</v>
      </c>
      <c r="C974" s="206" t="s">
        <v>1916</v>
      </c>
      <c r="D974" s="303"/>
      <c r="E974" s="325">
        <f>SUM('ADICIONES  2021'!C974:N974)</f>
        <v>2083879964</v>
      </c>
      <c r="F974" s="288"/>
      <c r="G974" s="290"/>
      <c r="H974" s="290"/>
      <c r="I974" s="290"/>
      <c r="J974" s="290"/>
      <c r="K974" s="281">
        <f t="shared" si="1058"/>
        <v>2083879964</v>
      </c>
      <c r="L974" s="290"/>
      <c r="M974" s="290"/>
      <c r="N974" s="290"/>
      <c r="O974" s="290"/>
      <c r="P974" s="290"/>
      <c r="Q974" s="290"/>
      <c r="R974" s="281">
        <f t="shared" si="1115"/>
        <v>0</v>
      </c>
      <c r="S974" s="290"/>
      <c r="T974" s="290"/>
      <c r="U974" s="290"/>
      <c r="V974" s="290"/>
      <c r="W974" s="288"/>
      <c r="X974" s="290">
        <v>2083879964</v>
      </c>
      <c r="Y974" s="288"/>
      <c r="Z974" s="288"/>
      <c r="AA974" s="281">
        <f t="shared" si="1161"/>
        <v>2083879964</v>
      </c>
      <c r="AB974" s="403">
        <f t="shared" si="1162"/>
        <v>2083879964</v>
      </c>
      <c r="AC974" s="326">
        <f t="shared" si="1163"/>
        <v>1</v>
      </c>
    </row>
    <row r="975" spans="1:29" s="61" customFormat="1" ht="25.5" x14ac:dyDescent="0.2">
      <c r="A975" s="421">
        <v>1</v>
      </c>
      <c r="B975" s="318" t="s">
        <v>1833</v>
      </c>
      <c r="C975" s="319" t="s">
        <v>1834</v>
      </c>
      <c r="D975" s="292">
        <f>+D976</f>
        <v>0</v>
      </c>
      <c r="E975" s="322">
        <f>SUM('ADICIONES  2021'!C975:N975)</f>
        <v>3482090283.4400001</v>
      </c>
      <c r="F975" s="292">
        <f t="shared" ref="F975:J976" si="1164">+F976</f>
        <v>0</v>
      </c>
      <c r="G975" s="292">
        <f t="shared" si="1164"/>
        <v>0</v>
      </c>
      <c r="H975" s="292">
        <f t="shared" si="1164"/>
        <v>0</v>
      </c>
      <c r="I975" s="292">
        <f t="shared" si="1164"/>
        <v>0</v>
      </c>
      <c r="J975" s="292">
        <f t="shared" si="1164"/>
        <v>0</v>
      </c>
      <c r="K975" s="276">
        <f t="shared" si="1058"/>
        <v>3482090283.4400001</v>
      </c>
      <c r="L975" s="292">
        <f t="shared" ref="L975:Q976" si="1165">+L976</f>
        <v>0</v>
      </c>
      <c r="M975" s="292">
        <f t="shared" si="1165"/>
        <v>0</v>
      </c>
      <c r="N975" s="292">
        <f t="shared" si="1165"/>
        <v>0</v>
      </c>
      <c r="O975" s="292">
        <f t="shared" si="1165"/>
        <v>0</v>
      </c>
      <c r="P975" s="292">
        <f t="shared" si="1165"/>
        <v>3452090283.4400001</v>
      </c>
      <c r="Q975" s="292">
        <f t="shared" si="1165"/>
        <v>0</v>
      </c>
      <c r="R975" s="276">
        <f t="shared" si="1115"/>
        <v>3452090283.4400001</v>
      </c>
      <c r="S975" s="292">
        <f t="shared" ref="S975:Z976" si="1166">+S976</f>
        <v>20746478.109999999</v>
      </c>
      <c r="T975" s="292">
        <f t="shared" si="1166"/>
        <v>0</v>
      </c>
      <c r="U975" s="292">
        <f t="shared" si="1166"/>
        <v>0</v>
      </c>
      <c r="V975" s="292">
        <f t="shared" si="1166"/>
        <v>0</v>
      </c>
      <c r="W975" s="292">
        <f t="shared" si="1166"/>
        <v>34594.57</v>
      </c>
      <c r="X975" s="292">
        <f t="shared" si="1166"/>
        <v>0</v>
      </c>
      <c r="Y975" s="292">
        <f t="shared" si="1166"/>
        <v>0</v>
      </c>
      <c r="Z975" s="292">
        <f t="shared" si="1166"/>
        <v>0</v>
      </c>
      <c r="AA975" s="276">
        <f t="shared" ref="AA975:AA979" si="1167">SUM(S975:Z975)</f>
        <v>20781072.68</v>
      </c>
      <c r="AB975" s="402">
        <f t="shared" si="1104"/>
        <v>3472871356.1199999</v>
      </c>
      <c r="AC975" s="321">
        <v>0</v>
      </c>
    </row>
    <row r="976" spans="1:29" s="61" customFormat="1" ht="25.5" x14ac:dyDescent="0.2">
      <c r="A976" s="421"/>
      <c r="B976" s="318" t="s">
        <v>1835</v>
      </c>
      <c r="C976" s="319" t="s">
        <v>1836</v>
      </c>
      <c r="D976" s="292">
        <f>+D977</f>
        <v>0</v>
      </c>
      <c r="E976" s="322">
        <f>SUM('ADICIONES  2021'!C976:N976)</f>
        <v>3482090283.4400001</v>
      </c>
      <c r="F976" s="292">
        <f t="shared" si="1164"/>
        <v>0</v>
      </c>
      <c r="G976" s="292">
        <f t="shared" si="1164"/>
        <v>0</v>
      </c>
      <c r="H976" s="292">
        <f t="shared" si="1164"/>
        <v>0</v>
      </c>
      <c r="I976" s="292">
        <f t="shared" si="1164"/>
        <v>0</v>
      </c>
      <c r="J976" s="292">
        <f t="shared" si="1164"/>
        <v>0</v>
      </c>
      <c r="K976" s="276">
        <f t="shared" si="1058"/>
        <v>3482090283.4400001</v>
      </c>
      <c r="L976" s="292">
        <f t="shared" si="1165"/>
        <v>0</v>
      </c>
      <c r="M976" s="292">
        <f t="shared" si="1165"/>
        <v>0</v>
      </c>
      <c r="N976" s="292">
        <f t="shared" si="1165"/>
        <v>0</v>
      </c>
      <c r="O976" s="292">
        <f t="shared" si="1165"/>
        <v>0</v>
      </c>
      <c r="P976" s="292">
        <f t="shared" si="1165"/>
        <v>3452090283.4400001</v>
      </c>
      <c r="Q976" s="292">
        <f t="shared" si="1165"/>
        <v>0</v>
      </c>
      <c r="R976" s="276">
        <f t="shared" si="1115"/>
        <v>3452090283.4400001</v>
      </c>
      <c r="S976" s="292">
        <f t="shared" si="1166"/>
        <v>20746478.109999999</v>
      </c>
      <c r="T976" s="292">
        <f t="shared" si="1166"/>
        <v>0</v>
      </c>
      <c r="U976" s="292">
        <f t="shared" si="1166"/>
        <v>0</v>
      </c>
      <c r="V976" s="292">
        <f t="shared" si="1166"/>
        <v>0</v>
      </c>
      <c r="W976" s="292">
        <f t="shared" si="1166"/>
        <v>34594.57</v>
      </c>
      <c r="X976" s="292">
        <f t="shared" si="1166"/>
        <v>0</v>
      </c>
      <c r="Y976" s="292">
        <f t="shared" si="1166"/>
        <v>0</v>
      </c>
      <c r="Z976" s="292">
        <f t="shared" si="1166"/>
        <v>0</v>
      </c>
      <c r="AA976" s="276">
        <f t="shared" si="1167"/>
        <v>20781072.68</v>
      </c>
      <c r="AB976" s="402">
        <f t="shared" si="1104"/>
        <v>3472871356.1199999</v>
      </c>
      <c r="AC976" s="321">
        <v>0</v>
      </c>
    </row>
    <row r="977" spans="1:29" s="61" customFormat="1" ht="25.5" x14ac:dyDescent="0.2">
      <c r="A977" s="421"/>
      <c r="B977" s="318" t="s">
        <v>1837</v>
      </c>
      <c r="C977" s="319" t="s">
        <v>1838</v>
      </c>
      <c r="D977" s="292">
        <f>SUM(D978:D979)</f>
        <v>0</v>
      </c>
      <c r="E977" s="322">
        <f>SUM('ADICIONES  2021'!C977:N977)</f>
        <v>3482090283.4400001</v>
      </c>
      <c r="F977" s="292">
        <f t="shared" ref="F977:J977" si="1168">SUM(F978:F979)</f>
        <v>0</v>
      </c>
      <c r="G977" s="292">
        <f t="shared" si="1168"/>
        <v>0</v>
      </c>
      <c r="H977" s="292">
        <f t="shared" si="1168"/>
        <v>0</v>
      </c>
      <c r="I977" s="292">
        <f t="shared" si="1168"/>
        <v>0</v>
      </c>
      <c r="J977" s="292">
        <f t="shared" si="1168"/>
        <v>0</v>
      </c>
      <c r="K977" s="276">
        <f t="shared" si="1058"/>
        <v>3482090283.4400001</v>
      </c>
      <c r="L977" s="292">
        <f t="shared" ref="L977:Q977" si="1169">SUM(L978:L979)</f>
        <v>0</v>
      </c>
      <c r="M977" s="292">
        <f t="shared" si="1169"/>
        <v>0</v>
      </c>
      <c r="N977" s="292">
        <f t="shared" si="1169"/>
        <v>0</v>
      </c>
      <c r="O977" s="292">
        <f t="shared" si="1169"/>
        <v>0</v>
      </c>
      <c r="P977" s="292">
        <f t="shared" si="1169"/>
        <v>3452090283.4400001</v>
      </c>
      <c r="Q977" s="292">
        <f t="shared" si="1169"/>
        <v>0</v>
      </c>
      <c r="R977" s="276">
        <f t="shared" si="1115"/>
        <v>3452090283.4400001</v>
      </c>
      <c r="S977" s="292">
        <f t="shared" ref="S977:Z977" si="1170">SUM(S978:S979)</f>
        <v>20746478.109999999</v>
      </c>
      <c r="T977" s="292">
        <f t="shared" si="1170"/>
        <v>0</v>
      </c>
      <c r="U977" s="292">
        <f t="shared" si="1170"/>
        <v>0</v>
      </c>
      <c r="V977" s="292">
        <f t="shared" si="1170"/>
        <v>0</v>
      </c>
      <c r="W977" s="292">
        <f t="shared" si="1170"/>
        <v>34594.57</v>
      </c>
      <c r="X977" s="292">
        <f t="shared" si="1170"/>
        <v>0</v>
      </c>
      <c r="Y977" s="292">
        <f t="shared" si="1170"/>
        <v>0</v>
      </c>
      <c r="Z977" s="292">
        <f t="shared" si="1170"/>
        <v>0</v>
      </c>
      <c r="AA977" s="276">
        <f t="shared" si="1167"/>
        <v>20781072.68</v>
      </c>
      <c r="AB977" s="402">
        <f t="shared" si="1104"/>
        <v>3472871356.1199999</v>
      </c>
      <c r="AC977" s="321">
        <v>0</v>
      </c>
    </row>
    <row r="978" spans="1:29" x14ac:dyDescent="0.2">
      <c r="B978" s="323" t="s">
        <v>1839</v>
      </c>
      <c r="C978" s="206" t="s">
        <v>1840</v>
      </c>
      <c r="D978" s="303"/>
      <c r="E978" s="325">
        <f>SUM('ADICIONES  2021'!C978:N978)</f>
        <v>3452090283.4400001</v>
      </c>
      <c r="F978" s="291"/>
      <c r="G978" s="290"/>
      <c r="H978" s="290"/>
      <c r="I978" s="290"/>
      <c r="J978" s="290"/>
      <c r="K978" s="281">
        <f t="shared" si="1058"/>
        <v>3452090283.4400001</v>
      </c>
      <c r="L978" s="290"/>
      <c r="M978" s="290"/>
      <c r="N978" s="290"/>
      <c r="O978" s="290"/>
      <c r="P978" s="290">
        <v>3452090283.4400001</v>
      </c>
      <c r="Q978" s="291"/>
      <c r="R978" s="281">
        <f t="shared" si="1115"/>
        <v>3452090283.4400001</v>
      </c>
      <c r="S978" s="290">
        <v>20746478.109999999</v>
      </c>
      <c r="T978" s="291"/>
      <c r="U978" s="290">
        <v>-20746478.109999999</v>
      </c>
      <c r="V978" s="291"/>
      <c r="W978" s="289">
        <v>0</v>
      </c>
      <c r="X978" s="291"/>
      <c r="Y978" s="291"/>
      <c r="Z978" s="291"/>
      <c r="AA978" s="281">
        <f t="shared" si="1167"/>
        <v>0</v>
      </c>
      <c r="AB978" s="403">
        <f t="shared" si="1104"/>
        <v>3452090283.4400001</v>
      </c>
      <c r="AC978" s="326">
        <v>0</v>
      </c>
    </row>
    <row r="979" spans="1:29" x14ac:dyDescent="0.2">
      <c r="B979" s="323" t="s">
        <v>1839</v>
      </c>
      <c r="C979" s="206" t="s">
        <v>1840</v>
      </c>
      <c r="D979" s="303"/>
      <c r="E979" s="325">
        <f>SUM('ADICIONES  2021'!C979:N979)</f>
        <v>30000000</v>
      </c>
      <c r="F979" s="291"/>
      <c r="G979" s="290"/>
      <c r="H979" s="290"/>
      <c r="I979" s="290"/>
      <c r="J979" s="290"/>
      <c r="K979" s="281">
        <f t="shared" ref="K979:K1066" si="1171">+D979+E979-F979+G979-H979</f>
        <v>30000000</v>
      </c>
      <c r="L979" s="290"/>
      <c r="M979" s="290"/>
      <c r="N979" s="290"/>
      <c r="O979" s="290"/>
      <c r="P979" s="290"/>
      <c r="Q979" s="291"/>
      <c r="R979" s="281">
        <f t="shared" si="1115"/>
        <v>0</v>
      </c>
      <c r="S979" s="290"/>
      <c r="T979" s="291"/>
      <c r="U979" s="290">
        <v>20746478.109999999</v>
      </c>
      <c r="V979" s="291"/>
      <c r="W979" s="290">
        <v>34594.57</v>
      </c>
      <c r="X979" s="291"/>
      <c r="Y979" s="291"/>
      <c r="Z979" s="291"/>
      <c r="AA979" s="281">
        <f t="shared" si="1167"/>
        <v>20781072.68</v>
      </c>
      <c r="AB979" s="403">
        <f t="shared" si="1104"/>
        <v>20781072.68</v>
      </c>
      <c r="AC979" s="326">
        <v>1</v>
      </c>
    </row>
    <row r="980" spans="1:29" s="61" customFormat="1" ht="15.75" x14ac:dyDescent="0.2">
      <c r="A980" s="421">
        <v>1</v>
      </c>
      <c r="B980" s="318" t="s">
        <v>659</v>
      </c>
      <c r="C980" s="319" t="s">
        <v>1061</v>
      </c>
      <c r="D980" s="292">
        <f>+D981</f>
        <v>11767762710.66</v>
      </c>
      <c r="E980" s="322">
        <f>SUM('ADICIONES  2021'!C980:N980)</f>
        <v>19117646</v>
      </c>
      <c r="F980" s="289"/>
      <c r="G980" s="289">
        <f t="shared" ref="G980:J980" si="1172">+G981</f>
        <v>0</v>
      </c>
      <c r="H980" s="289">
        <f t="shared" si="1172"/>
        <v>0</v>
      </c>
      <c r="I980" s="289">
        <f t="shared" si="1172"/>
        <v>0</v>
      </c>
      <c r="J980" s="289">
        <f t="shared" si="1172"/>
        <v>0</v>
      </c>
      <c r="K980" s="276">
        <f t="shared" si="1171"/>
        <v>11786880356.66</v>
      </c>
      <c r="L980" s="289">
        <f t="shared" ref="L980:Q980" si="1173">+L981</f>
        <v>1188223792</v>
      </c>
      <c r="M980" s="289">
        <f t="shared" si="1173"/>
        <v>875505974.48000002</v>
      </c>
      <c r="N980" s="289">
        <f t="shared" si="1173"/>
        <v>930737892</v>
      </c>
      <c r="O980" s="289">
        <f t="shared" si="1173"/>
        <v>997180180</v>
      </c>
      <c r="P980" s="289">
        <f t="shared" si="1173"/>
        <v>1010265143</v>
      </c>
      <c r="Q980" s="289">
        <f t="shared" si="1173"/>
        <v>838164260</v>
      </c>
      <c r="R980" s="276">
        <f t="shared" si="1115"/>
        <v>5840077241.4799995</v>
      </c>
      <c r="S980" s="289">
        <f t="shared" ref="S980:Z980" si="1174">+S981</f>
        <v>901384028.29999995</v>
      </c>
      <c r="T980" s="289">
        <f t="shared" si="1174"/>
        <v>961462270</v>
      </c>
      <c r="U980" s="289">
        <f t="shared" si="1174"/>
        <v>881076103</v>
      </c>
      <c r="V980" s="289">
        <f t="shared" si="1174"/>
        <v>906200575</v>
      </c>
      <c r="W980" s="289">
        <f t="shared" si="1174"/>
        <v>1039598983.8100001</v>
      </c>
      <c r="X980" s="289">
        <f t="shared" si="1174"/>
        <v>1311538358</v>
      </c>
      <c r="Y980" s="289">
        <f t="shared" si="1174"/>
        <v>2.3283064365386963E-10</v>
      </c>
      <c r="Z980" s="289">
        <f t="shared" si="1174"/>
        <v>0</v>
      </c>
      <c r="AA980" s="276">
        <f t="shared" si="1116"/>
        <v>6001260318.1100006</v>
      </c>
      <c r="AB980" s="402">
        <f t="shared" si="1104"/>
        <v>11841337559.59</v>
      </c>
      <c r="AC980" s="321">
        <f t="shared" si="1105"/>
        <v>1.0046201540426454</v>
      </c>
    </row>
    <row r="981" spans="1:29" s="61" customFormat="1" ht="25.5" x14ac:dyDescent="0.2">
      <c r="A981" s="421"/>
      <c r="B981" s="318" t="s">
        <v>1062</v>
      </c>
      <c r="C981" s="319" t="s">
        <v>1063</v>
      </c>
      <c r="D981" s="292">
        <f>+D982+D987+D992</f>
        <v>11767762710.66</v>
      </c>
      <c r="E981" s="322">
        <f>SUM('ADICIONES  2021'!C981:N981)</f>
        <v>19117646</v>
      </c>
      <c r="F981" s="289"/>
      <c r="G981" s="289">
        <f t="shared" ref="G981:J981" si="1175">+G982+G987+G992</f>
        <v>0</v>
      </c>
      <c r="H981" s="289">
        <f t="shared" si="1175"/>
        <v>0</v>
      </c>
      <c r="I981" s="289">
        <f t="shared" si="1175"/>
        <v>0</v>
      </c>
      <c r="J981" s="289">
        <f t="shared" si="1175"/>
        <v>0</v>
      </c>
      <c r="K981" s="276">
        <f t="shared" si="1171"/>
        <v>11786880356.66</v>
      </c>
      <c r="L981" s="289">
        <f t="shared" ref="L981:Q981" si="1176">+L982+L987+L992</f>
        <v>1188223792</v>
      </c>
      <c r="M981" s="289">
        <f t="shared" si="1176"/>
        <v>875505974.48000002</v>
      </c>
      <c r="N981" s="289">
        <f t="shared" si="1176"/>
        <v>930737892</v>
      </c>
      <c r="O981" s="289">
        <f t="shared" si="1176"/>
        <v>997180180</v>
      </c>
      <c r="P981" s="289">
        <f t="shared" si="1176"/>
        <v>1010265143</v>
      </c>
      <c r="Q981" s="289">
        <f t="shared" si="1176"/>
        <v>838164260</v>
      </c>
      <c r="R981" s="276">
        <f t="shared" si="1115"/>
        <v>5840077241.4799995</v>
      </c>
      <c r="S981" s="289">
        <f t="shared" ref="S981:Z981" si="1177">+S982+S987+S992</f>
        <v>901384028.29999995</v>
      </c>
      <c r="T981" s="289">
        <f t="shared" si="1177"/>
        <v>961462270</v>
      </c>
      <c r="U981" s="289">
        <f t="shared" si="1177"/>
        <v>881076103</v>
      </c>
      <c r="V981" s="289">
        <f t="shared" si="1177"/>
        <v>906200575</v>
      </c>
      <c r="W981" s="289">
        <f t="shared" si="1177"/>
        <v>1039598983.8100001</v>
      </c>
      <c r="X981" s="289">
        <f t="shared" si="1177"/>
        <v>1311538358</v>
      </c>
      <c r="Y981" s="289">
        <f t="shared" si="1177"/>
        <v>2.3283064365386963E-10</v>
      </c>
      <c r="Z981" s="289">
        <f t="shared" si="1177"/>
        <v>0</v>
      </c>
      <c r="AA981" s="276">
        <f t="shared" si="1116"/>
        <v>6001260318.1100006</v>
      </c>
      <c r="AB981" s="402">
        <f t="shared" si="1104"/>
        <v>11841337559.59</v>
      </c>
      <c r="AC981" s="321">
        <f t="shared" si="1105"/>
        <v>1.0046201540426454</v>
      </c>
    </row>
    <row r="982" spans="1:29" s="61" customFormat="1" ht="25.5" x14ac:dyDescent="0.2">
      <c r="A982" s="421"/>
      <c r="B982" s="318" t="s">
        <v>1064</v>
      </c>
      <c r="C982" s="319" t="s">
        <v>1065</v>
      </c>
      <c r="D982" s="292">
        <f>SUM(D983:D985)</f>
        <v>2950524336.0100002</v>
      </c>
      <c r="E982" s="322">
        <f>SUM('ADICIONES  2021'!C982:N982)</f>
        <v>0</v>
      </c>
      <c r="F982" s="289"/>
      <c r="G982" s="289">
        <f t="shared" ref="G982:J982" si="1178">SUM(G983:G985)</f>
        <v>0</v>
      </c>
      <c r="H982" s="289">
        <f t="shared" si="1178"/>
        <v>0</v>
      </c>
      <c r="I982" s="289">
        <f t="shared" si="1178"/>
        <v>0</v>
      </c>
      <c r="J982" s="289">
        <f t="shared" si="1178"/>
        <v>0</v>
      </c>
      <c r="K982" s="276">
        <f t="shared" si="1171"/>
        <v>2950524336.0100002</v>
      </c>
      <c r="L982" s="289">
        <f t="shared" ref="L982:Q982" si="1179">SUM(L983:L985)</f>
        <v>341848800</v>
      </c>
      <c r="M982" s="289">
        <f t="shared" si="1179"/>
        <v>202479000</v>
      </c>
      <c r="N982" s="289">
        <f t="shared" si="1179"/>
        <v>237078000</v>
      </c>
      <c r="O982" s="289">
        <f t="shared" si="1179"/>
        <v>247500000</v>
      </c>
      <c r="P982" s="289">
        <f t="shared" si="1179"/>
        <v>254242200</v>
      </c>
      <c r="Q982" s="289">
        <f t="shared" si="1179"/>
        <v>167627400</v>
      </c>
      <c r="R982" s="276">
        <f t="shared" si="1115"/>
        <v>1450775400</v>
      </c>
      <c r="S982" s="289">
        <f t="shared" ref="S982:Z982" si="1180">SUM(S983:S985)</f>
        <v>231008777.87</v>
      </c>
      <c r="T982" s="289">
        <f t="shared" si="1180"/>
        <v>329302800</v>
      </c>
      <c r="U982" s="289">
        <f t="shared" si="1180"/>
        <v>256027800</v>
      </c>
      <c r="V982" s="289">
        <f t="shared" si="1180"/>
        <v>262138200</v>
      </c>
      <c r="W982" s="289">
        <f t="shared" si="1180"/>
        <v>335325767.26999998</v>
      </c>
      <c r="X982" s="289">
        <f t="shared" si="1180"/>
        <v>486120600</v>
      </c>
      <c r="Y982" s="289">
        <f t="shared" si="1180"/>
        <v>0</v>
      </c>
      <c r="Z982" s="289">
        <f t="shared" si="1180"/>
        <v>0</v>
      </c>
      <c r="AA982" s="276">
        <f t="shared" si="1116"/>
        <v>1899923945.1399999</v>
      </c>
      <c r="AB982" s="402">
        <f t="shared" si="1104"/>
        <v>3350699345.1399999</v>
      </c>
      <c r="AC982" s="321">
        <f t="shared" si="1105"/>
        <v>1.1356284387307094</v>
      </c>
    </row>
    <row r="983" spans="1:29" ht="14.25" x14ac:dyDescent="0.2">
      <c r="B983" s="323" t="s">
        <v>1066</v>
      </c>
      <c r="C983" s="206" t="s">
        <v>375</v>
      </c>
      <c r="D983" s="303">
        <v>737631084</v>
      </c>
      <c r="E983" s="325">
        <f>SUM('ADICIONES  2021'!C983:N983)</f>
        <v>0</v>
      </c>
      <c r="F983" s="290"/>
      <c r="G983" s="290"/>
      <c r="H983" s="290"/>
      <c r="I983" s="290"/>
      <c r="J983" s="290"/>
      <c r="K983" s="281">
        <f t="shared" si="1171"/>
        <v>737631084</v>
      </c>
      <c r="L983" s="290">
        <v>85462200</v>
      </c>
      <c r="M983" s="290">
        <v>50619750</v>
      </c>
      <c r="N983" s="290">
        <v>59269500</v>
      </c>
      <c r="O983" s="290">
        <v>61875000</v>
      </c>
      <c r="P983" s="290">
        <v>63560550</v>
      </c>
      <c r="Q983" s="290">
        <v>41906850</v>
      </c>
      <c r="R983" s="281">
        <f t="shared" si="1115"/>
        <v>362693850</v>
      </c>
      <c r="S983" s="290">
        <v>57248400</v>
      </c>
      <c r="T983" s="290">
        <v>82325700</v>
      </c>
      <c r="U983" s="290">
        <v>64006950</v>
      </c>
      <c r="V983" s="290">
        <v>65534550</v>
      </c>
      <c r="W983" s="290">
        <v>83619000</v>
      </c>
      <c r="X983" s="290">
        <v>121530150</v>
      </c>
      <c r="Y983" s="290"/>
      <c r="Z983" s="290"/>
      <c r="AA983" s="281">
        <f t="shared" si="1116"/>
        <v>474264750</v>
      </c>
      <c r="AB983" s="403">
        <f t="shared" si="1104"/>
        <v>836958600</v>
      </c>
      <c r="AC983" s="326">
        <f t="shared" si="1105"/>
        <v>1.1346574434761754</v>
      </c>
    </row>
    <row r="984" spans="1:29" ht="14.25" x14ac:dyDescent="0.2">
      <c r="B984" s="323" t="s">
        <v>1067</v>
      </c>
      <c r="C984" s="206" t="s">
        <v>375</v>
      </c>
      <c r="D984" s="303">
        <v>206536703.52000001</v>
      </c>
      <c r="E984" s="325">
        <f>SUM('ADICIONES  2021'!C984:N984)</f>
        <v>0</v>
      </c>
      <c r="F984" s="290"/>
      <c r="G984" s="290"/>
      <c r="H984" s="290"/>
      <c r="I984" s="290"/>
      <c r="J984" s="290"/>
      <c r="K984" s="281">
        <f t="shared" si="1171"/>
        <v>206536703.52000001</v>
      </c>
      <c r="L984" s="290">
        <v>23929416</v>
      </c>
      <c r="M984" s="290">
        <v>14173530</v>
      </c>
      <c r="N984" s="290">
        <v>16595460</v>
      </c>
      <c r="O984" s="290">
        <v>17325000</v>
      </c>
      <c r="P984" s="290">
        <v>17796954</v>
      </c>
      <c r="Q984" s="290">
        <v>11733918</v>
      </c>
      <c r="R984" s="281">
        <f t="shared" si="1115"/>
        <v>101554278</v>
      </c>
      <c r="S984" s="290">
        <v>16029552</v>
      </c>
      <c r="T984" s="290">
        <v>23051196</v>
      </c>
      <c r="U984" s="290">
        <v>17921946</v>
      </c>
      <c r="V984" s="290">
        <v>18349674</v>
      </c>
      <c r="W984" s="290">
        <v>23413320</v>
      </c>
      <c r="X984" s="290">
        <v>34028442</v>
      </c>
      <c r="Y984" s="290"/>
      <c r="Z984" s="290"/>
      <c r="AA984" s="281">
        <f t="shared" si="1116"/>
        <v>132794130</v>
      </c>
      <c r="AB984" s="403">
        <f t="shared" si="1104"/>
        <v>234348408</v>
      </c>
      <c r="AC984" s="326">
        <f t="shared" si="1105"/>
        <v>1.1346574434761754</v>
      </c>
    </row>
    <row r="985" spans="1:29" s="61" customFormat="1" ht="25.5" x14ac:dyDescent="0.2">
      <c r="A985" s="421"/>
      <c r="B985" s="318" t="s">
        <v>1068</v>
      </c>
      <c r="C985" s="319" t="s">
        <v>377</v>
      </c>
      <c r="D985" s="292">
        <f>+D986</f>
        <v>2006356548.49</v>
      </c>
      <c r="E985" s="322">
        <f>SUM('ADICIONES  2021'!C985:N985)</f>
        <v>0</v>
      </c>
      <c r="F985" s="289"/>
      <c r="G985" s="289">
        <f t="shared" ref="G985:J985" si="1181">+G986</f>
        <v>0</v>
      </c>
      <c r="H985" s="289">
        <f t="shared" si="1181"/>
        <v>0</v>
      </c>
      <c r="I985" s="289">
        <f t="shared" si="1181"/>
        <v>0</v>
      </c>
      <c r="J985" s="289">
        <f t="shared" si="1181"/>
        <v>0</v>
      </c>
      <c r="K985" s="276">
        <f t="shared" si="1171"/>
        <v>2006356548.49</v>
      </c>
      <c r="L985" s="289">
        <f t="shared" ref="L985:Q985" si="1182">+L986</f>
        <v>232457184</v>
      </c>
      <c r="M985" s="289">
        <f t="shared" si="1182"/>
        <v>137685720</v>
      </c>
      <c r="N985" s="289">
        <f t="shared" si="1182"/>
        <v>161213040</v>
      </c>
      <c r="O985" s="289">
        <f t="shared" si="1182"/>
        <v>168300000</v>
      </c>
      <c r="P985" s="289">
        <f t="shared" si="1182"/>
        <v>172884696</v>
      </c>
      <c r="Q985" s="289">
        <f t="shared" si="1182"/>
        <v>113986632</v>
      </c>
      <c r="R985" s="276">
        <f t="shared" si="1115"/>
        <v>986527272</v>
      </c>
      <c r="S985" s="289">
        <f t="shared" ref="S985:Z985" si="1183">+S986</f>
        <v>157730825.87</v>
      </c>
      <c r="T985" s="289">
        <f t="shared" si="1183"/>
        <v>223925904</v>
      </c>
      <c r="U985" s="289">
        <f t="shared" si="1183"/>
        <v>174098904</v>
      </c>
      <c r="V985" s="289">
        <f t="shared" si="1183"/>
        <v>178253976</v>
      </c>
      <c r="W985" s="289">
        <f t="shared" si="1183"/>
        <v>228293447.27000001</v>
      </c>
      <c r="X985" s="289">
        <f t="shared" si="1183"/>
        <v>330562008</v>
      </c>
      <c r="Y985" s="289">
        <f t="shared" si="1183"/>
        <v>0</v>
      </c>
      <c r="Z985" s="289">
        <f t="shared" si="1183"/>
        <v>0</v>
      </c>
      <c r="AA985" s="276">
        <f t="shared" si="1116"/>
        <v>1292865065.1399999</v>
      </c>
      <c r="AB985" s="402">
        <f t="shared" si="1104"/>
        <v>2279392337.1399999</v>
      </c>
      <c r="AC985" s="321">
        <f t="shared" si="1105"/>
        <v>1.1360853776740174</v>
      </c>
    </row>
    <row r="986" spans="1:29" ht="14.25" x14ac:dyDescent="0.2">
      <c r="B986" s="323" t="s">
        <v>1069</v>
      </c>
      <c r="C986" s="206" t="s">
        <v>378</v>
      </c>
      <c r="D986" s="303">
        <v>2006356548.49</v>
      </c>
      <c r="E986" s="325">
        <f>SUM('ADICIONES  2021'!C986:N986)</f>
        <v>0</v>
      </c>
      <c r="F986" s="290"/>
      <c r="G986" s="290"/>
      <c r="H986" s="290"/>
      <c r="I986" s="290"/>
      <c r="J986" s="290"/>
      <c r="K986" s="281">
        <f t="shared" si="1171"/>
        <v>2006356548.49</v>
      </c>
      <c r="L986" s="290">
        <v>232457184</v>
      </c>
      <c r="M986" s="290">
        <v>137685720</v>
      </c>
      <c r="N986" s="290">
        <v>161213040</v>
      </c>
      <c r="O986" s="290">
        <v>168300000</v>
      </c>
      <c r="P986" s="290">
        <v>172884696</v>
      </c>
      <c r="Q986" s="290">
        <v>113986632</v>
      </c>
      <c r="R986" s="281">
        <f t="shared" si="1115"/>
        <v>986527272</v>
      </c>
      <c r="S986" s="290">
        <v>157730825.87</v>
      </c>
      <c r="T986" s="290">
        <v>223925904</v>
      </c>
      <c r="U986" s="290">
        <v>174098904</v>
      </c>
      <c r="V986" s="290">
        <v>178253976</v>
      </c>
      <c r="W986" s="290">
        <v>228293447.27000001</v>
      </c>
      <c r="X986" s="290">
        <v>330562008</v>
      </c>
      <c r="Y986" s="290"/>
      <c r="Z986" s="290"/>
      <c r="AA986" s="281">
        <f t="shared" si="1116"/>
        <v>1292865065.1399999</v>
      </c>
      <c r="AB986" s="403">
        <f t="shared" si="1104"/>
        <v>2279392337.1399999</v>
      </c>
      <c r="AC986" s="326">
        <f t="shared" si="1105"/>
        <v>1.1360853776740174</v>
      </c>
    </row>
    <row r="987" spans="1:29" s="61" customFormat="1" ht="25.5" x14ac:dyDescent="0.2">
      <c r="A987" s="421"/>
      <c r="B987" s="318" t="s">
        <v>1070</v>
      </c>
      <c r="C987" s="319" t="s">
        <v>1071</v>
      </c>
      <c r="D987" s="292">
        <f>SUM(D988:D990)</f>
        <v>8618601363.8400002</v>
      </c>
      <c r="E987" s="322">
        <f>SUM('ADICIONES  2021'!C987:N987)</f>
        <v>0</v>
      </c>
      <c r="F987" s="289"/>
      <c r="G987" s="289">
        <f t="shared" ref="G987:J987" si="1184">SUM(G988:G990)</f>
        <v>0</v>
      </c>
      <c r="H987" s="289">
        <f t="shared" si="1184"/>
        <v>0</v>
      </c>
      <c r="I987" s="289">
        <f t="shared" si="1184"/>
        <v>0</v>
      </c>
      <c r="J987" s="289">
        <f t="shared" si="1184"/>
        <v>0</v>
      </c>
      <c r="K987" s="276">
        <f t="shared" si="1171"/>
        <v>8618601363.8400002</v>
      </c>
      <c r="L987" s="289">
        <f t="shared" ref="L987:Q987" si="1185">SUM(L988:L990)</f>
        <v>839952212</v>
      </c>
      <c r="M987" s="289">
        <f t="shared" si="1185"/>
        <v>660962981</v>
      </c>
      <c r="N987" s="289">
        <f t="shared" si="1185"/>
        <v>683245292</v>
      </c>
      <c r="O987" s="289">
        <f t="shared" si="1185"/>
        <v>728057222</v>
      </c>
      <c r="P987" s="289">
        <f t="shared" si="1185"/>
        <v>740807793</v>
      </c>
      <c r="Q987" s="289">
        <f t="shared" si="1185"/>
        <v>657534255</v>
      </c>
      <c r="R987" s="276">
        <f t="shared" si="1115"/>
        <v>4310559755</v>
      </c>
      <c r="S987" s="289">
        <f t="shared" ref="S987:Z987" si="1186">SUM(S988:S990)</f>
        <v>627775227.76999998</v>
      </c>
      <c r="T987" s="289">
        <f t="shared" si="1186"/>
        <v>622288823</v>
      </c>
      <c r="U987" s="289">
        <f t="shared" si="1186"/>
        <v>590745503</v>
      </c>
      <c r="V987" s="289">
        <f t="shared" si="1186"/>
        <v>627358080</v>
      </c>
      <c r="W987" s="289">
        <f t="shared" si="1186"/>
        <v>683810407.69000006</v>
      </c>
      <c r="X987" s="289">
        <f t="shared" si="1186"/>
        <v>726772393</v>
      </c>
      <c r="Y987" s="289">
        <f t="shared" si="1186"/>
        <v>0</v>
      </c>
      <c r="Z987" s="289">
        <f t="shared" si="1186"/>
        <v>0</v>
      </c>
      <c r="AA987" s="276">
        <f t="shared" si="1116"/>
        <v>3878750434.46</v>
      </c>
      <c r="AB987" s="402">
        <f t="shared" si="1104"/>
        <v>8189310189.46</v>
      </c>
      <c r="AC987" s="321">
        <f t="shared" si="1105"/>
        <v>0.95019015774634574</v>
      </c>
    </row>
    <row r="988" spans="1:29" ht="14.25" x14ac:dyDescent="0.2">
      <c r="B988" s="323" t="s">
        <v>1072</v>
      </c>
      <c r="C988" s="206" t="s">
        <v>375</v>
      </c>
      <c r="D988" s="303">
        <v>2154650340.96</v>
      </c>
      <c r="E988" s="325">
        <f>SUM('ADICIONES  2021'!C988:N988)</f>
        <v>0</v>
      </c>
      <c r="F988" s="290"/>
      <c r="G988" s="290"/>
      <c r="H988" s="290"/>
      <c r="I988" s="290"/>
      <c r="J988" s="290"/>
      <c r="K988" s="281">
        <f t="shared" si="1171"/>
        <v>2154650340.96</v>
      </c>
      <c r="L988" s="290">
        <v>209988053</v>
      </c>
      <c r="M988" s="290">
        <v>165240745</v>
      </c>
      <c r="N988" s="290">
        <v>170811323</v>
      </c>
      <c r="O988" s="290">
        <v>182014305</v>
      </c>
      <c r="P988" s="290">
        <v>185201948</v>
      </c>
      <c r="Q988" s="290">
        <v>164383564</v>
      </c>
      <c r="R988" s="281">
        <f t="shared" si="1115"/>
        <v>1077639938</v>
      </c>
      <c r="S988" s="290">
        <v>155224569</v>
      </c>
      <c r="T988" s="290">
        <v>155572206</v>
      </c>
      <c r="U988" s="290">
        <v>147686376</v>
      </c>
      <c r="V988" s="290">
        <v>156839520</v>
      </c>
      <c r="W988" s="290">
        <v>170305163</v>
      </c>
      <c r="X988" s="290">
        <v>181693098</v>
      </c>
      <c r="Y988" s="290"/>
      <c r="Z988" s="290"/>
      <c r="AA988" s="281">
        <f t="shared" si="1116"/>
        <v>967320932</v>
      </c>
      <c r="AB988" s="403">
        <f t="shared" si="1104"/>
        <v>2044960870</v>
      </c>
      <c r="AC988" s="326">
        <f t="shared" si="1105"/>
        <v>0.94909175336953833</v>
      </c>
    </row>
    <row r="989" spans="1:29" ht="14.25" x14ac:dyDescent="0.2">
      <c r="B989" s="323" t="s">
        <v>1073</v>
      </c>
      <c r="C989" s="206" t="s">
        <v>375</v>
      </c>
      <c r="D989" s="303">
        <v>603302095.47000003</v>
      </c>
      <c r="E989" s="325">
        <f>SUM('ADICIONES  2021'!C989:N989)</f>
        <v>0</v>
      </c>
      <c r="F989" s="290"/>
      <c r="G989" s="290"/>
      <c r="H989" s="290"/>
      <c r="I989" s="290"/>
      <c r="J989" s="290"/>
      <c r="K989" s="281">
        <f t="shared" si="1171"/>
        <v>603302095.47000003</v>
      </c>
      <c r="L989" s="290">
        <v>58796655</v>
      </c>
      <c r="M989" s="290">
        <v>46267409</v>
      </c>
      <c r="N989" s="290">
        <v>47827170</v>
      </c>
      <c r="O989" s="290">
        <v>50964006</v>
      </c>
      <c r="P989" s="290">
        <v>51856546</v>
      </c>
      <c r="Q989" s="290">
        <v>46027398</v>
      </c>
      <c r="R989" s="281">
        <f t="shared" si="1115"/>
        <v>301739184</v>
      </c>
      <c r="S989" s="290">
        <v>43462879</v>
      </c>
      <c r="T989" s="290">
        <v>43560218</v>
      </c>
      <c r="U989" s="290">
        <v>41352185</v>
      </c>
      <c r="V989" s="290">
        <v>43915066</v>
      </c>
      <c r="W989" s="290">
        <v>47685446</v>
      </c>
      <c r="X989" s="290">
        <v>50874068</v>
      </c>
      <c r="Y989" s="290"/>
      <c r="Z989" s="290"/>
      <c r="AA989" s="281">
        <f t="shared" si="1116"/>
        <v>270849862</v>
      </c>
      <c r="AB989" s="403">
        <f t="shared" si="1104"/>
        <v>572589046</v>
      </c>
      <c r="AC989" s="326">
        <f t="shared" si="1105"/>
        <v>0.94909175734575701</v>
      </c>
    </row>
    <row r="990" spans="1:29" s="61" customFormat="1" ht="25.5" x14ac:dyDescent="0.2">
      <c r="A990" s="421"/>
      <c r="B990" s="318" t="s">
        <v>1074</v>
      </c>
      <c r="C990" s="319" t="s">
        <v>377</v>
      </c>
      <c r="D990" s="292">
        <f>+D991</f>
        <v>5860648927.4099998</v>
      </c>
      <c r="E990" s="322">
        <f>SUM('ADICIONES  2021'!C990:N990)</f>
        <v>0</v>
      </c>
      <c r="F990" s="289"/>
      <c r="G990" s="289">
        <f t="shared" ref="G990:J990" si="1187">+G991</f>
        <v>0</v>
      </c>
      <c r="H990" s="289">
        <f t="shared" si="1187"/>
        <v>0</v>
      </c>
      <c r="I990" s="289">
        <f t="shared" si="1187"/>
        <v>0</v>
      </c>
      <c r="J990" s="289">
        <f t="shared" si="1187"/>
        <v>0</v>
      </c>
      <c r="K990" s="276">
        <f t="shared" si="1171"/>
        <v>5860648927.4099998</v>
      </c>
      <c r="L990" s="289">
        <f t="shared" ref="L990:Q990" si="1188">+L991</f>
        <v>571167504</v>
      </c>
      <c r="M990" s="289">
        <f t="shared" si="1188"/>
        <v>449454827</v>
      </c>
      <c r="N990" s="289">
        <f t="shared" si="1188"/>
        <v>464606799</v>
      </c>
      <c r="O990" s="289">
        <f t="shared" si="1188"/>
        <v>495078911</v>
      </c>
      <c r="P990" s="289">
        <f t="shared" si="1188"/>
        <v>503749299</v>
      </c>
      <c r="Q990" s="289">
        <f t="shared" si="1188"/>
        <v>447123293</v>
      </c>
      <c r="R990" s="276">
        <f t="shared" si="1115"/>
        <v>2931180633</v>
      </c>
      <c r="S990" s="289">
        <f t="shared" ref="S990:Z990" si="1189">+S991</f>
        <v>429087779.76999998</v>
      </c>
      <c r="T990" s="289">
        <f t="shared" si="1189"/>
        <v>423156399</v>
      </c>
      <c r="U990" s="289">
        <f t="shared" si="1189"/>
        <v>401706942</v>
      </c>
      <c r="V990" s="289">
        <f t="shared" si="1189"/>
        <v>426603494</v>
      </c>
      <c r="W990" s="289">
        <f t="shared" si="1189"/>
        <v>465819798.69</v>
      </c>
      <c r="X990" s="289">
        <f t="shared" si="1189"/>
        <v>494205227</v>
      </c>
      <c r="Y990" s="289">
        <f t="shared" si="1189"/>
        <v>0</v>
      </c>
      <c r="Z990" s="289">
        <f t="shared" si="1189"/>
        <v>0</v>
      </c>
      <c r="AA990" s="276">
        <f t="shared" si="1116"/>
        <v>2640579640.46</v>
      </c>
      <c r="AB990" s="402">
        <f t="shared" si="1104"/>
        <v>5571760273.46</v>
      </c>
      <c r="AC990" s="321">
        <f t="shared" si="1105"/>
        <v>0.95070705351435059</v>
      </c>
    </row>
    <row r="991" spans="1:29" ht="14.25" x14ac:dyDescent="0.2">
      <c r="B991" s="323" t="s">
        <v>1075</v>
      </c>
      <c r="C991" s="206" t="s">
        <v>378</v>
      </c>
      <c r="D991" s="303">
        <v>5860648927.4099998</v>
      </c>
      <c r="E991" s="325">
        <f>SUM('ADICIONES  2021'!C991:N991)</f>
        <v>0</v>
      </c>
      <c r="F991" s="290"/>
      <c r="G991" s="290"/>
      <c r="H991" s="290"/>
      <c r="I991" s="290"/>
      <c r="J991" s="290"/>
      <c r="K991" s="281">
        <f t="shared" si="1171"/>
        <v>5860648927.4099998</v>
      </c>
      <c r="L991" s="290">
        <v>571167504</v>
      </c>
      <c r="M991" s="290">
        <v>449454827</v>
      </c>
      <c r="N991" s="290">
        <v>464606799</v>
      </c>
      <c r="O991" s="290">
        <v>495078911</v>
      </c>
      <c r="P991" s="290">
        <v>503749299</v>
      </c>
      <c r="Q991" s="290">
        <v>447123293</v>
      </c>
      <c r="R991" s="281">
        <f t="shared" si="1115"/>
        <v>2931180633</v>
      </c>
      <c r="S991" s="290">
        <v>429087779.76999998</v>
      </c>
      <c r="T991" s="290">
        <v>423156399</v>
      </c>
      <c r="U991" s="290">
        <v>401706942</v>
      </c>
      <c r="V991" s="290">
        <v>426603494</v>
      </c>
      <c r="W991" s="290">
        <v>465819798.69</v>
      </c>
      <c r="X991" s="290">
        <v>494205227</v>
      </c>
      <c r="Y991" s="290"/>
      <c r="Z991" s="290"/>
      <c r="AA991" s="281">
        <f t="shared" si="1116"/>
        <v>2640579640.46</v>
      </c>
      <c r="AB991" s="403">
        <f t="shared" si="1104"/>
        <v>5571760273.46</v>
      </c>
      <c r="AC991" s="326">
        <f t="shared" si="1105"/>
        <v>0.95070705351435059</v>
      </c>
    </row>
    <row r="992" spans="1:29" s="61" customFormat="1" ht="25.5" x14ac:dyDescent="0.2">
      <c r="A992" s="421"/>
      <c r="B992" s="318" t="s">
        <v>1076</v>
      </c>
      <c r="C992" s="319" t="s">
        <v>1077</v>
      </c>
      <c r="D992" s="292">
        <f>SUM(D993:D997)</f>
        <v>198637010.81</v>
      </c>
      <c r="E992" s="322">
        <f>SUM('ADICIONES  2021'!C992:N992)</f>
        <v>19117646</v>
      </c>
      <c r="F992" s="289"/>
      <c r="G992" s="289">
        <f t="shared" ref="G992:J992" si="1190">SUM(G993:G997)</f>
        <v>0</v>
      </c>
      <c r="H992" s="289">
        <f t="shared" si="1190"/>
        <v>0</v>
      </c>
      <c r="I992" s="289">
        <f t="shared" si="1190"/>
        <v>0</v>
      </c>
      <c r="J992" s="289">
        <f t="shared" si="1190"/>
        <v>0</v>
      </c>
      <c r="K992" s="276">
        <f t="shared" si="1171"/>
        <v>217754656.81</v>
      </c>
      <c r="L992" s="289">
        <f t="shared" ref="L992:Q992" si="1191">SUM(L993:L997)</f>
        <v>6422780</v>
      </c>
      <c r="M992" s="289">
        <f t="shared" si="1191"/>
        <v>12063993.48</v>
      </c>
      <c r="N992" s="289">
        <f t="shared" si="1191"/>
        <v>10414600</v>
      </c>
      <c r="O992" s="289">
        <f t="shared" si="1191"/>
        <v>21622958</v>
      </c>
      <c r="P992" s="289">
        <f t="shared" si="1191"/>
        <v>15215150</v>
      </c>
      <c r="Q992" s="289">
        <f t="shared" si="1191"/>
        <v>13002605</v>
      </c>
      <c r="R992" s="276">
        <f t="shared" si="1115"/>
        <v>78742086.480000004</v>
      </c>
      <c r="S992" s="289">
        <f t="shared" ref="S992:Z992" si="1192">SUM(S993:S997)</f>
        <v>42600022.659999996</v>
      </c>
      <c r="T992" s="289">
        <f t="shared" si="1192"/>
        <v>9870647</v>
      </c>
      <c r="U992" s="289">
        <f t="shared" si="1192"/>
        <v>34302800</v>
      </c>
      <c r="V992" s="289">
        <f t="shared" si="1192"/>
        <v>16704295</v>
      </c>
      <c r="W992" s="289">
        <f t="shared" si="1192"/>
        <v>20462808.850000001</v>
      </c>
      <c r="X992" s="289">
        <f t="shared" si="1192"/>
        <v>98645365</v>
      </c>
      <c r="Y992" s="289">
        <f t="shared" si="1192"/>
        <v>2.3283064365386963E-10</v>
      </c>
      <c r="Z992" s="289">
        <f t="shared" si="1192"/>
        <v>0</v>
      </c>
      <c r="AA992" s="276">
        <f t="shared" si="1116"/>
        <v>222585938.50999999</v>
      </c>
      <c r="AB992" s="402">
        <f t="shared" si="1104"/>
        <v>301328024.99000001</v>
      </c>
      <c r="AC992" s="321">
        <f t="shared" si="1105"/>
        <v>1.3837960087940679</v>
      </c>
    </row>
    <row r="993" spans="1:29" ht="14.25" x14ac:dyDescent="0.2">
      <c r="B993" s="323" t="s">
        <v>1078</v>
      </c>
      <c r="C993" s="206" t="s">
        <v>375</v>
      </c>
      <c r="D993" s="303">
        <v>49659252.700000003</v>
      </c>
      <c r="E993" s="325">
        <f>SUM('ADICIONES  2021'!C993:N993)</f>
        <v>0</v>
      </c>
      <c r="F993" s="290"/>
      <c r="G993" s="290"/>
      <c r="H993" s="290"/>
      <c r="I993" s="290"/>
      <c r="J993" s="290"/>
      <c r="K993" s="281">
        <f t="shared" si="1171"/>
        <v>49659252.700000003</v>
      </c>
      <c r="L993" s="290">
        <v>1605695</v>
      </c>
      <c r="M993" s="290">
        <v>3015998.37</v>
      </c>
      <c r="N993" s="290">
        <v>2603650</v>
      </c>
      <c r="O993" s="290">
        <v>5405739.9400000004</v>
      </c>
      <c r="P993" s="290">
        <v>3803787.5</v>
      </c>
      <c r="Q993" s="290">
        <v>3250651.25</v>
      </c>
      <c r="R993" s="281">
        <f t="shared" si="1115"/>
        <v>19685522.060000002</v>
      </c>
      <c r="S993" s="290">
        <v>10580568</v>
      </c>
      <c r="T993" s="290">
        <v>2467661.71</v>
      </c>
      <c r="U993" s="290">
        <v>8575700</v>
      </c>
      <c r="V993" s="290">
        <v>4176074</v>
      </c>
      <c r="W993" s="290">
        <v>5095433</v>
      </c>
      <c r="X993" s="290">
        <v>20803636.07</v>
      </c>
      <c r="Y993" s="290">
        <v>-921706.07000000775</v>
      </c>
      <c r="Z993" s="290"/>
      <c r="AA993" s="281">
        <f t="shared" ref="AA993" si="1193">SUM(S993:Z993)</f>
        <v>50777366.709999993</v>
      </c>
      <c r="AB993" s="403">
        <f t="shared" si="1104"/>
        <v>70462888.769999996</v>
      </c>
      <c r="AC993" s="326">
        <f t="shared" si="1105"/>
        <v>1.4189276909920152</v>
      </c>
    </row>
    <row r="994" spans="1:29" ht="14.25" x14ac:dyDescent="0.2">
      <c r="B994" s="323" t="s">
        <v>1078</v>
      </c>
      <c r="C994" s="206" t="s">
        <v>375</v>
      </c>
      <c r="D994" s="303"/>
      <c r="E994" s="325">
        <f>SUM('ADICIONES  2021'!C994:N994)</f>
        <v>4779411</v>
      </c>
      <c r="F994" s="290"/>
      <c r="G994" s="290"/>
      <c r="H994" s="290"/>
      <c r="I994" s="290"/>
      <c r="J994" s="290"/>
      <c r="K994" s="281">
        <f t="shared" si="1171"/>
        <v>4779411</v>
      </c>
      <c r="L994" s="290"/>
      <c r="M994" s="290"/>
      <c r="N994" s="290"/>
      <c r="O994" s="290"/>
      <c r="P994" s="290"/>
      <c r="Q994" s="290"/>
      <c r="R994" s="281">
        <f t="shared" si="1115"/>
        <v>0</v>
      </c>
      <c r="S994" s="290"/>
      <c r="T994" s="290"/>
      <c r="U994" s="290"/>
      <c r="V994" s="290"/>
      <c r="W994" s="290"/>
      <c r="X994" s="290">
        <v>3857704.93</v>
      </c>
      <c r="Y994" s="290">
        <v>921706.06999999983</v>
      </c>
      <c r="Z994" s="290"/>
      <c r="AA994" s="281">
        <f t="shared" ref="AA994:AA996" si="1194">SUM(S994:Z994)</f>
        <v>4779411</v>
      </c>
      <c r="AB994" s="403">
        <f t="shared" ref="AB994:AB996" si="1195">+R994+AA994</f>
        <v>4779411</v>
      </c>
      <c r="AC994" s="326">
        <f t="shared" ref="AC994:AC996" si="1196">+AB994/K994</f>
        <v>1</v>
      </c>
    </row>
    <row r="995" spans="1:29" ht="14.25" x14ac:dyDescent="0.2">
      <c r="B995" s="323" t="s">
        <v>1079</v>
      </c>
      <c r="C995" s="206" t="s">
        <v>375</v>
      </c>
      <c r="D995" s="303">
        <v>13904590.76</v>
      </c>
      <c r="E995" s="325">
        <f>SUM('ADICIONES  2021'!C995:N995)</f>
        <v>0</v>
      </c>
      <c r="F995" s="290"/>
      <c r="G995" s="290"/>
      <c r="H995" s="290"/>
      <c r="I995" s="290"/>
      <c r="J995" s="290"/>
      <c r="K995" s="281">
        <f t="shared" si="1171"/>
        <v>13904590.76</v>
      </c>
      <c r="L995" s="290">
        <v>449595</v>
      </c>
      <c r="M995" s="290">
        <v>844479.11</v>
      </c>
      <c r="N995" s="290">
        <v>729022</v>
      </c>
      <c r="O995" s="290">
        <v>1513607.06</v>
      </c>
      <c r="P995" s="290">
        <v>1065060.5</v>
      </c>
      <c r="Q995" s="290">
        <v>910182.75</v>
      </c>
      <c r="R995" s="281">
        <f t="shared" si="1115"/>
        <v>5511946.4199999999</v>
      </c>
      <c r="S995" s="290">
        <v>2962559</v>
      </c>
      <c r="T995" s="290">
        <v>690945.29</v>
      </c>
      <c r="U995" s="290">
        <v>2401196</v>
      </c>
      <c r="V995" s="290">
        <v>1169300</v>
      </c>
      <c r="W995" s="290">
        <v>1426721</v>
      </c>
      <c r="X995" s="290">
        <v>5825017.9500000002</v>
      </c>
      <c r="Y995" s="290">
        <v>-258076.94999999553</v>
      </c>
      <c r="Z995" s="290"/>
      <c r="AA995" s="281">
        <f t="shared" si="1194"/>
        <v>14217662.290000003</v>
      </c>
      <c r="AB995" s="403">
        <f t="shared" si="1195"/>
        <v>19729608.710000001</v>
      </c>
      <c r="AC995" s="326">
        <f t="shared" si="1196"/>
        <v>1.418927680112464</v>
      </c>
    </row>
    <row r="996" spans="1:29" ht="14.25" x14ac:dyDescent="0.2">
      <c r="B996" s="323" t="s">
        <v>1079</v>
      </c>
      <c r="C996" s="206" t="s">
        <v>375</v>
      </c>
      <c r="D996" s="303"/>
      <c r="E996" s="325">
        <f>SUM('ADICIONES  2021'!C996:N996)</f>
        <v>1338235</v>
      </c>
      <c r="F996" s="290"/>
      <c r="G996" s="290"/>
      <c r="H996" s="290"/>
      <c r="I996" s="290"/>
      <c r="J996" s="290"/>
      <c r="K996" s="281">
        <f t="shared" si="1171"/>
        <v>1338235</v>
      </c>
      <c r="L996" s="290"/>
      <c r="M996" s="290"/>
      <c r="N996" s="290"/>
      <c r="O996" s="290"/>
      <c r="P996" s="290"/>
      <c r="Q996" s="290"/>
      <c r="R996" s="281">
        <f t="shared" si="1115"/>
        <v>0</v>
      </c>
      <c r="S996" s="290"/>
      <c r="T996" s="290"/>
      <c r="U996" s="290"/>
      <c r="V996" s="290"/>
      <c r="W996" s="290"/>
      <c r="X996" s="290">
        <v>1080158.05</v>
      </c>
      <c r="Y996" s="290">
        <v>258076.94999999995</v>
      </c>
      <c r="Z996" s="290"/>
      <c r="AA996" s="281">
        <f t="shared" si="1194"/>
        <v>1338235</v>
      </c>
      <c r="AB996" s="403">
        <f t="shared" si="1195"/>
        <v>1338235</v>
      </c>
      <c r="AC996" s="326">
        <f t="shared" si="1196"/>
        <v>1</v>
      </c>
    </row>
    <row r="997" spans="1:29" s="61" customFormat="1" ht="25.5" x14ac:dyDescent="0.2">
      <c r="A997" s="421"/>
      <c r="B997" s="318" t="s">
        <v>1080</v>
      </c>
      <c r="C997" s="319" t="s">
        <v>377</v>
      </c>
      <c r="D997" s="292">
        <f>+D998+D999</f>
        <v>135073167.34999999</v>
      </c>
      <c r="E997" s="322">
        <f>SUM('ADICIONES  2021'!C997:N997)</f>
        <v>13000000</v>
      </c>
      <c r="F997" s="292">
        <f t="shared" ref="F997:J997" si="1197">+F998+F999</f>
        <v>0</v>
      </c>
      <c r="G997" s="292">
        <f t="shared" si="1197"/>
        <v>0</v>
      </c>
      <c r="H997" s="292">
        <f t="shared" si="1197"/>
        <v>0</v>
      </c>
      <c r="I997" s="292">
        <f t="shared" si="1197"/>
        <v>0</v>
      </c>
      <c r="J997" s="292">
        <f t="shared" si="1197"/>
        <v>0</v>
      </c>
      <c r="K997" s="276">
        <f t="shared" si="1171"/>
        <v>148073167.34999999</v>
      </c>
      <c r="L997" s="292">
        <f t="shared" ref="L997:Q997" si="1198">+L998+L999</f>
        <v>4367490</v>
      </c>
      <c r="M997" s="292">
        <f t="shared" si="1198"/>
        <v>8203516</v>
      </c>
      <c r="N997" s="292">
        <f t="shared" si="1198"/>
        <v>7081928</v>
      </c>
      <c r="O997" s="292">
        <f t="shared" si="1198"/>
        <v>14703611</v>
      </c>
      <c r="P997" s="292">
        <f t="shared" si="1198"/>
        <v>10346302</v>
      </c>
      <c r="Q997" s="292">
        <f t="shared" si="1198"/>
        <v>8841771</v>
      </c>
      <c r="R997" s="276">
        <f t="shared" si="1115"/>
        <v>53544618</v>
      </c>
      <c r="S997" s="292">
        <f t="shared" ref="S997:Z997" si="1199">+S998+S999</f>
        <v>29056895.66</v>
      </c>
      <c r="T997" s="292">
        <f t="shared" si="1199"/>
        <v>6712040</v>
      </c>
      <c r="U997" s="292">
        <f t="shared" si="1199"/>
        <v>23325904</v>
      </c>
      <c r="V997" s="292">
        <f t="shared" si="1199"/>
        <v>11358921</v>
      </c>
      <c r="W997" s="292">
        <f t="shared" si="1199"/>
        <v>13940654.85</v>
      </c>
      <c r="X997" s="292">
        <f t="shared" si="1199"/>
        <v>67078848</v>
      </c>
      <c r="Y997" s="292">
        <f t="shared" si="1199"/>
        <v>3.7252902984619141E-9</v>
      </c>
      <c r="Z997" s="292">
        <f t="shared" si="1199"/>
        <v>0</v>
      </c>
      <c r="AA997" s="276">
        <f t="shared" ref="AA997" si="1200">SUM(S997:Z997)</f>
        <v>151473263.50999999</v>
      </c>
      <c r="AB997" s="402">
        <f t="shared" si="1104"/>
        <v>205017881.50999999</v>
      </c>
      <c r="AC997" s="321">
        <f t="shared" si="1105"/>
        <v>1.384571460036375</v>
      </c>
    </row>
    <row r="998" spans="1:29" ht="14.25" x14ac:dyDescent="0.2">
      <c r="B998" s="323" t="s">
        <v>1081</v>
      </c>
      <c r="C998" s="206" t="s">
        <v>378</v>
      </c>
      <c r="D998" s="303">
        <v>135073167.34999999</v>
      </c>
      <c r="E998" s="325">
        <f>SUM('ADICIONES  2021'!C998:N998)</f>
        <v>0</v>
      </c>
      <c r="F998" s="290"/>
      <c r="G998" s="290"/>
      <c r="H998" s="290"/>
      <c r="I998" s="290"/>
      <c r="J998" s="290"/>
      <c r="K998" s="281">
        <f t="shared" si="1171"/>
        <v>135073167.34999999</v>
      </c>
      <c r="L998" s="290">
        <v>4367490</v>
      </c>
      <c r="M998" s="290">
        <v>8203516</v>
      </c>
      <c r="N998" s="290">
        <v>7081928</v>
      </c>
      <c r="O998" s="290">
        <v>14703611</v>
      </c>
      <c r="P998" s="290">
        <v>10346302</v>
      </c>
      <c r="Q998" s="290">
        <v>8841771</v>
      </c>
      <c r="R998" s="281">
        <f t="shared" si="1115"/>
        <v>53544618</v>
      </c>
      <c r="S998" s="290">
        <v>29056895.66</v>
      </c>
      <c r="T998" s="290">
        <v>6712040</v>
      </c>
      <c r="U998" s="290">
        <v>23325904</v>
      </c>
      <c r="V998" s="290">
        <v>11358921</v>
      </c>
      <c r="W998" s="290">
        <v>13940654.85</v>
      </c>
      <c r="X998" s="290">
        <v>56944714.159999996</v>
      </c>
      <c r="Y998" s="290">
        <v>-2865866.1599999964</v>
      </c>
      <c r="Z998" s="290"/>
      <c r="AA998" s="281">
        <f t="shared" si="1116"/>
        <v>138473263.50999999</v>
      </c>
      <c r="AB998" s="403">
        <f t="shared" si="1104"/>
        <v>192017881.50999999</v>
      </c>
      <c r="AC998" s="326">
        <f t="shared" si="1105"/>
        <v>1.4215842071167659</v>
      </c>
    </row>
    <row r="999" spans="1:29" ht="14.25" x14ac:dyDescent="0.2">
      <c r="B999" s="323" t="s">
        <v>1081</v>
      </c>
      <c r="C999" s="206" t="s">
        <v>378</v>
      </c>
      <c r="D999" s="303"/>
      <c r="E999" s="325">
        <f>SUM('ADICIONES  2021'!C999:N999)</f>
        <v>13000000</v>
      </c>
      <c r="F999" s="290"/>
      <c r="G999" s="290"/>
      <c r="H999" s="290"/>
      <c r="I999" s="290"/>
      <c r="J999" s="290"/>
      <c r="K999" s="281">
        <f t="shared" si="1171"/>
        <v>13000000</v>
      </c>
      <c r="L999" s="290"/>
      <c r="M999" s="290"/>
      <c r="N999" s="290"/>
      <c r="O999" s="290"/>
      <c r="P999" s="290"/>
      <c r="Q999" s="290"/>
      <c r="R999" s="281">
        <f t="shared" si="1115"/>
        <v>0</v>
      </c>
      <c r="S999" s="290"/>
      <c r="T999" s="290"/>
      <c r="U999" s="290"/>
      <c r="V999" s="290"/>
      <c r="W999" s="290"/>
      <c r="X999" s="290">
        <v>10134133.84</v>
      </c>
      <c r="Y999" s="290">
        <v>2865866.16</v>
      </c>
      <c r="Z999" s="290"/>
      <c r="AA999" s="281">
        <f t="shared" ref="AA999" si="1201">SUM(S999:Z999)</f>
        <v>13000000</v>
      </c>
      <c r="AB999" s="403">
        <f t="shared" ref="AB999" si="1202">+R999+AA999</f>
        <v>13000000</v>
      </c>
      <c r="AC999" s="326">
        <f t="shared" ref="AC999" si="1203">+AB999/K999</f>
        <v>1</v>
      </c>
    </row>
    <row r="1000" spans="1:29" s="138" customFormat="1" ht="19.5" x14ac:dyDescent="0.2">
      <c r="A1000" s="137">
        <v>1</v>
      </c>
      <c r="B1000" s="343" t="s">
        <v>697</v>
      </c>
      <c r="C1000" s="344" t="s">
        <v>1082</v>
      </c>
      <c r="D1000" s="293">
        <f>+D1001+D1015+D1027+D1010+D1078</f>
        <v>2493812498.7199998</v>
      </c>
      <c r="E1000" s="320">
        <f>SUM('ADICIONES  2021'!C1000:N1000)</f>
        <v>32314683676.32</v>
      </c>
      <c r="F1000" s="293">
        <f t="shared" ref="F1000:J1000" si="1204">+F1001+F1015+F1027+F1010+F1078</f>
        <v>29906238.68</v>
      </c>
      <c r="G1000" s="293">
        <f t="shared" si="1204"/>
        <v>0</v>
      </c>
      <c r="H1000" s="293">
        <f t="shared" si="1204"/>
        <v>0</v>
      </c>
      <c r="I1000" s="293">
        <f t="shared" si="1204"/>
        <v>0</v>
      </c>
      <c r="J1000" s="293">
        <f t="shared" si="1204"/>
        <v>0</v>
      </c>
      <c r="K1000" s="285">
        <f t="shared" si="1171"/>
        <v>34778589936.360001</v>
      </c>
      <c r="L1000" s="293">
        <f t="shared" ref="L1000:Q1000" si="1205">+L1001+L1015+L1027+L1010+L1078</f>
        <v>224739699.27000001</v>
      </c>
      <c r="M1000" s="293">
        <f t="shared" si="1205"/>
        <v>203500624.38</v>
      </c>
      <c r="N1000" s="293">
        <f t="shared" si="1205"/>
        <v>440453209.22000003</v>
      </c>
      <c r="O1000" s="293">
        <f t="shared" si="1205"/>
        <v>159052299.30000001</v>
      </c>
      <c r="P1000" s="293">
        <f t="shared" si="1205"/>
        <v>21031715987.380001</v>
      </c>
      <c r="Q1000" s="293">
        <f t="shared" si="1205"/>
        <v>136531178.78999999</v>
      </c>
      <c r="R1000" s="285">
        <f t="shared" si="1115"/>
        <v>22195992998.340004</v>
      </c>
      <c r="S1000" s="293">
        <f t="shared" ref="S1000:Z1000" si="1206">+S1001+S1015+S1027+S1010+S1078</f>
        <v>157007195.66</v>
      </c>
      <c r="T1000" s="293">
        <f t="shared" si="1206"/>
        <v>148371682.42000002</v>
      </c>
      <c r="U1000" s="293">
        <f t="shared" si="1206"/>
        <v>179691297.13</v>
      </c>
      <c r="V1000" s="293">
        <f t="shared" si="1206"/>
        <v>287136340.31999999</v>
      </c>
      <c r="W1000" s="293">
        <f t="shared" si="1206"/>
        <v>240645073.31</v>
      </c>
      <c r="X1000" s="293">
        <f t="shared" si="1206"/>
        <v>311553905.62</v>
      </c>
      <c r="Y1000" s="293">
        <f t="shared" si="1206"/>
        <v>4.4703483581542969E-8</v>
      </c>
      <c r="Z1000" s="293">
        <f t="shared" si="1206"/>
        <v>0</v>
      </c>
      <c r="AA1000" s="285">
        <f t="shared" si="1116"/>
        <v>1324405494.46</v>
      </c>
      <c r="AB1000" s="407">
        <f t="shared" si="1104"/>
        <v>23520398492.800003</v>
      </c>
      <c r="AC1000" s="354">
        <f t="shared" si="1105"/>
        <v>0.67628959471442263</v>
      </c>
    </row>
    <row r="1001" spans="1:29" s="61" customFormat="1" ht="15.75" x14ac:dyDescent="0.2">
      <c r="A1001" s="421">
        <v>1</v>
      </c>
      <c r="B1001" s="318" t="s">
        <v>1083</v>
      </c>
      <c r="C1001" s="319" t="s">
        <v>1084</v>
      </c>
      <c r="D1001" s="292">
        <f>+D1002</f>
        <v>1685667209.54</v>
      </c>
      <c r="E1001" s="322">
        <f>SUM('ADICIONES  2021'!C1001:N1001)</f>
        <v>0</v>
      </c>
      <c r="F1001" s="289"/>
      <c r="G1001" s="289">
        <f t="shared" ref="G1001:J1001" si="1207">+G1002</f>
        <v>0</v>
      </c>
      <c r="H1001" s="289">
        <f t="shared" si="1207"/>
        <v>0</v>
      </c>
      <c r="I1001" s="289">
        <f t="shared" si="1207"/>
        <v>0</v>
      </c>
      <c r="J1001" s="289">
        <f t="shared" si="1207"/>
        <v>0</v>
      </c>
      <c r="K1001" s="276">
        <f t="shared" si="1171"/>
        <v>1685667209.54</v>
      </c>
      <c r="L1001" s="289">
        <f t="shared" ref="L1001:Q1001" si="1208">+L1002</f>
        <v>56312530.270000003</v>
      </c>
      <c r="M1001" s="289">
        <f t="shared" si="1208"/>
        <v>37317906.380000003</v>
      </c>
      <c r="N1001" s="289">
        <f t="shared" si="1208"/>
        <v>45177503.219999999</v>
      </c>
      <c r="O1001" s="289">
        <f t="shared" si="1208"/>
        <v>41121837.299999997</v>
      </c>
      <c r="P1001" s="289">
        <f t="shared" si="1208"/>
        <v>49957920.059999995</v>
      </c>
      <c r="Q1001" s="289">
        <f t="shared" si="1208"/>
        <v>53418107.720000006</v>
      </c>
      <c r="R1001" s="276">
        <f t="shared" si="1115"/>
        <v>283305804.95000005</v>
      </c>
      <c r="S1001" s="289">
        <f t="shared" ref="S1001:Z1001" si="1209">+S1002</f>
        <v>50107493.560000002</v>
      </c>
      <c r="T1001" s="289">
        <f t="shared" si="1209"/>
        <v>41309737.420000002</v>
      </c>
      <c r="U1001" s="289">
        <f t="shared" si="1209"/>
        <v>31064562.130000003</v>
      </c>
      <c r="V1001" s="289">
        <f t="shared" si="1209"/>
        <v>56305217.32</v>
      </c>
      <c r="W1001" s="289">
        <f t="shared" si="1209"/>
        <v>61403715.150000006</v>
      </c>
      <c r="X1001" s="289">
        <f t="shared" si="1209"/>
        <v>116589504.3</v>
      </c>
      <c r="Y1001" s="289">
        <f t="shared" si="1209"/>
        <v>0</v>
      </c>
      <c r="Z1001" s="289">
        <f t="shared" si="1209"/>
        <v>0</v>
      </c>
      <c r="AA1001" s="276">
        <f t="shared" si="1116"/>
        <v>356780229.88</v>
      </c>
      <c r="AB1001" s="402">
        <f t="shared" si="1104"/>
        <v>640086034.83000004</v>
      </c>
      <c r="AC1001" s="321">
        <f t="shared" si="1105"/>
        <v>0.3797226589017369</v>
      </c>
    </row>
    <row r="1002" spans="1:29" s="61" customFormat="1" ht="15.75" x14ac:dyDescent="0.2">
      <c r="A1002" s="421"/>
      <c r="B1002" s="318" t="s">
        <v>709</v>
      </c>
      <c r="C1002" s="319" t="s">
        <v>1085</v>
      </c>
      <c r="D1002" s="292">
        <f>+D1003+D1006</f>
        <v>1685667209.54</v>
      </c>
      <c r="E1002" s="322">
        <f>SUM('ADICIONES  2021'!C1002:N1002)</f>
        <v>0</v>
      </c>
      <c r="F1002" s="289"/>
      <c r="G1002" s="289">
        <f t="shared" ref="G1002:J1002" si="1210">+G1003+G1006</f>
        <v>0</v>
      </c>
      <c r="H1002" s="289">
        <f t="shared" si="1210"/>
        <v>0</v>
      </c>
      <c r="I1002" s="289">
        <f t="shared" si="1210"/>
        <v>0</v>
      </c>
      <c r="J1002" s="289">
        <f t="shared" si="1210"/>
        <v>0</v>
      </c>
      <c r="K1002" s="276">
        <f t="shared" si="1171"/>
        <v>1685667209.54</v>
      </c>
      <c r="L1002" s="289">
        <f t="shared" ref="L1002:Q1002" si="1211">+L1003+L1006</f>
        <v>56312530.270000003</v>
      </c>
      <c r="M1002" s="289">
        <f t="shared" si="1211"/>
        <v>37317906.380000003</v>
      </c>
      <c r="N1002" s="289">
        <f t="shared" si="1211"/>
        <v>45177503.219999999</v>
      </c>
      <c r="O1002" s="289">
        <f t="shared" si="1211"/>
        <v>41121837.299999997</v>
      </c>
      <c r="P1002" s="289">
        <f t="shared" si="1211"/>
        <v>49957920.059999995</v>
      </c>
      <c r="Q1002" s="289">
        <f t="shared" si="1211"/>
        <v>53418107.720000006</v>
      </c>
      <c r="R1002" s="276">
        <f t="shared" si="1115"/>
        <v>283305804.95000005</v>
      </c>
      <c r="S1002" s="289">
        <f t="shared" ref="S1002:Z1002" si="1212">+S1003+S1006</f>
        <v>50107493.560000002</v>
      </c>
      <c r="T1002" s="289">
        <f t="shared" si="1212"/>
        <v>41309737.420000002</v>
      </c>
      <c r="U1002" s="289">
        <f t="shared" si="1212"/>
        <v>31064562.130000003</v>
      </c>
      <c r="V1002" s="289">
        <f t="shared" si="1212"/>
        <v>56305217.32</v>
      </c>
      <c r="W1002" s="289">
        <f t="shared" si="1212"/>
        <v>61403715.150000006</v>
      </c>
      <c r="X1002" s="289">
        <f t="shared" si="1212"/>
        <v>116589504.3</v>
      </c>
      <c r="Y1002" s="289">
        <f t="shared" si="1212"/>
        <v>0</v>
      </c>
      <c r="Z1002" s="289">
        <f t="shared" si="1212"/>
        <v>0</v>
      </c>
      <c r="AA1002" s="276">
        <f t="shared" si="1116"/>
        <v>356780229.88</v>
      </c>
      <c r="AB1002" s="402">
        <f t="shared" si="1104"/>
        <v>640086034.83000004</v>
      </c>
      <c r="AC1002" s="321">
        <f t="shared" si="1105"/>
        <v>0.3797226589017369</v>
      </c>
    </row>
    <row r="1003" spans="1:29" s="61" customFormat="1" ht="25.5" x14ac:dyDescent="0.2">
      <c r="A1003" s="421"/>
      <c r="B1003" s="318" t="s">
        <v>711</v>
      </c>
      <c r="C1003" s="319" t="s">
        <v>1086</v>
      </c>
      <c r="D1003" s="292">
        <f>SUM(D1004:D1005)</f>
        <v>183049846.41000003</v>
      </c>
      <c r="E1003" s="322">
        <f>SUM('ADICIONES  2021'!C1003:N1003)</f>
        <v>0</v>
      </c>
      <c r="F1003" s="289"/>
      <c r="G1003" s="289">
        <f t="shared" ref="G1003:J1003" si="1213">SUM(G1004:G1005)</f>
        <v>0</v>
      </c>
      <c r="H1003" s="289">
        <f t="shared" si="1213"/>
        <v>0</v>
      </c>
      <c r="I1003" s="289">
        <f t="shared" si="1213"/>
        <v>0</v>
      </c>
      <c r="J1003" s="289">
        <f t="shared" si="1213"/>
        <v>0</v>
      </c>
      <c r="K1003" s="276">
        <f t="shared" si="1171"/>
        <v>183049846.41000003</v>
      </c>
      <c r="L1003" s="289">
        <f t="shared" ref="L1003:Q1003" si="1214">SUM(L1004:L1005)</f>
        <v>6829845.0599999996</v>
      </c>
      <c r="M1003" s="289">
        <f t="shared" si="1214"/>
        <v>5955263.1699999999</v>
      </c>
      <c r="N1003" s="289">
        <f t="shared" si="1214"/>
        <v>7584087.0099999998</v>
      </c>
      <c r="O1003" s="289">
        <f t="shared" si="1214"/>
        <v>7598143.8200000003</v>
      </c>
      <c r="P1003" s="289">
        <f t="shared" si="1214"/>
        <v>7259464.1900000004</v>
      </c>
      <c r="Q1003" s="289">
        <f t="shared" si="1214"/>
        <v>5632605.29</v>
      </c>
      <c r="R1003" s="276">
        <f t="shared" si="1115"/>
        <v>40859408.539999999</v>
      </c>
      <c r="S1003" s="289">
        <f t="shared" ref="S1003:Z1003" si="1215">SUM(S1004:S1005)</f>
        <v>6708670.3499999996</v>
      </c>
      <c r="T1003" s="289">
        <f t="shared" si="1215"/>
        <v>6849008.3499999996</v>
      </c>
      <c r="U1003" s="289">
        <f t="shared" si="1215"/>
        <v>6725200.4700000007</v>
      </c>
      <c r="V1003" s="289">
        <f t="shared" si="1215"/>
        <v>7261897.7800000003</v>
      </c>
      <c r="W1003" s="289">
        <f t="shared" si="1215"/>
        <v>9779466.4499999993</v>
      </c>
      <c r="X1003" s="289">
        <f t="shared" si="1215"/>
        <v>8649779.629999999</v>
      </c>
      <c r="Y1003" s="289">
        <f t="shared" si="1215"/>
        <v>0</v>
      </c>
      <c r="Z1003" s="289">
        <f t="shared" si="1215"/>
        <v>0</v>
      </c>
      <c r="AA1003" s="276">
        <f t="shared" si="1116"/>
        <v>45974023.030000001</v>
      </c>
      <c r="AB1003" s="402">
        <f t="shared" si="1104"/>
        <v>86833431.569999993</v>
      </c>
      <c r="AC1003" s="321">
        <f t="shared" si="1105"/>
        <v>0.47437041479678771</v>
      </c>
    </row>
    <row r="1004" spans="1:29" ht="25.5" x14ac:dyDescent="0.2">
      <c r="B1004" s="323" t="s">
        <v>1087</v>
      </c>
      <c r="C1004" s="206" t="s">
        <v>1088</v>
      </c>
      <c r="D1004" s="303">
        <v>144875151.55000001</v>
      </c>
      <c r="E1004" s="325">
        <f>SUM('ADICIONES  2021'!C1004:N1004)</f>
        <v>0</v>
      </c>
      <c r="F1004" s="290"/>
      <c r="G1004" s="290"/>
      <c r="H1004" s="290"/>
      <c r="I1004" s="290"/>
      <c r="J1004" s="290"/>
      <c r="K1004" s="281">
        <f t="shared" si="1171"/>
        <v>144875151.55000001</v>
      </c>
      <c r="L1004" s="290">
        <v>4323277.0599999996</v>
      </c>
      <c r="M1004" s="290">
        <v>3755364.17</v>
      </c>
      <c r="N1004" s="290">
        <v>5072835.01</v>
      </c>
      <c r="O1004" s="290">
        <v>5274570.82</v>
      </c>
      <c r="P1004" s="290">
        <v>4682118.1900000004</v>
      </c>
      <c r="Q1004" s="290">
        <v>3291854.29</v>
      </c>
      <c r="R1004" s="281">
        <f t="shared" si="1115"/>
        <v>26400019.539999999</v>
      </c>
      <c r="S1004" s="290">
        <v>4214700.3499999996</v>
      </c>
      <c r="T1004" s="290">
        <v>4172855.35</v>
      </c>
      <c r="U1004" s="290">
        <v>4146502.47</v>
      </c>
      <c r="V1004" s="290">
        <v>4610307.78</v>
      </c>
      <c r="W1004" s="290">
        <v>7079062.4500000002</v>
      </c>
      <c r="X1004" s="290">
        <v>5688696.6299999999</v>
      </c>
      <c r="Y1004" s="290"/>
      <c r="Z1004" s="290"/>
      <c r="AA1004" s="281">
        <f t="shared" ref="AA1004" si="1216">SUM(S1004:Z1004)</f>
        <v>29912125.029999997</v>
      </c>
      <c r="AB1004" s="403">
        <f t="shared" si="1104"/>
        <v>56312144.569999993</v>
      </c>
      <c r="AC1004" s="326">
        <f t="shared" si="1105"/>
        <v>0.38869429275844641</v>
      </c>
    </row>
    <row r="1005" spans="1:29" ht="25.5" x14ac:dyDescent="0.2">
      <c r="B1005" s="323" t="s">
        <v>1087</v>
      </c>
      <c r="C1005" s="206" t="s">
        <v>1088</v>
      </c>
      <c r="D1005" s="303">
        <v>38174694.859999999</v>
      </c>
      <c r="E1005" s="325">
        <f>SUM('ADICIONES  2021'!C1005:N1005)</f>
        <v>0</v>
      </c>
      <c r="F1005" s="290"/>
      <c r="G1005" s="290"/>
      <c r="H1005" s="290"/>
      <c r="I1005" s="290"/>
      <c r="J1005" s="290"/>
      <c r="K1005" s="281">
        <f t="shared" si="1171"/>
        <v>38174694.859999999</v>
      </c>
      <c r="L1005" s="290">
        <v>2506568</v>
      </c>
      <c r="M1005" s="290">
        <v>2199899</v>
      </c>
      <c r="N1005" s="290">
        <v>2511252</v>
      </c>
      <c r="O1005" s="290">
        <v>2323573</v>
      </c>
      <c r="P1005" s="290">
        <v>2577346</v>
      </c>
      <c r="Q1005" s="290">
        <v>2340751</v>
      </c>
      <c r="R1005" s="281">
        <f t="shared" si="1115"/>
        <v>14459389</v>
      </c>
      <c r="S1005" s="290">
        <v>2493970</v>
      </c>
      <c r="T1005" s="290">
        <v>2676153</v>
      </c>
      <c r="U1005" s="290">
        <v>2578698</v>
      </c>
      <c r="V1005" s="290">
        <v>2651590</v>
      </c>
      <c r="W1005" s="290">
        <v>2700404</v>
      </c>
      <c r="X1005" s="290">
        <v>2961083</v>
      </c>
      <c r="Y1005" s="290"/>
      <c r="Z1005" s="290"/>
      <c r="AA1005" s="281">
        <f t="shared" si="1116"/>
        <v>16061898</v>
      </c>
      <c r="AB1005" s="403">
        <f t="shared" si="1104"/>
        <v>30521287</v>
      </c>
      <c r="AC1005" s="326">
        <f t="shared" si="1105"/>
        <v>0.79951620076944341</v>
      </c>
    </row>
    <row r="1006" spans="1:29" s="61" customFormat="1" ht="25.5" x14ac:dyDescent="0.2">
      <c r="A1006" s="421"/>
      <c r="B1006" s="318" t="s">
        <v>712</v>
      </c>
      <c r="C1006" s="319" t="s">
        <v>377</v>
      </c>
      <c r="D1006" s="292">
        <f>SUM(D1007:D1009)</f>
        <v>1502617363.1299999</v>
      </c>
      <c r="E1006" s="322">
        <f>SUM('ADICIONES  2021'!C1006:N1006)</f>
        <v>0</v>
      </c>
      <c r="F1006" s="289"/>
      <c r="G1006" s="289">
        <f t="shared" ref="G1006:J1006" si="1217">SUM(G1007:G1009)</f>
        <v>0</v>
      </c>
      <c r="H1006" s="289">
        <f t="shared" si="1217"/>
        <v>0</v>
      </c>
      <c r="I1006" s="289">
        <f t="shared" si="1217"/>
        <v>0</v>
      </c>
      <c r="J1006" s="289">
        <f t="shared" si="1217"/>
        <v>0</v>
      </c>
      <c r="K1006" s="276">
        <f t="shared" si="1171"/>
        <v>1502617363.1299999</v>
      </c>
      <c r="L1006" s="289">
        <f t="shared" ref="L1006:Q1006" si="1218">SUM(L1007:L1009)</f>
        <v>49482685.210000001</v>
      </c>
      <c r="M1006" s="289">
        <f t="shared" si="1218"/>
        <v>31362643.210000001</v>
      </c>
      <c r="N1006" s="289">
        <f t="shared" si="1218"/>
        <v>37593416.210000001</v>
      </c>
      <c r="O1006" s="289">
        <f t="shared" si="1218"/>
        <v>33523693.48</v>
      </c>
      <c r="P1006" s="289">
        <f t="shared" si="1218"/>
        <v>42698455.869999997</v>
      </c>
      <c r="Q1006" s="289">
        <f t="shared" si="1218"/>
        <v>47785502.430000007</v>
      </c>
      <c r="R1006" s="276">
        <f t="shared" si="1115"/>
        <v>242446396.41</v>
      </c>
      <c r="S1006" s="289">
        <f t="shared" ref="S1006:Z1006" si="1219">SUM(S1007:S1009)</f>
        <v>43398823.210000001</v>
      </c>
      <c r="T1006" s="289">
        <f t="shared" si="1219"/>
        <v>34460729.07</v>
      </c>
      <c r="U1006" s="289">
        <f t="shared" si="1219"/>
        <v>24339361.66</v>
      </c>
      <c r="V1006" s="289">
        <f t="shared" si="1219"/>
        <v>49043319.539999999</v>
      </c>
      <c r="W1006" s="289">
        <f t="shared" si="1219"/>
        <v>51624248.700000003</v>
      </c>
      <c r="X1006" s="289">
        <f t="shared" si="1219"/>
        <v>107939724.67</v>
      </c>
      <c r="Y1006" s="289">
        <f t="shared" si="1219"/>
        <v>0</v>
      </c>
      <c r="Z1006" s="289">
        <f t="shared" si="1219"/>
        <v>0</v>
      </c>
      <c r="AA1006" s="276">
        <f t="shared" si="1116"/>
        <v>310806206.85000002</v>
      </c>
      <c r="AB1006" s="402">
        <f t="shared" si="1104"/>
        <v>553252603.25999999</v>
      </c>
      <c r="AC1006" s="321">
        <f t="shared" si="1105"/>
        <v>0.36819260633828771</v>
      </c>
    </row>
    <row r="1007" spans="1:29" ht="25.5" x14ac:dyDescent="0.2">
      <c r="B1007" s="323" t="s">
        <v>1089</v>
      </c>
      <c r="C1007" s="206" t="s">
        <v>1090</v>
      </c>
      <c r="D1007" s="303">
        <v>633812294.71000004</v>
      </c>
      <c r="E1007" s="325">
        <f>SUM('ADICIONES  2021'!C1007:N1007)</f>
        <v>0</v>
      </c>
      <c r="F1007" s="290"/>
      <c r="G1007" s="290"/>
      <c r="H1007" s="290"/>
      <c r="I1007" s="290"/>
      <c r="J1007" s="290"/>
      <c r="K1007" s="281">
        <f t="shared" si="1171"/>
        <v>633812294.71000004</v>
      </c>
      <c r="L1007" s="290">
        <v>25563094.710000001</v>
      </c>
      <c r="M1007" s="290">
        <v>12874376.550000001</v>
      </c>
      <c r="N1007" s="290">
        <v>14411557.800000001</v>
      </c>
      <c r="O1007" s="290">
        <v>12111956.460000001</v>
      </c>
      <c r="P1007" s="290">
        <v>15502177.789999999</v>
      </c>
      <c r="Q1007" s="290">
        <v>14591829.59</v>
      </c>
      <c r="R1007" s="281">
        <f t="shared" si="1115"/>
        <v>95054992.900000006</v>
      </c>
      <c r="S1007" s="290">
        <v>15685812.49</v>
      </c>
      <c r="T1007" s="290">
        <v>13633974.07</v>
      </c>
      <c r="U1007" s="290">
        <v>14946061.050000001</v>
      </c>
      <c r="V1007" s="290">
        <v>23798542.280000001</v>
      </c>
      <c r="W1007" s="290">
        <v>27637951.760000002</v>
      </c>
      <c r="X1007" s="290">
        <v>85929133.620000005</v>
      </c>
      <c r="Y1007" s="290"/>
      <c r="Z1007" s="290"/>
      <c r="AA1007" s="281">
        <f t="shared" si="1116"/>
        <v>181631475.27000001</v>
      </c>
      <c r="AB1007" s="403">
        <f t="shared" si="1104"/>
        <v>276686468.17000002</v>
      </c>
      <c r="AC1007" s="326">
        <f t="shared" si="1105"/>
        <v>0.4365432328771684</v>
      </c>
    </row>
    <row r="1008" spans="1:29" ht="25.5" x14ac:dyDescent="0.2">
      <c r="B1008" s="323" t="s">
        <v>1091</v>
      </c>
      <c r="C1008" s="206" t="s">
        <v>1092</v>
      </c>
      <c r="D1008" s="303">
        <v>576116165.13999999</v>
      </c>
      <c r="E1008" s="325">
        <f>SUM('ADICIONES  2021'!C1008:N1008)</f>
        <v>0</v>
      </c>
      <c r="F1008" s="290"/>
      <c r="G1008" s="290"/>
      <c r="H1008" s="290"/>
      <c r="I1008" s="290"/>
      <c r="J1008" s="290"/>
      <c r="K1008" s="281">
        <f t="shared" si="1171"/>
        <v>576116165.13999999</v>
      </c>
      <c r="L1008" s="290">
        <v>13697602</v>
      </c>
      <c r="M1008" s="290">
        <v>11695730</v>
      </c>
      <c r="N1008" s="290">
        <v>13880148</v>
      </c>
      <c r="O1008" s="290">
        <v>13386520</v>
      </c>
      <c r="P1008" s="290">
        <v>18100060</v>
      </c>
      <c r="Q1008" s="290">
        <v>23858155</v>
      </c>
      <c r="R1008" s="281">
        <f t="shared" si="1115"/>
        <v>94618215</v>
      </c>
      <c r="S1008" s="290">
        <v>18540175</v>
      </c>
      <c r="T1008" s="290">
        <v>11373829</v>
      </c>
      <c r="U1008" s="290">
        <v>0</v>
      </c>
      <c r="V1008" s="290">
        <v>15234500</v>
      </c>
      <c r="W1008" s="290">
        <v>9537142</v>
      </c>
      <c r="X1008" s="290">
        <v>7291657</v>
      </c>
      <c r="Y1008" s="290"/>
      <c r="Z1008" s="290"/>
      <c r="AA1008" s="281">
        <f t="shared" si="1116"/>
        <v>61977303</v>
      </c>
      <c r="AB1008" s="403">
        <f t="shared" si="1104"/>
        <v>156595518</v>
      </c>
      <c r="AC1008" s="326">
        <f t="shared" si="1105"/>
        <v>0.27181240082361907</v>
      </c>
    </row>
    <row r="1009" spans="1:29" ht="25.5" x14ac:dyDescent="0.2">
      <c r="B1009" s="323" t="s">
        <v>1093</v>
      </c>
      <c r="C1009" s="206" t="s">
        <v>1094</v>
      </c>
      <c r="D1009" s="303">
        <v>292688903.27999997</v>
      </c>
      <c r="E1009" s="325">
        <f>SUM('ADICIONES  2021'!C1009:N1009)</f>
        <v>0</v>
      </c>
      <c r="F1009" s="290"/>
      <c r="G1009" s="290"/>
      <c r="H1009" s="290"/>
      <c r="I1009" s="290"/>
      <c r="J1009" s="290"/>
      <c r="K1009" s="281">
        <f t="shared" si="1171"/>
        <v>292688903.27999997</v>
      </c>
      <c r="L1009" s="290">
        <v>10221988.5</v>
      </c>
      <c r="M1009" s="290">
        <v>6792536.6600000001</v>
      </c>
      <c r="N1009" s="290">
        <v>9301710.4100000001</v>
      </c>
      <c r="O1009" s="290">
        <v>8025217.0199999996</v>
      </c>
      <c r="P1009" s="290">
        <v>9096218.0800000001</v>
      </c>
      <c r="Q1009" s="290">
        <v>9335517.8399999999</v>
      </c>
      <c r="R1009" s="281">
        <f t="shared" si="1115"/>
        <v>52773188.510000005</v>
      </c>
      <c r="S1009" s="290">
        <v>9172835.7200000007</v>
      </c>
      <c r="T1009" s="290">
        <v>9452926</v>
      </c>
      <c r="U1009" s="290">
        <v>9393300.6099999994</v>
      </c>
      <c r="V1009" s="290">
        <v>10010277.26</v>
      </c>
      <c r="W1009" s="290">
        <v>14449154.939999999</v>
      </c>
      <c r="X1009" s="290">
        <v>14718934.050000001</v>
      </c>
      <c r="Y1009" s="290"/>
      <c r="Z1009" s="290"/>
      <c r="AA1009" s="281">
        <f t="shared" si="1116"/>
        <v>67197428.579999998</v>
      </c>
      <c r="AB1009" s="403">
        <f t="shared" si="1104"/>
        <v>119970617.09</v>
      </c>
      <c r="AC1009" s="326">
        <f t="shared" si="1105"/>
        <v>0.40989123860029114</v>
      </c>
    </row>
    <row r="1010" spans="1:29" s="61" customFormat="1" ht="15.75" x14ac:dyDescent="0.2">
      <c r="A1010" s="421">
        <v>1</v>
      </c>
      <c r="B1010" s="318" t="s">
        <v>1221</v>
      </c>
      <c r="C1010" s="319" t="s">
        <v>1227</v>
      </c>
      <c r="D1010" s="292">
        <f>+D1011</f>
        <v>0</v>
      </c>
      <c r="E1010" s="322">
        <f>SUM('ADICIONES  2021'!C1010:N1010)</f>
        <v>10394589074</v>
      </c>
      <c r="F1010" s="289">
        <f t="shared" ref="F1010:J1011" si="1220">+F1011</f>
        <v>0</v>
      </c>
      <c r="G1010" s="289">
        <f t="shared" si="1220"/>
        <v>0</v>
      </c>
      <c r="H1010" s="289">
        <f t="shared" si="1220"/>
        <v>0</v>
      </c>
      <c r="I1010" s="289">
        <f t="shared" si="1220"/>
        <v>0</v>
      </c>
      <c r="J1010" s="289">
        <f t="shared" si="1220"/>
        <v>0</v>
      </c>
      <c r="K1010" s="276">
        <f t="shared" si="1171"/>
        <v>10394589074</v>
      </c>
      <c r="L1010" s="289">
        <f t="shared" ref="L1010:Q1011" si="1221">+L1011</f>
        <v>0</v>
      </c>
      <c r="M1010" s="289">
        <f t="shared" si="1221"/>
        <v>0</v>
      </c>
      <c r="N1010" s="289">
        <f t="shared" si="1221"/>
        <v>0</v>
      </c>
      <c r="O1010" s="289">
        <f t="shared" si="1221"/>
        <v>0</v>
      </c>
      <c r="P1010" s="289">
        <f t="shared" si="1221"/>
        <v>0</v>
      </c>
      <c r="Q1010" s="289">
        <f t="shared" si="1221"/>
        <v>0</v>
      </c>
      <c r="R1010" s="276">
        <f t="shared" si="1115"/>
        <v>0</v>
      </c>
      <c r="S1010" s="289">
        <f t="shared" ref="S1010:Z1011" si="1222">+S1011</f>
        <v>0</v>
      </c>
      <c r="T1010" s="289">
        <f t="shared" si="1222"/>
        <v>0</v>
      </c>
      <c r="U1010" s="289">
        <f t="shared" si="1222"/>
        <v>0</v>
      </c>
      <c r="V1010" s="289">
        <f t="shared" si="1222"/>
        <v>0</v>
      </c>
      <c r="W1010" s="289">
        <f t="shared" si="1222"/>
        <v>0</v>
      </c>
      <c r="X1010" s="289">
        <f t="shared" si="1222"/>
        <v>0</v>
      </c>
      <c r="Y1010" s="289">
        <f t="shared" si="1222"/>
        <v>0</v>
      </c>
      <c r="Z1010" s="289">
        <f t="shared" si="1222"/>
        <v>0</v>
      </c>
      <c r="AA1010" s="276">
        <f t="shared" ref="AA1010:AA1014" si="1223">SUM(S1010:Z1010)</f>
        <v>0</v>
      </c>
      <c r="AB1010" s="402">
        <f t="shared" si="1104"/>
        <v>0</v>
      </c>
      <c r="AC1010" s="321">
        <f t="shared" si="1105"/>
        <v>0</v>
      </c>
    </row>
    <row r="1011" spans="1:29" s="61" customFormat="1" ht="15.75" x14ac:dyDescent="0.2">
      <c r="A1011" s="421"/>
      <c r="B1011" s="318" t="s">
        <v>1223</v>
      </c>
      <c r="C1011" s="319" t="s">
        <v>1224</v>
      </c>
      <c r="D1011" s="292">
        <f>+D1012</f>
        <v>0</v>
      </c>
      <c r="E1011" s="322">
        <f>SUM('ADICIONES  2021'!C1011:N1011)</f>
        <v>10394589074</v>
      </c>
      <c r="F1011" s="289">
        <f t="shared" si="1220"/>
        <v>0</v>
      </c>
      <c r="G1011" s="289">
        <f t="shared" si="1220"/>
        <v>0</v>
      </c>
      <c r="H1011" s="289">
        <f t="shared" si="1220"/>
        <v>0</v>
      </c>
      <c r="I1011" s="289">
        <f t="shared" si="1220"/>
        <v>0</v>
      </c>
      <c r="J1011" s="289">
        <f t="shared" si="1220"/>
        <v>0</v>
      </c>
      <c r="K1011" s="276">
        <f t="shared" si="1171"/>
        <v>10394589074</v>
      </c>
      <c r="L1011" s="289">
        <f t="shared" si="1221"/>
        <v>0</v>
      </c>
      <c r="M1011" s="289">
        <f t="shared" si="1221"/>
        <v>0</v>
      </c>
      <c r="N1011" s="289">
        <f t="shared" si="1221"/>
        <v>0</v>
      </c>
      <c r="O1011" s="289">
        <f t="shared" si="1221"/>
        <v>0</v>
      </c>
      <c r="P1011" s="289">
        <f t="shared" si="1221"/>
        <v>0</v>
      </c>
      <c r="Q1011" s="289">
        <f t="shared" si="1221"/>
        <v>0</v>
      </c>
      <c r="R1011" s="276">
        <f t="shared" si="1115"/>
        <v>0</v>
      </c>
      <c r="S1011" s="289">
        <f t="shared" si="1222"/>
        <v>0</v>
      </c>
      <c r="T1011" s="289">
        <f t="shared" si="1222"/>
        <v>0</v>
      </c>
      <c r="U1011" s="289">
        <f t="shared" si="1222"/>
        <v>0</v>
      </c>
      <c r="V1011" s="289">
        <f t="shared" si="1222"/>
        <v>0</v>
      </c>
      <c r="W1011" s="289">
        <f t="shared" si="1222"/>
        <v>0</v>
      </c>
      <c r="X1011" s="289">
        <f t="shared" si="1222"/>
        <v>0</v>
      </c>
      <c r="Y1011" s="289">
        <f t="shared" si="1222"/>
        <v>0</v>
      </c>
      <c r="Z1011" s="289">
        <f t="shared" si="1222"/>
        <v>0</v>
      </c>
      <c r="AA1011" s="276">
        <f t="shared" si="1223"/>
        <v>0</v>
      </c>
      <c r="AB1011" s="402">
        <f t="shared" si="1104"/>
        <v>0</v>
      </c>
      <c r="AC1011" s="321">
        <f t="shared" si="1105"/>
        <v>0</v>
      </c>
    </row>
    <row r="1012" spans="1:29" s="61" customFormat="1" ht="15.75" x14ac:dyDescent="0.2">
      <c r="A1012" s="421"/>
      <c r="B1012" s="318" t="s">
        <v>1225</v>
      </c>
      <c r="C1012" s="319" t="s">
        <v>1228</v>
      </c>
      <c r="D1012" s="292">
        <f>+D1013+D1014</f>
        <v>0</v>
      </c>
      <c r="E1012" s="322">
        <f>SUM('ADICIONES  2021'!C1012:N1012)</f>
        <v>10394589074</v>
      </c>
      <c r="F1012" s="292">
        <f t="shared" ref="F1012:J1012" si="1224">+F1013+F1014</f>
        <v>0</v>
      </c>
      <c r="G1012" s="292">
        <f t="shared" si="1224"/>
        <v>0</v>
      </c>
      <c r="H1012" s="292">
        <f t="shared" si="1224"/>
        <v>0</v>
      </c>
      <c r="I1012" s="292">
        <f t="shared" si="1224"/>
        <v>0</v>
      </c>
      <c r="J1012" s="292">
        <f t="shared" si="1224"/>
        <v>0</v>
      </c>
      <c r="K1012" s="276">
        <f t="shared" si="1171"/>
        <v>10394589074</v>
      </c>
      <c r="L1012" s="292">
        <f t="shared" ref="L1012:Q1012" si="1225">+L1013+L1014</f>
        <v>0</v>
      </c>
      <c r="M1012" s="292">
        <f t="shared" si="1225"/>
        <v>0</v>
      </c>
      <c r="N1012" s="292">
        <f t="shared" si="1225"/>
        <v>0</v>
      </c>
      <c r="O1012" s="292">
        <f t="shared" si="1225"/>
        <v>0</v>
      </c>
      <c r="P1012" s="292">
        <f t="shared" si="1225"/>
        <v>0</v>
      </c>
      <c r="Q1012" s="292">
        <f t="shared" si="1225"/>
        <v>0</v>
      </c>
      <c r="R1012" s="276">
        <f t="shared" si="1115"/>
        <v>0</v>
      </c>
      <c r="S1012" s="292">
        <f t="shared" ref="S1012:Y1012" si="1226">+S1013+S1014</f>
        <v>0</v>
      </c>
      <c r="T1012" s="292">
        <f t="shared" si="1226"/>
        <v>0</v>
      </c>
      <c r="U1012" s="292">
        <f t="shared" si="1226"/>
        <v>0</v>
      </c>
      <c r="V1012" s="292">
        <f t="shared" si="1226"/>
        <v>0</v>
      </c>
      <c r="W1012" s="292">
        <f t="shared" si="1226"/>
        <v>0</v>
      </c>
      <c r="X1012" s="292">
        <f t="shared" si="1226"/>
        <v>0</v>
      </c>
      <c r="Y1012" s="292">
        <f t="shared" si="1226"/>
        <v>0</v>
      </c>
      <c r="Z1012" s="292">
        <f>+Z1013+Z1014</f>
        <v>0</v>
      </c>
      <c r="AA1012" s="276">
        <f t="shared" si="1223"/>
        <v>0</v>
      </c>
      <c r="AB1012" s="402">
        <f t="shared" si="1104"/>
        <v>0</v>
      </c>
      <c r="AC1012" s="321">
        <f t="shared" si="1105"/>
        <v>0</v>
      </c>
    </row>
    <row r="1013" spans="1:29" ht="25.5" x14ac:dyDescent="0.2">
      <c r="B1013" s="323" t="s">
        <v>1219</v>
      </c>
      <c r="C1013" s="206" t="s">
        <v>1220</v>
      </c>
      <c r="D1013" s="303"/>
      <c r="E1013" s="325">
        <f>SUM('ADICIONES  2021'!C1013:N1013)</f>
        <v>8465753196</v>
      </c>
      <c r="F1013" s="290"/>
      <c r="G1013" s="290"/>
      <c r="H1013" s="290"/>
      <c r="I1013" s="290"/>
      <c r="J1013" s="290"/>
      <c r="K1013" s="281">
        <f t="shared" si="1171"/>
        <v>8465753196</v>
      </c>
      <c r="L1013" s="290"/>
      <c r="M1013" s="290"/>
      <c r="N1013" s="290"/>
      <c r="O1013" s="290">
        <v>0</v>
      </c>
      <c r="P1013" s="290"/>
      <c r="Q1013" s="290"/>
      <c r="R1013" s="281">
        <f t="shared" si="1115"/>
        <v>0</v>
      </c>
      <c r="S1013" s="290">
        <v>0</v>
      </c>
      <c r="T1013" s="290"/>
      <c r="U1013" s="290"/>
      <c r="V1013" s="290"/>
      <c r="W1013" s="290">
        <v>0</v>
      </c>
      <c r="X1013" s="290"/>
      <c r="Y1013" s="290"/>
      <c r="Z1013" s="290"/>
      <c r="AA1013" s="281">
        <f t="shared" si="1223"/>
        <v>0</v>
      </c>
      <c r="AB1013" s="403">
        <f t="shared" si="1104"/>
        <v>0</v>
      </c>
      <c r="AC1013" s="326">
        <f t="shared" si="1105"/>
        <v>0</v>
      </c>
    </row>
    <row r="1014" spans="1:29" ht="25.5" x14ac:dyDescent="0.2">
      <c r="B1014" s="323" t="s">
        <v>1821</v>
      </c>
      <c r="C1014" s="206" t="s">
        <v>1822</v>
      </c>
      <c r="D1014" s="303"/>
      <c r="E1014" s="325">
        <f>SUM('ADICIONES  2021'!C1014:N1014)</f>
        <v>1928835878</v>
      </c>
      <c r="F1014" s="290"/>
      <c r="G1014" s="290"/>
      <c r="H1014" s="290"/>
      <c r="I1014" s="290"/>
      <c r="J1014" s="290"/>
      <c r="K1014" s="281">
        <f t="shared" si="1171"/>
        <v>1928835878</v>
      </c>
      <c r="L1014" s="290"/>
      <c r="M1014" s="290"/>
      <c r="N1014" s="290"/>
      <c r="O1014" s="290"/>
      <c r="P1014" s="290"/>
      <c r="Q1014" s="290"/>
      <c r="R1014" s="281">
        <f t="shared" si="1115"/>
        <v>0</v>
      </c>
      <c r="S1014" s="290">
        <v>0</v>
      </c>
      <c r="T1014" s="290"/>
      <c r="U1014" s="290"/>
      <c r="V1014" s="290"/>
      <c r="W1014" s="290">
        <v>0</v>
      </c>
      <c r="X1014" s="290"/>
      <c r="Y1014" s="290"/>
      <c r="Z1014" s="290"/>
      <c r="AA1014" s="281">
        <f t="shared" si="1223"/>
        <v>0</v>
      </c>
      <c r="AB1014" s="403">
        <f t="shared" si="1104"/>
        <v>0</v>
      </c>
      <c r="AC1014" s="326">
        <f t="shared" si="1105"/>
        <v>0</v>
      </c>
    </row>
    <row r="1015" spans="1:29" s="61" customFormat="1" ht="15.75" x14ac:dyDescent="0.2">
      <c r="A1015" s="421">
        <v>1</v>
      </c>
      <c r="B1015" s="318" t="s">
        <v>812</v>
      </c>
      <c r="C1015" s="319" t="s">
        <v>1095</v>
      </c>
      <c r="D1015" s="292">
        <f>+D1016</f>
        <v>808145289.17999995</v>
      </c>
      <c r="E1015" s="322">
        <f>SUM('ADICIONES  2021'!C1015:N1015)</f>
        <v>691000000</v>
      </c>
      <c r="F1015" s="289"/>
      <c r="G1015" s="289">
        <f t="shared" ref="G1015:J1015" si="1227">+G1016</f>
        <v>0</v>
      </c>
      <c r="H1015" s="289">
        <f t="shared" si="1227"/>
        <v>0</v>
      </c>
      <c r="I1015" s="289">
        <f t="shared" si="1227"/>
        <v>0</v>
      </c>
      <c r="J1015" s="289">
        <f t="shared" si="1227"/>
        <v>0</v>
      </c>
      <c r="K1015" s="276">
        <f t="shared" si="1171"/>
        <v>1499145289.1799998</v>
      </c>
      <c r="L1015" s="289">
        <f t="shared" ref="L1015:Q1015" si="1228">+L1016</f>
        <v>168427169</v>
      </c>
      <c r="M1015" s="289">
        <f t="shared" si="1228"/>
        <v>166182718</v>
      </c>
      <c r="N1015" s="289">
        <f t="shared" si="1228"/>
        <v>107275706</v>
      </c>
      <c r="O1015" s="289">
        <f t="shared" si="1228"/>
        <v>117193142</v>
      </c>
      <c r="P1015" s="289">
        <f t="shared" si="1228"/>
        <v>40663465</v>
      </c>
      <c r="Q1015" s="289">
        <f t="shared" si="1228"/>
        <v>82656651.069999993</v>
      </c>
      <c r="R1015" s="276">
        <f t="shared" si="1115"/>
        <v>682398851.06999993</v>
      </c>
      <c r="S1015" s="289">
        <f t="shared" ref="S1015:Z1015" si="1229">+S1016</f>
        <v>106899702.09999999</v>
      </c>
      <c r="T1015" s="289">
        <f t="shared" si="1229"/>
        <v>107061945</v>
      </c>
      <c r="U1015" s="289">
        <f t="shared" si="1229"/>
        <v>148626735</v>
      </c>
      <c r="V1015" s="289">
        <f t="shared" si="1229"/>
        <v>230831123</v>
      </c>
      <c r="W1015" s="289">
        <f t="shared" si="1229"/>
        <v>141356660.16</v>
      </c>
      <c r="X1015" s="289">
        <f t="shared" si="1229"/>
        <v>123315799</v>
      </c>
      <c r="Y1015" s="289">
        <f t="shared" si="1229"/>
        <v>4.4703483581542969E-8</v>
      </c>
      <c r="Z1015" s="289">
        <f t="shared" si="1229"/>
        <v>0</v>
      </c>
      <c r="AA1015" s="276">
        <f t="shared" si="1116"/>
        <v>858091964.25999999</v>
      </c>
      <c r="AB1015" s="402">
        <f t="shared" si="1104"/>
        <v>1540490815.3299999</v>
      </c>
      <c r="AC1015" s="321">
        <f t="shared" si="1105"/>
        <v>1.0275793990405127</v>
      </c>
    </row>
    <row r="1016" spans="1:29" s="61" customFormat="1" ht="15.75" x14ac:dyDescent="0.2">
      <c r="A1016" s="421">
        <v>1</v>
      </c>
      <c r="B1016" s="318" t="s">
        <v>1096</v>
      </c>
      <c r="C1016" s="319" t="s">
        <v>1097</v>
      </c>
      <c r="D1016" s="292">
        <f>+D1017+D1022</f>
        <v>808145289.17999995</v>
      </c>
      <c r="E1016" s="322">
        <f>SUM('ADICIONES  2021'!C1016:N1016)</f>
        <v>691000000</v>
      </c>
      <c r="F1016" s="289"/>
      <c r="G1016" s="289">
        <f t="shared" ref="G1016:J1016" si="1230">+G1017+G1022</f>
        <v>0</v>
      </c>
      <c r="H1016" s="289">
        <f t="shared" si="1230"/>
        <v>0</v>
      </c>
      <c r="I1016" s="289">
        <f t="shared" si="1230"/>
        <v>0</v>
      </c>
      <c r="J1016" s="289">
        <f t="shared" si="1230"/>
        <v>0</v>
      </c>
      <c r="K1016" s="276">
        <f t="shared" si="1171"/>
        <v>1499145289.1799998</v>
      </c>
      <c r="L1016" s="289">
        <f t="shared" ref="L1016:Q1016" si="1231">+L1017+L1022</f>
        <v>168427169</v>
      </c>
      <c r="M1016" s="289">
        <f t="shared" si="1231"/>
        <v>166182718</v>
      </c>
      <c r="N1016" s="289">
        <f t="shared" si="1231"/>
        <v>107275706</v>
      </c>
      <c r="O1016" s="289">
        <f t="shared" si="1231"/>
        <v>117193142</v>
      </c>
      <c r="P1016" s="289">
        <f t="shared" si="1231"/>
        <v>40663465</v>
      </c>
      <c r="Q1016" s="289">
        <f t="shared" si="1231"/>
        <v>82656651.069999993</v>
      </c>
      <c r="R1016" s="276">
        <f t="shared" si="1115"/>
        <v>682398851.06999993</v>
      </c>
      <c r="S1016" s="289">
        <f t="shared" ref="S1016:Z1016" si="1232">+S1017+S1022</f>
        <v>106899702.09999999</v>
      </c>
      <c r="T1016" s="289">
        <f t="shared" si="1232"/>
        <v>107061945</v>
      </c>
      <c r="U1016" s="289">
        <f t="shared" si="1232"/>
        <v>148626735</v>
      </c>
      <c r="V1016" s="289">
        <f t="shared" si="1232"/>
        <v>230831123</v>
      </c>
      <c r="W1016" s="289">
        <f t="shared" si="1232"/>
        <v>141356660.16</v>
      </c>
      <c r="X1016" s="289">
        <f t="shared" si="1232"/>
        <v>123315799</v>
      </c>
      <c r="Y1016" s="289">
        <f t="shared" si="1232"/>
        <v>4.4703483581542969E-8</v>
      </c>
      <c r="Z1016" s="289">
        <f t="shared" si="1232"/>
        <v>0</v>
      </c>
      <c r="AA1016" s="276">
        <f t="shared" ref="AA1016" si="1233">SUM(S1016:Z1016)</f>
        <v>858091964.25999999</v>
      </c>
      <c r="AB1016" s="402">
        <f t="shared" si="1104"/>
        <v>1540490815.3299999</v>
      </c>
      <c r="AC1016" s="321">
        <f t="shared" si="1105"/>
        <v>1.0275793990405127</v>
      </c>
    </row>
    <row r="1017" spans="1:29" s="61" customFormat="1" ht="15.75" x14ac:dyDescent="0.2">
      <c r="A1017" s="421"/>
      <c r="B1017" s="318" t="s">
        <v>1098</v>
      </c>
      <c r="C1017" s="319" t="s">
        <v>1099</v>
      </c>
      <c r="D1017" s="292">
        <f>+D1018</f>
        <v>567248394.77999997</v>
      </c>
      <c r="E1017" s="322">
        <f>SUM('ADICIONES  2021'!C1017:N1017)</f>
        <v>304000000</v>
      </c>
      <c r="F1017" s="289"/>
      <c r="G1017" s="289">
        <f t="shared" ref="G1017:J1017" si="1234">+G1018</f>
        <v>0</v>
      </c>
      <c r="H1017" s="289">
        <f t="shared" si="1234"/>
        <v>0</v>
      </c>
      <c r="I1017" s="289">
        <f t="shared" si="1234"/>
        <v>0</v>
      </c>
      <c r="J1017" s="289">
        <f t="shared" si="1234"/>
        <v>0</v>
      </c>
      <c r="K1017" s="276">
        <f t="shared" si="1171"/>
        <v>871248394.77999997</v>
      </c>
      <c r="L1017" s="289">
        <f t="shared" ref="L1017:Q1017" si="1235">+L1018</f>
        <v>99831514</v>
      </c>
      <c r="M1017" s="289">
        <f t="shared" si="1235"/>
        <v>107661872</v>
      </c>
      <c r="N1017" s="289">
        <f t="shared" si="1235"/>
        <v>77081769</v>
      </c>
      <c r="O1017" s="289">
        <f t="shared" si="1235"/>
        <v>81220882</v>
      </c>
      <c r="P1017" s="289">
        <f t="shared" si="1235"/>
        <v>0</v>
      </c>
      <c r="Q1017" s="289">
        <f t="shared" si="1235"/>
        <v>49165591.07</v>
      </c>
      <c r="R1017" s="276">
        <f t="shared" si="1115"/>
        <v>414961628.06999999</v>
      </c>
      <c r="S1017" s="289">
        <f t="shared" ref="S1017:Z1017" si="1236">+S1018</f>
        <v>74059641.099999994</v>
      </c>
      <c r="T1017" s="289">
        <f t="shared" si="1236"/>
        <v>71724822</v>
      </c>
      <c r="U1017" s="289">
        <f t="shared" si="1236"/>
        <v>116616697</v>
      </c>
      <c r="V1017" s="289">
        <f t="shared" si="1236"/>
        <v>74776537</v>
      </c>
      <c r="W1017" s="289">
        <f t="shared" si="1236"/>
        <v>110135459.16</v>
      </c>
      <c r="X1017" s="289">
        <f t="shared" si="1236"/>
        <v>123315799</v>
      </c>
      <c r="Y1017" s="289">
        <f t="shared" si="1236"/>
        <v>4.4703483581542969E-8</v>
      </c>
      <c r="Z1017" s="289">
        <f t="shared" si="1236"/>
        <v>0</v>
      </c>
      <c r="AA1017" s="276">
        <f t="shared" si="1116"/>
        <v>570628955.25999999</v>
      </c>
      <c r="AB1017" s="402">
        <f t="shared" si="1104"/>
        <v>985590583.32999992</v>
      </c>
      <c r="AC1017" s="321">
        <f t="shared" si="1105"/>
        <v>1.1312394826034344</v>
      </c>
    </row>
    <row r="1018" spans="1:29" s="61" customFormat="1" ht="25.5" x14ac:dyDescent="0.2">
      <c r="A1018" s="421"/>
      <c r="B1018" s="318" t="s">
        <v>1100</v>
      </c>
      <c r="C1018" s="319" t="s">
        <v>1101</v>
      </c>
      <c r="D1018" s="292">
        <f>SUM(D1019:D1021)</f>
        <v>567248394.77999997</v>
      </c>
      <c r="E1018" s="322">
        <f>SUM('ADICIONES  2021'!C1018:N1018)</f>
        <v>304000000</v>
      </c>
      <c r="F1018" s="292">
        <f t="shared" ref="F1018:J1018" si="1237">SUM(F1019:F1021)</f>
        <v>0</v>
      </c>
      <c r="G1018" s="292">
        <f t="shared" si="1237"/>
        <v>0</v>
      </c>
      <c r="H1018" s="292">
        <f t="shared" si="1237"/>
        <v>0</v>
      </c>
      <c r="I1018" s="292">
        <f t="shared" si="1237"/>
        <v>0</v>
      </c>
      <c r="J1018" s="292">
        <f t="shared" si="1237"/>
        <v>0</v>
      </c>
      <c r="K1018" s="276">
        <f t="shared" si="1171"/>
        <v>871248394.77999997</v>
      </c>
      <c r="L1018" s="292">
        <f t="shared" ref="L1018:Q1018" si="1238">SUM(L1019:L1021)</f>
        <v>99831514</v>
      </c>
      <c r="M1018" s="292">
        <f t="shared" si="1238"/>
        <v>107661872</v>
      </c>
      <c r="N1018" s="292">
        <f t="shared" si="1238"/>
        <v>77081769</v>
      </c>
      <c r="O1018" s="292">
        <f t="shared" si="1238"/>
        <v>81220882</v>
      </c>
      <c r="P1018" s="292">
        <f t="shared" si="1238"/>
        <v>0</v>
      </c>
      <c r="Q1018" s="292">
        <f t="shared" si="1238"/>
        <v>49165591.07</v>
      </c>
      <c r="R1018" s="276">
        <f t="shared" si="1115"/>
        <v>414961628.06999999</v>
      </c>
      <c r="S1018" s="292">
        <f t="shared" ref="S1018:Z1018" si="1239">SUM(S1019:S1021)</f>
        <v>74059641.099999994</v>
      </c>
      <c r="T1018" s="292">
        <f t="shared" si="1239"/>
        <v>71724822</v>
      </c>
      <c r="U1018" s="292">
        <f t="shared" si="1239"/>
        <v>116616697</v>
      </c>
      <c r="V1018" s="292">
        <f t="shared" si="1239"/>
        <v>74776537</v>
      </c>
      <c r="W1018" s="292">
        <f t="shared" si="1239"/>
        <v>110135459.16</v>
      </c>
      <c r="X1018" s="292">
        <f t="shared" si="1239"/>
        <v>123315799</v>
      </c>
      <c r="Y1018" s="292">
        <f t="shared" si="1239"/>
        <v>4.4703483581542969E-8</v>
      </c>
      <c r="Z1018" s="292">
        <f t="shared" si="1239"/>
        <v>0</v>
      </c>
      <c r="AA1018" s="276">
        <f t="shared" si="1116"/>
        <v>570628955.25999999</v>
      </c>
      <c r="AB1018" s="402">
        <f t="shared" si="1104"/>
        <v>985590583.32999992</v>
      </c>
      <c r="AC1018" s="321">
        <f t="shared" si="1105"/>
        <v>1.1312394826034344</v>
      </c>
    </row>
    <row r="1019" spans="1:29" ht="14.25" x14ac:dyDescent="0.2">
      <c r="B1019" s="323" t="s">
        <v>1102</v>
      </c>
      <c r="C1019" s="206" t="s">
        <v>378</v>
      </c>
      <c r="D1019" s="303">
        <v>567248394.77999997</v>
      </c>
      <c r="E1019" s="325">
        <f>SUM('ADICIONES  2021'!C1019:N1019)</f>
        <v>0</v>
      </c>
      <c r="F1019" s="290"/>
      <c r="G1019" s="290"/>
      <c r="H1019" s="290"/>
      <c r="I1019" s="290"/>
      <c r="J1019" s="290"/>
      <c r="K1019" s="281">
        <f t="shared" si="1171"/>
        <v>567248394.77999997</v>
      </c>
      <c r="L1019" s="290">
        <v>99831514</v>
      </c>
      <c r="M1019" s="290">
        <v>107661872</v>
      </c>
      <c r="N1019" s="290">
        <v>77081769</v>
      </c>
      <c r="O1019" s="290">
        <v>81220882</v>
      </c>
      <c r="P1019" s="290"/>
      <c r="Q1019" s="290">
        <v>49165591.07</v>
      </c>
      <c r="R1019" s="281">
        <f t="shared" si="1115"/>
        <v>414961628.06999999</v>
      </c>
      <c r="S1019" s="290">
        <v>74059641.099999994</v>
      </c>
      <c r="T1019" s="290">
        <v>71724822</v>
      </c>
      <c r="U1019" s="290">
        <v>6502303.6100000003</v>
      </c>
      <c r="V1019" s="290">
        <v>74776537</v>
      </c>
      <c r="W1019" s="290">
        <v>413093.16</v>
      </c>
      <c r="X1019" s="290">
        <v>114342188.55</v>
      </c>
      <c r="Y1019" s="290">
        <v>-75189630.159999967</v>
      </c>
      <c r="Z1019" s="290"/>
      <c r="AA1019" s="281">
        <f t="shared" si="1116"/>
        <v>266628955.26000005</v>
      </c>
      <c r="AB1019" s="403">
        <f t="shared" si="1104"/>
        <v>681590583.33000004</v>
      </c>
      <c r="AC1019" s="326">
        <f t="shared" si="1105"/>
        <v>1.201573401709398</v>
      </c>
    </row>
    <row r="1020" spans="1:29" ht="14.25" x14ac:dyDescent="0.2">
      <c r="B1020" s="323" t="s">
        <v>1102</v>
      </c>
      <c r="C1020" s="206" t="s">
        <v>378</v>
      </c>
      <c r="D1020" s="303"/>
      <c r="E1020" s="325">
        <f>SUM('ADICIONES  2021'!C1020:N1020)</f>
        <v>110000000</v>
      </c>
      <c r="F1020" s="290"/>
      <c r="G1020" s="290"/>
      <c r="H1020" s="290"/>
      <c r="I1020" s="290"/>
      <c r="J1020" s="290"/>
      <c r="K1020" s="281">
        <f t="shared" si="1171"/>
        <v>110000000</v>
      </c>
      <c r="L1020" s="290"/>
      <c r="M1020" s="290"/>
      <c r="N1020" s="290"/>
      <c r="O1020" s="290"/>
      <c r="P1020" s="290"/>
      <c r="Q1020" s="290"/>
      <c r="R1020" s="281">
        <f t="shared" si="1115"/>
        <v>0</v>
      </c>
      <c r="S1020" s="290"/>
      <c r="T1020" s="290"/>
      <c r="U1020" s="290"/>
      <c r="V1020" s="290"/>
      <c r="W1020" s="290">
        <v>0</v>
      </c>
      <c r="X1020" s="290">
        <v>8973610.4499999993</v>
      </c>
      <c r="Y1020" s="290">
        <v>101026389.55</v>
      </c>
      <c r="Z1020" s="290"/>
      <c r="AA1020" s="281">
        <f t="shared" ref="AA1020:AA1021" si="1240">SUM(S1020:Z1020)</f>
        <v>110000000</v>
      </c>
      <c r="AB1020" s="403">
        <f t="shared" si="1104"/>
        <v>110000000</v>
      </c>
      <c r="AC1020" s="326">
        <f t="shared" si="1105"/>
        <v>1</v>
      </c>
    </row>
    <row r="1021" spans="1:29" ht="14.25" x14ac:dyDescent="0.2">
      <c r="B1021" s="323" t="s">
        <v>1102</v>
      </c>
      <c r="C1021" s="206" t="s">
        <v>378</v>
      </c>
      <c r="D1021" s="303"/>
      <c r="E1021" s="325">
        <f>SUM('ADICIONES  2021'!C1021:N1021)</f>
        <v>194000000</v>
      </c>
      <c r="F1021" s="290"/>
      <c r="G1021" s="290"/>
      <c r="H1021" s="290"/>
      <c r="I1021" s="290"/>
      <c r="J1021" s="290"/>
      <c r="K1021" s="281">
        <f t="shared" si="1171"/>
        <v>194000000</v>
      </c>
      <c r="L1021" s="290"/>
      <c r="M1021" s="290"/>
      <c r="N1021" s="290"/>
      <c r="O1021" s="290"/>
      <c r="P1021" s="290"/>
      <c r="Q1021" s="290"/>
      <c r="R1021" s="281">
        <f t="shared" si="1115"/>
        <v>0</v>
      </c>
      <c r="S1021" s="290"/>
      <c r="T1021" s="290"/>
      <c r="U1021" s="290">
        <v>110114393.39</v>
      </c>
      <c r="V1021" s="290">
        <v>0</v>
      </c>
      <c r="W1021" s="290">
        <v>109722366</v>
      </c>
      <c r="X1021" s="290">
        <v>0</v>
      </c>
      <c r="Y1021" s="290">
        <v>-25836759.389999986</v>
      </c>
      <c r="Z1021" s="290"/>
      <c r="AA1021" s="281">
        <f t="shared" si="1240"/>
        <v>194000000</v>
      </c>
      <c r="AB1021" s="403">
        <f t="shared" si="1104"/>
        <v>194000000</v>
      </c>
      <c r="AC1021" s="326">
        <f t="shared" si="1105"/>
        <v>1</v>
      </c>
    </row>
    <row r="1022" spans="1:29" s="61" customFormat="1" ht="15.75" x14ac:dyDescent="0.2">
      <c r="A1022" s="421"/>
      <c r="B1022" s="318" t="s">
        <v>1103</v>
      </c>
      <c r="C1022" s="319" t="s">
        <v>1104</v>
      </c>
      <c r="D1022" s="292">
        <f>+D1023</f>
        <v>240896894.40000001</v>
      </c>
      <c r="E1022" s="322">
        <f>SUM('ADICIONES  2021'!C1022:N1022)</f>
        <v>387000000</v>
      </c>
      <c r="F1022" s="289"/>
      <c r="G1022" s="289">
        <f t="shared" ref="G1022:J1022" si="1241">+G1023</f>
        <v>0</v>
      </c>
      <c r="H1022" s="289">
        <f t="shared" si="1241"/>
        <v>0</v>
      </c>
      <c r="I1022" s="289">
        <f t="shared" si="1241"/>
        <v>0</v>
      </c>
      <c r="J1022" s="289">
        <f t="shared" si="1241"/>
        <v>0</v>
      </c>
      <c r="K1022" s="276">
        <f t="shared" si="1171"/>
        <v>627896894.39999998</v>
      </c>
      <c r="L1022" s="289">
        <f t="shared" ref="L1022:Q1022" si="1242">+L1023</f>
        <v>68595655</v>
      </c>
      <c r="M1022" s="289">
        <f t="shared" si="1242"/>
        <v>58520846</v>
      </c>
      <c r="N1022" s="289">
        <f t="shared" si="1242"/>
        <v>30193937</v>
      </c>
      <c r="O1022" s="289">
        <f t="shared" si="1242"/>
        <v>35972260</v>
      </c>
      <c r="P1022" s="289">
        <f t="shared" si="1242"/>
        <v>40663465</v>
      </c>
      <c r="Q1022" s="289">
        <f t="shared" si="1242"/>
        <v>33491060</v>
      </c>
      <c r="R1022" s="276">
        <f t="shared" si="1115"/>
        <v>267437223</v>
      </c>
      <c r="S1022" s="289">
        <f t="shared" ref="S1022:Z1022" si="1243">+S1023</f>
        <v>32840061</v>
      </c>
      <c r="T1022" s="289">
        <f t="shared" si="1243"/>
        <v>35337123</v>
      </c>
      <c r="U1022" s="289">
        <f t="shared" si="1243"/>
        <v>32010038</v>
      </c>
      <c r="V1022" s="289">
        <f t="shared" si="1243"/>
        <v>156054586</v>
      </c>
      <c r="W1022" s="289">
        <f t="shared" si="1243"/>
        <v>31221201</v>
      </c>
      <c r="X1022" s="289">
        <f t="shared" si="1243"/>
        <v>0</v>
      </c>
      <c r="Y1022" s="289">
        <f t="shared" si="1243"/>
        <v>0</v>
      </c>
      <c r="Z1022" s="289">
        <f t="shared" si="1243"/>
        <v>0</v>
      </c>
      <c r="AA1022" s="276">
        <f t="shared" si="1116"/>
        <v>287463009</v>
      </c>
      <c r="AB1022" s="402">
        <f t="shared" si="1104"/>
        <v>554900232</v>
      </c>
      <c r="AC1022" s="321">
        <f t="shared" si="1105"/>
        <v>0.88374418945047739</v>
      </c>
    </row>
    <row r="1023" spans="1:29" s="61" customFormat="1" ht="25.5" x14ac:dyDescent="0.2">
      <c r="A1023" s="421"/>
      <c r="B1023" s="318" t="s">
        <v>1105</v>
      </c>
      <c r="C1023" s="319" t="s">
        <v>1106</v>
      </c>
      <c r="D1023" s="292">
        <f>SUM(D1024:D1026)</f>
        <v>240896894.40000001</v>
      </c>
      <c r="E1023" s="322">
        <f>SUM('ADICIONES  2021'!C1023:N1023)</f>
        <v>387000000</v>
      </c>
      <c r="F1023" s="292">
        <f t="shared" ref="F1023:J1023" si="1244">SUM(F1024:F1026)</f>
        <v>0</v>
      </c>
      <c r="G1023" s="292">
        <f t="shared" si="1244"/>
        <v>0</v>
      </c>
      <c r="H1023" s="292">
        <f t="shared" si="1244"/>
        <v>0</v>
      </c>
      <c r="I1023" s="292">
        <f t="shared" si="1244"/>
        <v>0</v>
      </c>
      <c r="J1023" s="292">
        <f t="shared" si="1244"/>
        <v>0</v>
      </c>
      <c r="K1023" s="276">
        <f t="shared" si="1171"/>
        <v>627896894.39999998</v>
      </c>
      <c r="L1023" s="292">
        <f t="shared" ref="L1023:Q1023" si="1245">SUM(L1024:L1026)</f>
        <v>68595655</v>
      </c>
      <c r="M1023" s="292">
        <f t="shared" si="1245"/>
        <v>58520846</v>
      </c>
      <c r="N1023" s="292">
        <f t="shared" si="1245"/>
        <v>30193937</v>
      </c>
      <c r="O1023" s="292">
        <f t="shared" si="1245"/>
        <v>35972260</v>
      </c>
      <c r="P1023" s="292">
        <f t="shared" si="1245"/>
        <v>40663465</v>
      </c>
      <c r="Q1023" s="292">
        <f t="shared" si="1245"/>
        <v>33491060</v>
      </c>
      <c r="R1023" s="276">
        <f t="shared" si="1115"/>
        <v>267437223</v>
      </c>
      <c r="S1023" s="292">
        <f t="shared" ref="S1023:Z1023" si="1246">SUM(S1024:S1026)</f>
        <v>32840061</v>
      </c>
      <c r="T1023" s="292">
        <f t="shared" si="1246"/>
        <v>35337123</v>
      </c>
      <c r="U1023" s="292">
        <f t="shared" si="1246"/>
        <v>32010038</v>
      </c>
      <c r="V1023" s="292">
        <f t="shared" si="1246"/>
        <v>156054586</v>
      </c>
      <c r="W1023" s="292">
        <f t="shared" si="1246"/>
        <v>31221201</v>
      </c>
      <c r="X1023" s="292">
        <f t="shared" si="1246"/>
        <v>0</v>
      </c>
      <c r="Y1023" s="292">
        <f t="shared" si="1246"/>
        <v>0</v>
      </c>
      <c r="Z1023" s="292">
        <f t="shared" si="1246"/>
        <v>0</v>
      </c>
      <c r="AA1023" s="276">
        <f t="shared" si="1116"/>
        <v>287463009</v>
      </c>
      <c r="AB1023" s="402">
        <f t="shared" si="1104"/>
        <v>554900232</v>
      </c>
      <c r="AC1023" s="321">
        <f t="shared" si="1105"/>
        <v>0.88374418945047739</v>
      </c>
    </row>
    <row r="1024" spans="1:29" ht="14.25" x14ac:dyDescent="0.2">
      <c r="B1024" s="323" t="s">
        <v>1107</v>
      </c>
      <c r="C1024" s="206" t="s">
        <v>1108</v>
      </c>
      <c r="D1024" s="303">
        <v>240896894.40000001</v>
      </c>
      <c r="E1024" s="325">
        <f>SUM('ADICIONES  2021'!C1024:N1024)</f>
        <v>0</v>
      </c>
      <c r="F1024" s="290"/>
      <c r="G1024" s="290"/>
      <c r="H1024" s="290"/>
      <c r="I1024" s="290"/>
      <c r="J1024" s="290"/>
      <c r="K1024" s="281">
        <f t="shared" si="1171"/>
        <v>240896894.40000001</v>
      </c>
      <c r="L1024" s="290">
        <v>68595655</v>
      </c>
      <c r="M1024" s="290">
        <v>58520846</v>
      </c>
      <c r="N1024" s="290">
        <v>30193937</v>
      </c>
      <c r="O1024" s="290">
        <v>35972260</v>
      </c>
      <c r="P1024" s="290">
        <v>40663465</v>
      </c>
      <c r="Q1024" s="290">
        <v>33491060</v>
      </c>
      <c r="R1024" s="281">
        <f t="shared" si="1115"/>
        <v>267437223</v>
      </c>
      <c r="S1024" s="290">
        <v>32840061</v>
      </c>
      <c r="T1024" s="290">
        <v>35337123</v>
      </c>
      <c r="U1024" s="290">
        <v>-94717512.599999994</v>
      </c>
      <c r="V1024" s="290">
        <v>0</v>
      </c>
      <c r="W1024" s="290">
        <v>31221201</v>
      </c>
      <c r="X1024" s="290"/>
      <c r="Y1024" s="290">
        <v>-31221200.99999997</v>
      </c>
      <c r="Z1024" s="290"/>
      <c r="AA1024" s="281">
        <f t="shared" si="1116"/>
        <v>-26540328.599999964</v>
      </c>
      <c r="AB1024" s="403">
        <f t="shared" si="1104"/>
        <v>240896894.40000004</v>
      </c>
      <c r="AC1024" s="326">
        <f t="shared" si="1105"/>
        <v>1.0000000000000002</v>
      </c>
    </row>
    <row r="1025" spans="1:29" ht="14.25" x14ac:dyDescent="0.2">
      <c r="B1025" s="323" t="s">
        <v>1107</v>
      </c>
      <c r="C1025" s="206" t="s">
        <v>1108</v>
      </c>
      <c r="D1025" s="303"/>
      <c r="E1025" s="325">
        <f>SUM('ADICIONES  2021'!C1025:N1025)</f>
        <v>249000000</v>
      </c>
      <c r="F1025" s="290"/>
      <c r="G1025" s="290"/>
      <c r="H1025" s="290"/>
      <c r="I1025" s="290"/>
      <c r="J1025" s="290"/>
      <c r="K1025" s="281">
        <f t="shared" si="1171"/>
        <v>249000000</v>
      </c>
      <c r="L1025" s="290"/>
      <c r="M1025" s="290"/>
      <c r="N1025" s="290"/>
      <c r="O1025" s="290"/>
      <c r="P1025" s="290"/>
      <c r="Q1025" s="290"/>
      <c r="R1025" s="281">
        <f t="shared" si="1115"/>
        <v>0</v>
      </c>
      <c r="S1025" s="290"/>
      <c r="T1025" s="290"/>
      <c r="U1025" s="290"/>
      <c r="V1025" s="290"/>
      <c r="W1025" s="290"/>
      <c r="X1025" s="290"/>
      <c r="Y1025" s="290">
        <v>176003337.59999999</v>
      </c>
      <c r="Z1025" s="290"/>
      <c r="AA1025" s="281">
        <f t="shared" ref="AA1025" si="1247">SUM(S1025:Z1025)</f>
        <v>176003337.59999999</v>
      </c>
      <c r="AB1025" s="403">
        <f t="shared" ref="AB1025" si="1248">+R1025+AA1025</f>
        <v>176003337.59999999</v>
      </c>
      <c r="AC1025" s="326">
        <f t="shared" ref="AC1025" si="1249">+AB1025/K1025</f>
        <v>0.70684071325301201</v>
      </c>
    </row>
    <row r="1026" spans="1:29" ht="14.25" x14ac:dyDescent="0.2">
      <c r="B1026" s="323" t="s">
        <v>1107</v>
      </c>
      <c r="C1026" s="206" t="s">
        <v>1108</v>
      </c>
      <c r="D1026" s="303"/>
      <c r="E1026" s="325">
        <f>SUM('ADICIONES  2021'!C1026:N1026)</f>
        <v>138000000</v>
      </c>
      <c r="F1026" s="290"/>
      <c r="G1026" s="290"/>
      <c r="H1026" s="290"/>
      <c r="I1026" s="290"/>
      <c r="J1026" s="290"/>
      <c r="K1026" s="281">
        <f t="shared" si="1171"/>
        <v>138000000</v>
      </c>
      <c r="L1026" s="290"/>
      <c r="M1026" s="290"/>
      <c r="N1026" s="290"/>
      <c r="O1026" s="290"/>
      <c r="P1026" s="290"/>
      <c r="Q1026" s="290"/>
      <c r="R1026" s="281">
        <f t="shared" si="1115"/>
        <v>0</v>
      </c>
      <c r="S1026" s="290"/>
      <c r="T1026" s="290"/>
      <c r="U1026" s="290">
        <v>126727550.59999999</v>
      </c>
      <c r="V1026" s="290">
        <v>156054586</v>
      </c>
      <c r="W1026" s="290"/>
      <c r="X1026" s="290"/>
      <c r="Y1026" s="290">
        <v>-144782136.60000002</v>
      </c>
      <c r="Z1026" s="290"/>
      <c r="AA1026" s="281">
        <f t="shared" ref="AA1026:AA1090" si="1250">SUM(S1026:Z1026)</f>
        <v>138000000</v>
      </c>
      <c r="AB1026" s="403">
        <f t="shared" si="1104"/>
        <v>138000000</v>
      </c>
      <c r="AC1026" s="326">
        <f t="shared" si="1105"/>
        <v>1</v>
      </c>
    </row>
    <row r="1027" spans="1:29" s="61" customFormat="1" ht="15.75" x14ac:dyDescent="0.2">
      <c r="A1027" s="421">
        <v>1</v>
      </c>
      <c r="B1027" s="318" t="s">
        <v>821</v>
      </c>
      <c r="C1027" s="319" t="s">
        <v>1202</v>
      </c>
      <c r="D1027" s="292">
        <f>+D1028</f>
        <v>0</v>
      </c>
      <c r="E1027" s="322">
        <f>SUM('ADICIONES  2021'!C1027:N1027)</f>
        <v>21229094602.32</v>
      </c>
      <c r="F1027" s="292">
        <f t="shared" ref="F1027:J1028" si="1251">+F1028</f>
        <v>29906238.68</v>
      </c>
      <c r="G1027" s="292">
        <f t="shared" si="1251"/>
        <v>0</v>
      </c>
      <c r="H1027" s="292">
        <f t="shared" si="1251"/>
        <v>0</v>
      </c>
      <c r="I1027" s="292">
        <f t="shared" si="1251"/>
        <v>0</v>
      </c>
      <c r="J1027" s="292">
        <f t="shared" si="1251"/>
        <v>0</v>
      </c>
      <c r="K1027" s="276">
        <f t="shared" si="1171"/>
        <v>21199188363.639999</v>
      </c>
      <c r="L1027" s="292">
        <f t="shared" ref="L1027:Q1028" si="1252">+L1028</f>
        <v>0</v>
      </c>
      <c r="M1027" s="292">
        <f t="shared" si="1252"/>
        <v>0</v>
      </c>
      <c r="N1027" s="292">
        <f t="shared" si="1252"/>
        <v>288000000</v>
      </c>
      <c r="O1027" s="292">
        <f t="shared" si="1252"/>
        <v>0</v>
      </c>
      <c r="P1027" s="292">
        <f t="shared" si="1252"/>
        <v>20941094602.32</v>
      </c>
      <c r="Q1027" s="292">
        <f t="shared" si="1252"/>
        <v>0</v>
      </c>
      <c r="R1027" s="276">
        <f t="shared" si="1115"/>
        <v>21229094602.32</v>
      </c>
      <c r="S1027" s="292">
        <f t="shared" ref="S1027:Z1028" si="1253">+S1028</f>
        <v>0</v>
      </c>
      <c r="T1027" s="292">
        <f t="shared" si="1253"/>
        <v>0</v>
      </c>
      <c r="U1027" s="292">
        <f t="shared" si="1253"/>
        <v>0</v>
      </c>
      <c r="V1027" s="292">
        <f t="shared" si="1253"/>
        <v>0</v>
      </c>
      <c r="W1027" s="292">
        <f t="shared" si="1253"/>
        <v>0</v>
      </c>
      <c r="X1027" s="292">
        <f t="shared" si="1253"/>
        <v>-29906238.68</v>
      </c>
      <c r="Y1027" s="292">
        <f t="shared" si="1253"/>
        <v>0</v>
      </c>
      <c r="Z1027" s="292">
        <f t="shared" si="1253"/>
        <v>0</v>
      </c>
      <c r="AA1027" s="276">
        <f t="shared" si="1250"/>
        <v>-29906238.68</v>
      </c>
      <c r="AB1027" s="402">
        <f t="shared" si="1104"/>
        <v>21199188363.639999</v>
      </c>
      <c r="AC1027" s="321">
        <f t="shared" si="1105"/>
        <v>1</v>
      </c>
    </row>
    <row r="1028" spans="1:29" s="61" customFormat="1" ht="15.75" x14ac:dyDescent="0.2">
      <c r="A1028" s="421"/>
      <c r="B1028" s="318" t="s">
        <v>822</v>
      </c>
      <c r="C1028" s="319" t="s">
        <v>1203</v>
      </c>
      <c r="D1028" s="292">
        <f>+D1029</f>
        <v>0</v>
      </c>
      <c r="E1028" s="322">
        <f>SUM('ADICIONES  2021'!C1028:N1028)</f>
        <v>21229094602.32</v>
      </c>
      <c r="F1028" s="292">
        <f t="shared" si="1251"/>
        <v>29906238.68</v>
      </c>
      <c r="G1028" s="292">
        <f t="shared" si="1251"/>
        <v>0</v>
      </c>
      <c r="H1028" s="292">
        <f t="shared" si="1251"/>
        <v>0</v>
      </c>
      <c r="I1028" s="292">
        <f t="shared" si="1251"/>
        <v>0</v>
      </c>
      <c r="J1028" s="292">
        <f t="shared" si="1251"/>
        <v>0</v>
      </c>
      <c r="K1028" s="276">
        <f t="shared" si="1171"/>
        <v>21199188363.639999</v>
      </c>
      <c r="L1028" s="292">
        <f t="shared" si="1252"/>
        <v>0</v>
      </c>
      <c r="M1028" s="292">
        <f t="shared" si="1252"/>
        <v>0</v>
      </c>
      <c r="N1028" s="292">
        <f t="shared" si="1252"/>
        <v>288000000</v>
      </c>
      <c r="O1028" s="292">
        <f t="shared" si="1252"/>
        <v>0</v>
      </c>
      <c r="P1028" s="292">
        <f t="shared" si="1252"/>
        <v>20941094602.32</v>
      </c>
      <c r="Q1028" s="292">
        <f t="shared" si="1252"/>
        <v>0</v>
      </c>
      <c r="R1028" s="276">
        <f t="shared" si="1115"/>
        <v>21229094602.32</v>
      </c>
      <c r="S1028" s="292">
        <f t="shared" si="1253"/>
        <v>0</v>
      </c>
      <c r="T1028" s="292">
        <f t="shared" si="1253"/>
        <v>0</v>
      </c>
      <c r="U1028" s="292">
        <f t="shared" si="1253"/>
        <v>0</v>
      </c>
      <c r="V1028" s="292">
        <f t="shared" si="1253"/>
        <v>0</v>
      </c>
      <c r="W1028" s="292">
        <f t="shared" si="1253"/>
        <v>0</v>
      </c>
      <c r="X1028" s="292">
        <f t="shared" si="1253"/>
        <v>-29906238.68</v>
      </c>
      <c r="Y1028" s="292">
        <f t="shared" si="1253"/>
        <v>0</v>
      </c>
      <c r="Z1028" s="292">
        <f t="shared" si="1253"/>
        <v>0</v>
      </c>
      <c r="AA1028" s="276">
        <f t="shared" si="1250"/>
        <v>-29906238.68</v>
      </c>
      <c r="AB1028" s="402">
        <f t="shared" si="1104"/>
        <v>21199188363.639999</v>
      </c>
      <c r="AC1028" s="321">
        <f t="shared" si="1105"/>
        <v>1</v>
      </c>
    </row>
    <row r="1029" spans="1:29" s="61" customFormat="1" ht="15.75" x14ac:dyDescent="0.2">
      <c r="A1029" s="421"/>
      <c r="B1029" s="318" t="s">
        <v>1122</v>
      </c>
      <c r="C1029" s="319" t="s">
        <v>1204</v>
      </c>
      <c r="D1029" s="292">
        <f>SUM(D1030:D1077)</f>
        <v>0</v>
      </c>
      <c r="E1029" s="322">
        <f>SUM('ADICIONES  2021'!C1029:N1029)</f>
        <v>21229094602.32</v>
      </c>
      <c r="F1029" s="292">
        <f t="shared" ref="F1029:J1029" si="1254">SUM(F1030:F1077)</f>
        <v>29906238.68</v>
      </c>
      <c r="G1029" s="292">
        <f t="shared" si="1254"/>
        <v>0</v>
      </c>
      <c r="H1029" s="292">
        <f t="shared" si="1254"/>
        <v>0</v>
      </c>
      <c r="I1029" s="292">
        <f t="shared" si="1254"/>
        <v>0</v>
      </c>
      <c r="J1029" s="292">
        <f t="shared" si="1254"/>
        <v>0</v>
      </c>
      <c r="K1029" s="276">
        <f t="shared" si="1171"/>
        <v>21199188363.639999</v>
      </c>
      <c r="L1029" s="292">
        <f t="shared" ref="L1029:Q1029" si="1255">SUM(L1030:L1077)</f>
        <v>0</v>
      </c>
      <c r="M1029" s="292">
        <f t="shared" si="1255"/>
        <v>0</v>
      </c>
      <c r="N1029" s="292">
        <f t="shared" si="1255"/>
        <v>288000000</v>
      </c>
      <c r="O1029" s="292">
        <f t="shared" si="1255"/>
        <v>0</v>
      </c>
      <c r="P1029" s="292">
        <f t="shared" si="1255"/>
        <v>20941094602.32</v>
      </c>
      <c r="Q1029" s="292">
        <f t="shared" si="1255"/>
        <v>0</v>
      </c>
      <c r="R1029" s="276">
        <f t="shared" si="1115"/>
        <v>21229094602.32</v>
      </c>
      <c r="S1029" s="292">
        <f t="shared" ref="S1029:Z1029" si="1256">SUM(S1030:S1077)</f>
        <v>0</v>
      </c>
      <c r="T1029" s="292">
        <f t="shared" si="1256"/>
        <v>0</v>
      </c>
      <c r="U1029" s="292">
        <f t="shared" si="1256"/>
        <v>0</v>
      </c>
      <c r="V1029" s="292">
        <f t="shared" si="1256"/>
        <v>0</v>
      </c>
      <c r="W1029" s="292">
        <f t="shared" si="1256"/>
        <v>0</v>
      </c>
      <c r="X1029" s="292">
        <f t="shared" si="1256"/>
        <v>-29906238.68</v>
      </c>
      <c r="Y1029" s="292">
        <f t="shared" si="1256"/>
        <v>0</v>
      </c>
      <c r="Z1029" s="292">
        <f t="shared" si="1256"/>
        <v>0</v>
      </c>
      <c r="AA1029" s="276">
        <f t="shared" si="1250"/>
        <v>-29906238.68</v>
      </c>
      <c r="AB1029" s="402">
        <f t="shared" si="1104"/>
        <v>21199188363.639999</v>
      </c>
      <c r="AC1029" s="321">
        <f t="shared" si="1105"/>
        <v>1</v>
      </c>
    </row>
    <row r="1030" spans="1:29" s="61" customFormat="1" ht="15.75" x14ac:dyDescent="0.2">
      <c r="A1030" s="421"/>
      <c r="B1030" s="323" t="s">
        <v>1205</v>
      </c>
      <c r="C1030" s="206" t="s">
        <v>1804</v>
      </c>
      <c r="D1030" s="292"/>
      <c r="E1030" s="325">
        <f>SUM('ADICIONES  2021'!C1030:N1030)</f>
        <v>2077475000</v>
      </c>
      <c r="F1030" s="289"/>
      <c r="G1030" s="289"/>
      <c r="H1030" s="289"/>
      <c r="I1030" s="289"/>
      <c r="J1030" s="289"/>
      <c r="K1030" s="281">
        <f t="shared" si="1171"/>
        <v>2077475000</v>
      </c>
      <c r="L1030" s="289"/>
      <c r="M1030" s="289"/>
      <c r="N1030" s="289"/>
      <c r="O1030" s="289"/>
      <c r="P1030" s="290">
        <v>2077475000</v>
      </c>
      <c r="Q1030" s="289"/>
      <c r="R1030" s="281">
        <f t="shared" si="1115"/>
        <v>2077475000</v>
      </c>
      <c r="S1030" s="289"/>
      <c r="T1030" s="289"/>
      <c r="U1030" s="289"/>
      <c r="V1030" s="289"/>
      <c r="W1030" s="289"/>
      <c r="X1030" s="289">
        <v>0</v>
      </c>
      <c r="Y1030" s="289"/>
      <c r="Z1030" s="289"/>
      <c r="AA1030" s="281">
        <f t="shared" si="1250"/>
        <v>0</v>
      </c>
      <c r="AB1030" s="403">
        <f t="shared" ref="AB1030:AB1094" si="1257">+R1030+AA1030</f>
        <v>2077475000</v>
      </c>
      <c r="AC1030" s="326">
        <f t="shared" ref="AC1030:AC1032" si="1258">+AB1030/K1030</f>
        <v>1</v>
      </c>
    </row>
    <row r="1031" spans="1:29" s="61" customFormat="1" ht="15.75" x14ac:dyDescent="0.2">
      <c r="A1031" s="421"/>
      <c r="B1031" s="323" t="s">
        <v>1205</v>
      </c>
      <c r="C1031" s="206" t="s">
        <v>1804</v>
      </c>
      <c r="D1031" s="292"/>
      <c r="E1031" s="325">
        <f>SUM('ADICIONES  2021'!C1031:N1031)</f>
        <v>31470991.93</v>
      </c>
      <c r="F1031" s="289"/>
      <c r="G1031" s="289"/>
      <c r="H1031" s="289"/>
      <c r="I1031" s="289"/>
      <c r="J1031" s="289"/>
      <c r="K1031" s="281">
        <f t="shared" si="1171"/>
        <v>31470991.93</v>
      </c>
      <c r="L1031" s="289"/>
      <c r="M1031" s="289"/>
      <c r="N1031" s="289"/>
      <c r="O1031" s="289"/>
      <c r="P1031" s="290">
        <v>31470991.93</v>
      </c>
      <c r="Q1031" s="289"/>
      <c r="R1031" s="281">
        <f t="shared" si="1115"/>
        <v>31470991.93</v>
      </c>
      <c r="S1031" s="289"/>
      <c r="T1031" s="289"/>
      <c r="U1031" s="289"/>
      <c r="V1031" s="289"/>
      <c r="W1031" s="289"/>
      <c r="X1031" s="289">
        <v>0</v>
      </c>
      <c r="Y1031" s="289"/>
      <c r="Z1031" s="289"/>
      <c r="AA1031" s="281">
        <f t="shared" si="1250"/>
        <v>0</v>
      </c>
      <c r="AB1031" s="403">
        <f t="shared" si="1257"/>
        <v>31470991.93</v>
      </c>
      <c r="AC1031" s="326">
        <f t="shared" si="1258"/>
        <v>1</v>
      </c>
    </row>
    <row r="1032" spans="1:29" s="61" customFormat="1" ht="15.75" x14ac:dyDescent="0.2">
      <c r="A1032" s="421"/>
      <c r="B1032" s="323" t="s">
        <v>1205</v>
      </c>
      <c r="C1032" s="206" t="s">
        <v>1206</v>
      </c>
      <c r="D1032" s="292"/>
      <c r="E1032" s="325">
        <f>SUM('ADICIONES  2021'!C1032:N1032)</f>
        <v>1759084388.54</v>
      </c>
      <c r="F1032" s="289"/>
      <c r="G1032" s="289"/>
      <c r="H1032" s="289"/>
      <c r="I1032" s="289"/>
      <c r="J1032" s="289"/>
      <c r="K1032" s="281">
        <f t="shared" si="1171"/>
        <v>1759084388.54</v>
      </c>
      <c r="L1032" s="289"/>
      <c r="M1032" s="289"/>
      <c r="N1032" s="289"/>
      <c r="O1032" s="289"/>
      <c r="P1032" s="290">
        <v>1759084388.54</v>
      </c>
      <c r="Q1032" s="289"/>
      <c r="R1032" s="281">
        <f t="shared" si="1115"/>
        <v>1759084388.54</v>
      </c>
      <c r="S1032" s="289"/>
      <c r="T1032" s="289"/>
      <c r="U1032" s="289"/>
      <c r="V1032" s="289"/>
      <c r="W1032" s="289"/>
      <c r="X1032" s="289">
        <v>0</v>
      </c>
      <c r="Y1032" s="289"/>
      <c r="Z1032" s="289"/>
      <c r="AA1032" s="281">
        <f t="shared" si="1250"/>
        <v>0</v>
      </c>
      <c r="AB1032" s="403">
        <f t="shared" si="1257"/>
        <v>1759084388.54</v>
      </c>
      <c r="AC1032" s="326">
        <f t="shared" si="1258"/>
        <v>1</v>
      </c>
    </row>
    <row r="1033" spans="1:29" ht="14.25" x14ac:dyDescent="0.2">
      <c r="B1033" s="323" t="s">
        <v>1205</v>
      </c>
      <c r="C1033" s="206" t="s">
        <v>1206</v>
      </c>
      <c r="D1033" s="303"/>
      <c r="E1033" s="325">
        <f>SUM('ADICIONES  2021'!C1033:N1033)</f>
        <v>288000000</v>
      </c>
      <c r="F1033" s="290"/>
      <c r="G1033" s="290"/>
      <c r="H1033" s="290"/>
      <c r="I1033" s="290"/>
      <c r="J1033" s="290"/>
      <c r="K1033" s="281">
        <f t="shared" si="1171"/>
        <v>288000000</v>
      </c>
      <c r="L1033" s="290"/>
      <c r="M1033" s="290"/>
      <c r="N1033" s="290">
        <v>288000000</v>
      </c>
      <c r="O1033" s="290"/>
      <c r="P1033" s="290">
        <v>0</v>
      </c>
      <c r="Q1033" s="290"/>
      <c r="R1033" s="281">
        <f t="shared" si="1115"/>
        <v>288000000</v>
      </c>
      <c r="S1033" s="290"/>
      <c r="T1033" s="290"/>
      <c r="U1033" s="290"/>
      <c r="V1033" s="290"/>
      <c r="W1033" s="290"/>
      <c r="X1033" s="290">
        <v>0</v>
      </c>
      <c r="Y1033" s="290"/>
      <c r="Z1033" s="290"/>
      <c r="AA1033" s="281">
        <f t="shared" si="1250"/>
        <v>0</v>
      </c>
      <c r="AB1033" s="403">
        <f t="shared" si="1257"/>
        <v>288000000</v>
      </c>
      <c r="AC1033" s="326">
        <f>+AB1033/K1033</f>
        <v>1</v>
      </c>
    </row>
    <row r="1034" spans="1:29" ht="14.25" x14ac:dyDescent="0.2">
      <c r="B1034" s="323" t="s">
        <v>1205</v>
      </c>
      <c r="C1034" s="206" t="s">
        <v>1804</v>
      </c>
      <c r="D1034" s="290"/>
      <c r="E1034" s="325">
        <f>SUM('ADICIONES  2021'!C1034:N1034)</f>
        <v>92490395.019999996</v>
      </c>
      <c r="F1034" s="290"/>
      <c r="G1034" s="290"/>
      <c r="H1034" s="290"/>
      <c r="I1034" s="290"/>
      <c r="J1034" s="290"/>
      <c r="K1034" s="281">
        <f t="shared" si="1171"/>
        <v>92490395.019999996</v>
      </c>
      <c r="L1034" s="290"/>
      <c r="M1034" s="290"/>
      <c r="N1034" s="290"/>
      <c r="O1034" s="290"/>
      <c r="P1034" s="290">
        <v>92490395.019999996</v>
      </c>
      <c r="Q1034" s="290"/>
      <c r="R1034" s="281">
        <f t="shared" si="1115"/>
        <v>92490395.019999996</v>
      </c>
      <c r="S1034" s="290"/>
      <c r="T1034" s="290"/>
      <c r="U1034" s="290"/>
      <c r="V1034" s="290"/>
      <c r="W1034" s="290"/>
      <c r="X1034" s="290">
        <v>0</v>
      </c>
      <c r="Y1034" s="290"/>
      <c r="Z1034" s="290"/>
      <c r="AA1034" s="281">
        <f t="shared" si="1250"/>
        <v>0</v>
      </c>
      <c r="AB1034" s="403">
        <f t="shared" si="1257"/>
        <v>92490395.019999996</v>
      </c>
      <c r="AC1034" s="326">
        <f t="shared" ref="AC1034:AC1098" si="1259">+AB1034/K1034</f>
        <v>1</v>
      </c>
    </row>
    <row r="1035" spans="1:29" ht="14.25" x14ac:dyDescent="0.2">
      <c r="B1035" s="323" t="s">
        <v>1205</v>
      </c>
      <c r="C1035" s="206" t="s">
        <v>1804</v>
      </c>
      <c r="D1035" s="290"/>
      <c r="E1035" s="325">
        <f>SUM('ADICIONES  2021'!C1035:N1035)</f>
        <v>598205.68000000005</v>
      </c>
      <c r="F1035" s="325">
        <v>598205.68000000005</v>
      </c>
      <c r="G1035" s="290"/>
      <c r="H1035" s="290"/>
      <c r="I1035" s="290"/>
      <c r="J1035" s="290"/>
      <c r="K1035" s="281">
        <f t="shared" si="1171"/>
        <v>0</v>
      </c>
      <c r="L1035" s="290"/>
      <c r="M1035" s="290"/>
      <c r="N1035" s="290"/>
      <c r="O1035" s="290"/>
      <c r="P1035" s="290">
        <v>598205.68000000005</v>
      </c>
      <c r="Q1035" s="290"/>
      <c r="R1035" s="281">
        <f t="shared" ref="R1035:R1099" si="1260">SUM(L1035:Q1035)</f>
        <v>598205.68000000005</v>
      </c>
      <c r="S1035" s="290"/>
      <c r="T1035" s="290"/>
      <c r="U1035" s="290"/>
      <c r="V1035" s="290"/>
      <c r="W1035" s="290"/>
      <c r="X1035" s="290">
        <v>-598205.68000000005</v>
      </c>
      <c r="Y1035" s="290"/>
      <c r="Z1035" s="290"/>
      <c r="AA1035" s="281">
        <f t="shared" si="1250"/>
        <v>-598205.68000000005</v>
      </c>
      <c r="AB1035" s="403">
        <f t="shared" si="1257"/>
        <v>0</v>
      </c>
      <c r="AC1035" s="326">
        <v>0</v>
      </c>
    </row>
    <row r="1036" spans="1:29" ht="14.25" x14ac:dyDescent="0.2">
      <c r="B1036" s="323" t="s">
        <v>1205</v>
      </c>
      <c r="C1036" s="206" t="s">
        <v>1804</v>
      </c>
      <c r="D1036" s="290"/>
      <c r="E1036" s="325">
        <f>SUM('ADICIONES  2021'!C1036:N1036)</f>
        <v>29308033</v>
      </c>
      <c r="F1036" s="290">
        <v>29308033</v>
      </c>
      <c r="G1036" s="290"/>
      <c r="H1036" s="290"/>
      <c r="I1036" s="290"/>
      <c r="J1036" s="290"/>
      <c r="K1036" s="281">
        <f t="shared" si="1171"/>
        <v>0</v>
      </c>
      <c r="L1036" s="290"/>
      <c r="M1036" s="290"/>
      <c r="N1036" s="290"/>
      <c r="O1036" s="290"/>
      <c r="P1036" s="290">
        <v>29308033</v>
      </c>
      <c r="Q1036" s="290"/>
      <c r="R1036" s="281">
        <f t="shared" si="1260"/>
        <v>29308033</v>
      </c>
      <c r="S1036" s="290"/>
      <c r="T1036" s="290"/>
      <c r="U1036" s="290"/>
      <c r="V1036" s="290"/>
      <c r="W1036" s="290"/>
      <c r="X1036" s="290">
        <v>-29308033</v>
      </c>
      <c r="Y1036" s="290"/>
      <c r="Z1036" s="290"/>
      <c r="AA1036" s="281">
        <f t="shared" si="1250"/>
        <v>-29308033</v>
      </c>
      <c r="AB1036" s="403">
        <f t="shared" si="1257"/>
        <v>0</v>
      </c>
      <c r="AC1036" s="326">
        <v>0</v>
      </c>
    </row>
    <row r="1037" spans="1:29" ht="14.25" x14ac:dyDescent="0.2">
      <c r="B1037" s="323" t="s">
        <v>1205</v>
      </c>
      <c r="C1037" s="206" t="s">
        <v>1804</v>
      </c>
      <c r="D1037" s="290"/>
      <c r="E1037" s="325">
        <f>SUM('ADICIONES  2021'!C1037:N1037)</f>
        <v>153078510.40000001</v>
      </c>
      <c r="F1037" s="290"/>
      <c r="G1037" s="290"/>
      <c r="H1037" s="290"/>
      <c r="I1037" s="290"/>
      <c r="J1037" s="290"/>
      <c r="K1037" s="281">
        <f t="shared" si="1171"/>
        <v>153078510.40000001</v>
      </c>
      <c r="L1037" s="290"/>
      <c r="M1037" s="290"/>
      <c r="N1037" s="290"/>
      <c r="O1037" s="290"/>
      <c r="P1037" s="290">
        <v>153078510.40000001</v>
      </c>
      <c r="Q1037" s="290"/>
      <c r="R1037" s="281">
        <f t="shared" si="1260"/>
        <v>153078510.40000001</v>
      </c>
      <c r="S1037" s="290"/>
      <c r="T1037" s="290"/>
      <c r="U1037" s="290"/>
      <c r="V1037" s="290"/>
      <c r="W1037" s="290"/>
      <c r="X1037" s="290"/>
      <c r="Y1037" s="290"/>
      <c r="Z1037" s="290"/>
      <c r="AA1037" s="281">
        <f t="shared" si="1250"/>
        <v>0</v>
      </c>
      <c r="AB1037" s="403">
        <f t="shared" si="1257"/>
        <v>153078510.40000001</v>
      </c>
      <c r="AC1037" s="326">
        <f t="shared" si="1259"/>
        <v>1</v>
      </c>
    </row>
    <row r="1038" spans="1:29" ht="25.5" x14ac:dyDescent="0.2">
      <c r="B1038" s="323" t="s">
        <v>1805</v>
      </c>
      <c r="C1038" s="206" t="s">
        <v>1806</v>
      </c>
      <c r="D1038" s="290"/>
      <c r="E1038" s="325">
        <f>SUM('ADICIONES  2021'!C1038:N1038)</f>
        <v>415910804.39999998</v>
      </c>
      <c r="F1038" s="290"/>
      <c r="G1038" s="290"/>
      <c r="H1038" s="290"/>
      <c r="I1038" s="290"/>
      <c r="J1038" s="290"/>
      <c r="K1038" s="281">
        <f t="shared" si="1171"/>
        <v>415910804.39999998</v>
      </c>
      <c r="L1038" s="290"/>
      <c r="M1038" s="290"/>
      <c r="N1038" s="290"/>
      <c r="O1038" s="290"/>
      <c r="P1038" s="290">
        <v>415910804.39999998</v>
      </c>
      <c r="Q1038" s="290"/>
      <c r="R1038" s="281">
        <f t="shared" si="1260"/>
        <v>415910804.39999998</v>
      </c>
      <c r="S1038" s="290"/>
      <c r="T1038" s="290"/>
      <c r="U1038" s="290"/>
      <c r="V1038" s="290"/>
      <c r="W1038" s="290"/>
      <c r="X1038" s="290"/>
      <c r="Y1038" s="290"/>
      <c r="Z1038" s="290"/>
      <c r="AA1038" s="281">
        <f t="shared" si="1250"/>
        <v>0</v>
      </c>
      <c r="AB1038" s="403">
        <f t="shared" si="1257"/>
        <v>415910804.39999998</v>
      </c>
      <c r="AC1038" s="326">
        <f t="shared" si="1259"/>
        <v>1</v>
      </c>
    </row>
    <row r="1039" spans="1:29" ht="25.5" x14ac:dyDescent="0.2">
      <c r="B1039" s="323" t="s">
        <v>1805</v>
      </c>
      <c r="C1039" s="206" t="s">
        <v>1806</v>
      </c>
      <c r="D1039" s="290"/>
      <c r="E1039" s="325">
        <f>SUM('ADICIONES  2021'!C1039:N1039)</f>
        <v>500000</v>
      </c>
      <c r="F1039" s="290"/>
      <c r="G1039" s="290"/>
      <c r="H1039" s="290"/>
      <c r="I1039" s="290"/>
      <c r="J1039" s="290"/>
      <c r="K1039" s="281">
        <f t="shared" si="1171"/>
        <v>500000</v>
      </c>
      <c r="L1039" s="290"/>
      <c r="M1039" s="290"/>
      <c r="N1039" s="290"/>
      <c r="O1039" s="290"/>
      <c r="P1039" s="290">
        <v>500000</v>
      </c>
      <c r="Q1039" s="290"/>
      <c r="R1039" s="281">
        <f t="shared" si="1260"/>
        <v>500000</v>
      </c>
      <c r="S1039" s="290"/>
      <c r="T1039" s="290"/>
      <c r="U1039" s="290"/>
      <c r="V1039" s="290"/>
      <c r="W1039" s="290"/>
      <c r="X1039" s="290"/>
      <c r="Y1039" s="290"/>
      <c r="Z1039" s="290"/>
      <c r="AA1039" s="281">
        <f t="shared" si="1250"/>
        <v>0</v>
      </c>
      <c r="AB1039" s="403">
        <f t="shared" si="1257"/>
        <v>500000</v>
      </c>
      <c r="AC1039" s="326">
        <f t="shared" si="1259"/>
        <v>1</v>
      </c>
    </row>
    <row r="1040" spans="1:29" ht="25.5" x14ac:dyDescent="0.2">
      <c r="B1040" s="323" t="s">
        <v>1805</v>
      </c>
      <c r="C1040" s="206" t="s">
        <v>1806</v>
      </c>
      <c r="D1040" s="290"/>
      <c r="E1040" s="325">
        <f>SUM('ADICIONES  2021'!C1040:N1040)</f>
        <v>1050628298</v>
      </c>
      <c r="F1040" s="290"/>
      <c r="G1040" s="290"/>
      <c r="H1040" s="290"/>
      <c r="I1040" s="290"/>
      <c r="J1040" s="290"/>
      <c r="K1040" s="281">
        <f t="shared" si="1171"/>
        <v>1050628298</v>
      </c>
      <c r="L1040" s="290"/>
      <c r="M1040" s="290"/>
      <c r="N1040" s="290"/>
      <c r="O1040" s="290"/>
      <c r="P1040" s="290">
        <v>1050628298</v>
      </c>
      <c r="Q1040" s="290"/>
      <c r="R1040" s="281">
        <f t="shared" si="1260"/>
        <v>1050628298</v>
      </c>
      <c r="S1040" s="290"/>
      <c r="T1040" s="290"/>
      <c r="U1040" s="290"/>
      <c r="V1040" s="290"/>
      <c r="W1040" s="290"/>
      <c r="X1040" s="290"/>
      <c r="Y1040" s="290"/>
      <c r="Z1040" s="290"/>
      <c r="AA1040" s="281">
        <f t="shared" si="1250"/>
        <v>0</v>
      </c>
      <c r="AB1040" s="403">
        <f t="shared" si="1257"/>
        <v>1050628298</v>
      </c>
      <c r="AC1040" s="326">
        <f t="shared" si="1259"/>
        <v>1</v>
      </c>
    </row>
    <row r="1041" spans="2:29" ht="25.5" x14ac:dyDescent="0.2">
      <c r="B1041" s="323" t="s">
        <v>1805</v>
      </c>
      <c r="C1041" s="206" t="s">
        <v>1806</v>
      </c>
      <c r="D1041" s="290"/>
      <c r="E1041" s="325">
        <f>SUM('ADICIONES  2021'!C1041:N1041)</f>
        <v>326231624</v>
      </c>
      <c r="F1041" s="290"/>
      <c r="G1041" s="290"/>
      <c r="H1041" s="290"/>
      <c r="I1041" s="290"/>
      <c r="J1041" s="290"/>
      <c r="K1041" s="281">
        <f t="shared" si="1171"/>
        <v>326231624</v>
      </c>
      <c r="L1041" s="290"/>
      <c r="M1041" s="290"/>
      <c r="N1041" s="290"/>
      <c r="O1041" s="290"/>
      <c r="P1041" s="290">
        <v>326231624</v>
      </c>
      <c r="Q1041" s="290"/>
      <c r="R1041" s="281">
        <f t="shared" si="1260"/>
        <v>326231624</v>
      </c>
      <c r="S1041" s="290"/>
      <c r="T1041" s="290"/>
      <c r="U1041" s="290"/>
      <c r="V1041" s="290"/>
      <c r="W1041" s="290"/>
      <c r="X1041" s="290"/>
      <c r="Y1041" s="290"/>
      <c r="Z1041" s="290"/>
      <c r="AA1041" s="281">
        <f t="shared" si="1250"/>
        <v>0</v>
      </c>
      <c r="AB1041" s="403">
        <f t="shared" si="1257"/>
        <v>326231624</v>
      </c>
      <c r="AC1041" s="326">
        <f t="shared" si="1259"/>
        <v>1</v>
      </c>
    </row>
    <row r="1042" spans="2:29" ht="25.5" x14ac:dyDescent="0.2">
      <c r="B1042" s="323" t="s">
        <v>1805</v>
      </c>
      <c r="C1042" s="206" t="s">
        <v>1806</v>
      </c>
      <c r="D1042" s="290"/>
      <c r="E1042" s="325">
        <f>SUM('ADICIONES  2021'!C1042:N1042)</f>
        <v>217087307.66999999</v>
      </c>
      <c r="F1042" s="290"/>
      <c r="G1042" s="290"/>
      <c r="H1042" s="290"/>
      <c r="I1042" s="290"/>
      <c r="J1042" s="290"/>
      <c r="K1042" s="281">
        <f t="shared" si="1171"/>
        <v>217087307.66999999</v>
      </c>
      <c r="L1042" s="290"/>
      <c r="M1042" s="290"/>
      <c r="N1042" s="290"/>
      <c r="O1042" s="290"/>
      <c r="P1042" s="290">
        <v>217087307.66999999</v>
      </c>
      <c r="Q1042" s="290"/>
      <c r="R1042" s="281">
        <f t="shared" si="1260"/>
        <v>217087307.66999999</v>
      </c>
      <c r="S1042" s="290"/>
      <c r="T1042" s="290"/>
      <c r="U1042" s="290"/>
      <c r="V1042" s="290"/>
      <c r="W1042" s="290"/>
      <c r="X1042" s="290"/>
      <c r="Y1042" s="290"/>
      <c r="Z1042" s="290"/>
      <c r="AA1042" s="281">
        <f t="shared" si="1250"/>
        <v>0</v>
      </c>
      <c r="AB1042" s="403">
        <f t="shared" si="1257"/>
        <v>217087307.66999999</v>
      </c>
      <c r="AC1042" s="326">
        <f t="shared" si="1259"/>
        <v>1</v>
      </c>
    </row>
    <row r="1043" spans="2:29" ht="25.5" x14ac:dyDescent="0.2">
      <c r="B1043" s="323" t="s">
        <v>1805</v>
      </c>
      <c r="C1043" s="206" t="s">
        <v>1806</v>
      </c>
      <c r="D1043" s="290"/>
      <c r="E1043" s="325">
        <f>SUM('ADICIONES  2021'!C1043:N1043)</f>
        <v>300000000</v>
      </c>
      <c r="F1043" s="290"/>
      <c r="G1043" s="290"/>
      <c r="H1043" s="290"/>
      <c r="I1043" s="290"/>
      <c r="J1043" s="290"/>
      <c r="K1043" s="281">
        <f t="shared" si="1171"/>
        <v>300000000</v>
      </c>
      <c r="L1043" s="290"/>
      <c r="M1043" s="290"/>
      <c r="N1043" s="290"/>
      <c r="O1043" s="290"/>
      <c r="P1043" s="290">
        <v>300000000</v>
      </c>
      <c r="Q1043" s="290"/>
      <c r="R1043" s="281">
        <f t="shared" si="1260"/>
        <v>300000000</v>
      </c>
      <c r="S1043" s="290"/>
      <c r="T1043" s="290"/>
      <c r="U1043" s="290"/>
      <c r="V1043" s="290"/>
      <c r="W1043" s="290"/>
      <c r="X1043" s="290"/>
      <c r="Y1043" s="290"/>
      <c r="Z1043" s="290"/>
      <c r="AA1043" s="281">
        <f t="shared" si="1250"/>
        <v>0</v>
      </c>
      <c r="AB1043" s="403">
        <f t="shared" si="1257"/>
        <v>300000000</v>
      </c>
      <c r="AC1043" s="326">
        <f t="shared" si="1259"/>
        <v>1</v>
      </c>
    </row>
    <row r="1044" spans="2:29" ht="25.5" x14ac:dyDescent="0.2">
      <c r="B1044" s="323" t="s">
        <v>1805</v>
      </c>
      <c r="C1044" s="206" t="s">
        <v>1806</v>
      </c>
      <c r="D1044" s="290"/>
      <c r="E1044" s="325">
        <f>SUM('ADICIONES  2021'!C1044:N1044)</f>
        <v>112655921</v>
      </c>
      <c r="F1044" s="290"/>
      <c r="G1044" s="290"/>
      <c r="H1044" s="290"/>
      <c r="I1044" s="290"/>
      <c r="J1044" s="290"/>
      <c r="K1044" s="281">
        <f t="shared" si="1171"/>
        <v>112655921</v>
      </c>
      <c r="L1044" s="290"/>
      <c r="M1044" s="290"/>
      <c r="N1044" s="290"/>
      <c r="O1044" s="290"/>
      <c r="P1044" s="290">
        <v>112655921</v>
      </c>
      <c r="Q1044" s="290"/>
      <c r="R1044" s="281">
        <f t="shared" si="1260"/>
        <v>112655921</v>
      </c>
      <c r="S1044" s="290"/>
      <c r="T1044" s="290"/>
      <c r="U1044" s="290"/>
      <c r="V1044" s="290"/>
      <c r="W1044" s="290"/>
      <c r="X1044" s="290"/>
      <c r="Y1044" s="290"/>
      <c r="Z1044" s="290"/>
      <c r="AA1044" s="281">
        <f t="shared" si="1250"/>
        <v>0</v>
      </c>
      <c r="AB1044" s="403">
        <f t="shared" si="1257"/>
        <v>112655921</v>
      </c>
      <c r="AC1044" s="326">
        <f t="shared" si="1259"/>
        <v>1</v>
      </c>
    </row>
    <row r="1045" spans="2:29" ht="25.5" x14ac:dyDescent="0.2">
      <c r="B1045" s="323" t="s">
        <v>1805</v>
      </c>
      <c r="C1045" s="206" t="s">
        <v>1806</v>
      </c>
      <c r="D1045" s="290"/>
      <c r="E1045" s="325">
        <f>SUM('ADICIONES  2021'!C1045:N1045)</f>
        <v>10937000</v>
      </c>
      <c r="F1045" s="290"/>
      <c r="G1045" s="290"/>
      <c r="H1045" s="290"/>
      <c r="I1045" s="290"/>
      <c r="J1045" s="290"/>
      <c r="K1045" s="281">
        <f t="shared" si="1171"/>
        <v>10937000</v>
      </c>
      <c r="L1045" s="290"/>
      <c r="M1045" s="290"/>
      <c r="N1045" s="290"/>
      <c r="O1045" s="290"/>
      <c r="P1045" s="290">
        <v>10937000</v>
      </c>
      <c r="Q1045" s="290"/>
      <c r="R1045" s="281">
        <f t="shared" si="1260"/>
        <v>10937000</v>
      </c>
      <c r="S1045" s="290"/>
      <c r="T1045" s="290"/>
      <c r="U1045" s="290"/>
      <c r="V1045" s="290"/>
      <c r="W1045" s="290"/>
      <c r="X1045" s="290"/>
      <c r="Y1045" s="290"/>
      <c r="Z1045" s="290"/>
      <c r="AA1045" s="281">
        <f t="shared" si="1250"/>
        <v>0</v>
      </c>
      <c r="AB1045" s="403">
        <f t="shared" si="1257"/>
        <v>10937000</v>
      </c>
      <c r="AC1045" s="326">
        <f t="shared" si="1259"/>
        <v>1</v>
      </c>
    </row>
    <row r="1046" spans="2:29" ht="25.5" x14ac:dyDescent="0.2">
      <c r="B1046" s="323" t="s">
        <v>1805</v>
      </c>
      <c r="C1046" s="206" t="s">
        <v>1806</v>
      </c>
      <c r="D1046" s="290"/>
      <c r="E1046" s="325">
        <f>SUM('ADICIONES  2021'!C1046:N1046)</f>
        <v>1166036001</v>
      </c>
      <c r="F1046" s="290"/>
      <c r="G1046" s="290"/>
      <c r="H1046" s="290"/>
      <c r="I1046" s="290"/>
      <c r="J1046" s="290"/>
      <c r="K1046" s="281">
        <f t="shared" si="1171"/>
        <v>1166036001</v>
      </c>
      <c r="L1046" s="290"/>
      <c r="M1046" s="290"/>
      <c r="N1046" s="290"/>
      <c r="O1046" s="290"/>
      <c r="P1046" s="290">
        <v>1166036001</v>
      </c>
      <c r="Q1046" s="290"/>
      <c r="R1046" s="281">
        <f t="shared" si="1260"/>
        <v>1166036001</v>
      </c>
      <c r="S1046" s="290"/>
      <c r="T1046" s="290"/>
      <c r="U1046" s="290"/>
      <c r="V1046" s="290"/>
      <c r="W1046" s="290"/>
      <c r="X1046" s="290"/>
      <c r="Y1046" s="290"/>
      <c r="Z1046" s="290"/>
      <c r="AA1046" s="281">
        <f t="shared" si="1250"/>
        <v>0</v>
      </c>
      <c r="AB1046" s="403">
        <f t="shared" si="1257"/>
        <v>1166036001</v>
      </c>
      <c r="AC1046" s="326">
        <f t="shared" si="1259"/>
        <v>1</v>
      </c>
    </row>
    <row r="1047" spans="2:29" ht="25.5" x14ac:dyDescent="0.2">
      <c r="B1047" s="323" t="s">
        <v>1805</v>
      </c>
      <c r="C1047" s="206" t="s">
        <v>1806</v>
      </c>
      <c r="D1047" s="290"/>
      <c r="E1047" s="325">
        <f>SUM('ADICIONES  2021'!C1047:N1047)</f>
        <v>920162986.5</v>
      </c>
      <c r="F1047" s="290"/>
      <c r="G1047" s="290"/>
      <c r="H1047" s="290"/>
      <c r="I1047" s="290"/>
      <c r="J1047" s="290"/>
      <c r="K1047" s="281">
        <f t="shared" si="1171"/>
        <v>920162986.5</v>
      </c>
      <c r="L1047" s="290"/>
      <c r="M1047" s="290"/>
      <c r="N1047" s="290"/>
      <c r="O1047" s="290"/>
      <c r="P1047" s="290">
        <v>920162986.5</v>
      </c>
      <c r="Q1047" s="290"/>
      <c r="R1047" s="281">
        <f t="shared" si="1260"/>
        <v>920162986.5</v>
      </c>
      <c r="S1047" s="290"/>
      <c r="T1047" s="290"/>
      <c r="U1047" s="290"/>
      <c r="V1047" s="290"/>
      <c r="W1047" s="290"/>
      <c r="X1047" s="290"/>
      <c r="Y1047" s="290"/>
      <c r="Z1047" s="290"/>
      <c r="AA1047" s="281">
        <f t="shared" si="1250"/>
        <v>0</v>
      </c>
      <c r="AB1047" s="403">
        <f t="shared" si="1257"/>
        <v>920162986.5</v>
      </c>
      <c r="AC1047" s="326">
        <f t="shared" si="1259"/>
        <v>1</v>
      </c>
    </row>
    <row r="1048" spans="2:29" ht="14.25" x14ac:dyDescent="0.2">
      <c r="B1048" s="323" t="s">
        <v>1807</v>
      </c>
      <c r="C1048" s="206" t="s">
        <v>1808</v>
      </c>
      <c r="D1048" s="290"/>
      <c r="E1048" s="325">
        <f>SUM('ADICIONES  2021'!C1048:N1048)</f>
        <v>2695161841.1199999</v>
      </c>
      <c r="F1048" s="290"/>
      <c r="G1048" s="290"/>
      <c r="H1048" s="290"/>
      <c r="I1048" s="290"/>
      <c r="J1048" s="290"/>
      <c r="K1048" s="281">
        <f t="shared" si="1171"/>
        <v>2695161841.1199999</v>
      </c>
      <c r="L1048" s="290"/>
      <c r="M1048" s="290"/>
      <c r="N1048" s="290"/>
      <c r="O1048" s="290"/>
      <c r="P1048" s="290">
        <v>2695161841.1199999</v>
      </c>
      <c r="Q1048" s="290"/>
      <c r="R1048" s="281">
        <f t="shared" si="1260"/>
        <v>2695161841.1199999</v>
      </c>
      <c r="S1048" s="290"/>
      <c r="T1048" s="290"/>
      <c r="U1048" s="290"/>
      <c r="V1048" s="290"/>
      <c r="W1048" s="290"/>
      <c r="X1048" s="290"/>
      <c r="Y1048" s="290"/>
      <c r="Z1048" s="290"/>
      <c r="AA1048" s="281">
        <f t="shared" si="1250"/>
        <v>0</v>
      </c>
      <c r="AB1048" s="403">
        <f t="shared" si="1257"/>
        <v>2695161841.1199999</v>
      </c>
      <c r="AC1048" s="326">
        <f t="shared" si="1259"/>
        <v>1</v>
      </c>
    </row>
    <row r="1049" spans="2:29" ht="14.25" x14ac:dyDescent="0.2">
      <c r="B1049" s="323" t="s">
        <v>1807</v>
      </c>
      <c r="C1049" s="206" t="s">
        <v>1808</v>
      </c>
      <c r="D1049" s="290"/>
      <c r="E1049" s="325">
        <f>SUM('ADICIONES  2021'!C1049:N1049)</f>
        <v>13635000</v>
      </c>
      <c r="F1049" s="290"/>
      <c r="G1049" s="290"/>
      <c r="H1049" s="290"/>
      <c r="I1049" s="290"/>
      <c r="J1049" s="290"/>
      <c r="K1049" s="281">
        <f t="shared" si="1171"/>
        <v>13635000</v>
      </c>
      <c r="L1049" s="290"/>
      <c r="M1049" s="290"/>
      <c r="N1049" s="290"/>
      <c r="O1049" s="290"/>
      <c r="P1049" s="290">
        <v>13635000</v>
      </c>
      <c r="Q1049" s="290"/>
      <c r="R1049" s="281">
        <f t="shared" si="1260"/>
        <v>13635000</v>
      </c>
      <c r="S1049" s="290"/>
      <c r="T1049" s="290"/>
      <c r="U1049" s="290"/>
      <c r="V1049" s="290"/>
      <c r="W1049" s="290"/>
      <c r="X1049" s="290"/>
      <c r="Y1049" s="290"/>
      <c r="Z1049" s="290"/>
      <c r="AA1049" s="281">
        <f t="shared" si="1250"/>
        <v>0</v>
      </c>
      <c r="AB1049" s="403">
        <f t="shared" si="1257"/>
        <v>13635000</v>
      </c>
      <c r="AC1049" s="326">
        <f t="shared" si="1259"/>
        <v>1</v>
      </c>
    </row>
    <row r="1050" spans="2:29" ht="14.25" x14ac:dyDescent="0.2">
      <c r="B1050" s="323" t="s">
        <v>1807</v>
      </c>
      <c r="C1050" s="206" t="s">
        <v>1808</v>
      </c>
      <c r="D1050" s="290"/>
      <c r="E1050" s="325">
        <f>SUM('ADICIONES  2021'!C1050:N1050)</f>
        <v>407273.67</v>
      </c>
      <c r="F1050" s="290"/>
      <c r="G1050" s="290"/>
      <c r="H1050" s="290"/>
      <c r="I1050" s="290"/>
      <c r="J1050" s="290"/>
      <c r="K1050" s="281">
        <f t="shared" si="1171"/>
        <v>407273.67</v>
      </c>
      <c r="L1050" s="290"/>
      <c r="M1050" s="290"/>
      <c r="N1050" s="290"/>
      <c r="O1050" s="290"/>
      <c r="P1050" s="290">
        <v>407273.67</v>
      </c>
      <c r="Q1050" s="290"/>
      <c r="R1050" s="281">
        <f t="shared" si="1260"/>
        <v>407273.67</v>
      </c>
      <c r="S1050" s="290"/>
      <c r="T1050" s="290"/>
      <c r="U1050" s="290"/>
      <c r="V1050" s="290"/>
      <c r="W1050" s="290"/>
      <c r="X1050" s="290"/>
      <c r="Y1050" s="290"/>
      <c r="Z1050" s="290"/>
      <c r="AA1050" s="281">
        <f t="shared" si="1250"/>
        <v>0</v>
      </c>
      <c r="AB1050" s="403">
        <f t="shared" si="1257"/>
        <v>407273.67</v>
      </c>
      <c r="AC1050" s="326">
        <f t="shared" si="1259"/>
        <v>1</v>
      </c>
    </row>
    <row r="1051" spans="2:29" ht="14.25" x14ac:dyDescent="0.2">
      <c r="B1051" s="323" t="s">
        <v>1807</v>
      </c>
      <c r="C1051" s="206" t="s">
        <v>1808</v>
      </c>
      <c r="D1051" s="290"/>
      <c r="E1051" s="325">
        <f>SUM('ADICIONES  2021'!C1051:N1051)</f>
        <v>73280168</v>
      </c>
      <c r="F1051" s="290"/>
      <c r="G1051" s="290"/>
      <c r="H1051" s="290"/>
      <c r="I1051" s="290"/>
      <c r="J1051" s="290"/>
      <c r="K1051" s="281">
        <f t="shared" si="1171"/>
        <v>73280168</v>
      </c>
      <c r="L1051" s="290"/>
      <c r="M1051" s="290"/>
      <c r="N1051" s="290"/>
      <c r="O1051" s="290"/>
      <c r="P1051" s="290">
        <v>73280168</v>
      </c>
      <c r="Q1051" s="290"/>
      <c r="R1051" s="281">
        <f t="shared" si="1260"/>
        <v>73280168</v>
      </c>
      <c r="S1051" s="290"/>
      <c r="T1051" s="290"/>
      <c r="U1051" s="290"/>
      <c r="V1051" s="290"/>
      <c r="W1051" s="290"/>
      <c r="X1051" s="290"/>
      <c r="Y1051" s="290"/>
      <c r="Z1051" s="290"/>
      <c r="AA1051" s="281">
        <f t="shared" si="1250"/>
        <v>0</v>
      </c>
      <c r="AB1051" s="403">
        <f t="shared" si="1257"/>
        <v>73280168</v>
      </c>
      <c r="AC1051" s="326">
        <f t="shared" si="1259"/>
        <v>1</v>
      </c>
    </row>
    <row r="1052" spans="2:29" ht="14.25" x14ac:dyDescent="0.2">
      <c r="B1052" s="323" t="s">
        <v>1807</v>
      </c>
      <c r="C1052" s="206" t="s">
        <v>1808</v>
      </c>
      <c r="D1052" s="290"/>
      <c r="E1052" s="325">
        <f>SUM('ADICIONES  2021'!C1052:N1052)</f>
        <v>450200</v>
      </c>
      <c r="F1052" s="290"/>
      <c r="G1052" s="290"/>
      <c r="H1052" s="290"/>
      <c r="I1052" s="290"/>
      <c r="J1052" s="290"/>
      <c r="K1052" s="281">
        <f t="shared" si="1171"/>
        <v>450200</v>
      </c>
      <c r="L1052" s="290"/>
      <c r="M1052" s="290"/>
      <c r="N1052" s="290"/>
      <c r="O1052" s="290"/>
      <c r="P1052" s="290">
        <v>450200</v>
      </c>
      <c r="Q1052" s="290"/>
      <c r="R1052" s="281">
        <f t="shared" si="1260"/>
        <v>450200</v>
      </c>
      <c r="S1052" s="290"/>
      <c r="T1052" s="290"/>
      <c r="U1052" s="290"/>
      <c r="V1052" s="290"/>
      <c r="W1052" s="290"/>
      <c r="X1052" s="290"/>
      <c r="Y1052" s="290"/>
      <c r="Z1052" s="290"/>
      <c r="AA1052" s="281">
        <f t="shared" si="1250"/>
        <v>0</v>
      </c>
      <c r="AB1052" s="403">
        <f t="shared" si="1257"/>
        <v>450200</v>
      </c>
      <c r="AC1052" s="326">
        <f t="shared" si="1259"/>
        <v>1</v>
      </c>
    </row>
    <row r="1053" spans="2:29" ht="14.25" x14ac:dyDescent="0.2">
      <c r="B1053" s="323" t="s">
        <v>1807</v>
      </c>
      <c r="C1053" s="206" t="s">
        <v>1808</v>
      </c>
      <c r="D1053" s="290"/>
      <c r="E1053" s="325">
        <f>SUM('ADICIONES  2021'!C1053:N1053)</f>
        <v>153428321.09999999</v>
      </c>
      <c r="F1053" s="290"/>
      <c r="G1053" s="290"/>
      <c r="H1053" s="290"/>
      <c r="I1053" s="290"/>
      <c r="J1053" s="290"/>
      <c r="K1053" s="281">
        <f t="shared" si="1171"/>
        <v>153428321.09999999</v>
      </c>
      <c r="L1053" s="290"/>
      <c r="M1053" s="290"/>
      <c r="N1053" s="290"/>
      <c r="O1053" s="290"/>
      <c r="P1053" s="290">
        <v>153428321.09999999</v>
      </c>
      <c r="Q1053" s="290"/>
      <c r="R1053" s="281">
        <f t="shared" si="1260"/>
        <v>153428321.09999999</v>
      </c>
      <c r="S1053" s="290"/>
      <c r="T1053" s="290"/>
      <c r="U1053" s="290"/>
      <c r="V1053" s="290"/>
      <c r="W1053" s="290"/>
      <c r="X1053" s="290"/>
      <c r="Y1053" s="290"/>
      <c r="Z1053" s="290"/>
      <c r="AA1053" s="281">
        <f t="shared" si="1250"/>
        <v>0</v>
      </c>
      <c r="AB1053" s="403">
        <f t="shared" si="1257"/>
        <v>153428321.09999999</v>
      </c>
      <c r="AC1053" s="326">
        <f t="shared" si="1259"/>
        <v>1</v>
      </c>
    </row>
    <row r="1054" spans="2:29" ht="14.25" x14ac:dyDescent="0.2">
      <c r="B1054" s="323" t="s">
        <v>1807</v>
      </c>
      <c r="C1054" s="206" t="s">
        <v>1808</v>
      </c>
      <c r="D1054" s="290"/>
      <c r="E1054" s="325">
        <f>SUM('ADICIONES  2021'!C1054:N1054)</f>
        <v>19900000</v>
      </c>
      <c r="F1054" s="290"/>
      <c r="G1054" s="290"/>
      <c r="H1054" s="290"/>
      <c r="I1054" s="290"/>
      <c r="J1054" s="290"/>
      <c r="K1054" s="281">
        <f t="shared" si="1171"/>
        <v>19900000</v>
      </c>
      <c r="L1054" s="290"/>
      <c r="M1054" s="290"/>
      <c r="N1054" s="290"/>
      <c r="O1054" s="290"/>
      <c r="P1054" s="290">
        <v>19900000</v>
      </c>
      <c r="Q1054" s="290"/>
      <c r="R1054" s="281">
        <f t="shared" si="1260"/>
        <v>19900000</v>
      </c>
      <c r="S1054" s="290"/>
      <c r="T1054" s="290"/>
      <c r="U1054" s="290"/>
      <c r="V1054" s="290"/>
      <c r="W1054" s="290"/>
      <c r="X1054" s="290"/>
      <c r="Y1054" s="290"/>
      <c r="Z1054" s="290"/>
      <c r="AA1054" s="281">
        <f t="shared" si="1250"/>
        <v>0</v>
      </c>
      <c r="AB1054" s="403">
        <f t="shared" si="1257"/>
        <v>19900000</v>
      </c>
      <c r="AC1054" s="326">
        <f t="shared" si="1259"/>
        <v>1</v>
      </c>
    </row>
    <row r="1055" spans="2:29" ht="14.25" x14ac:dyDescent="0.2">
      <c r="B1055" s="323" t="s">
        <v>1807</v>
      </c>
      <c r="C1055" s="206" t="s">
        <v>1808</v>
      </c>
      <c r="D1055" s="290"/>
      <c r="E1055" s="325">
        <f>SUM('ADICIONES  2021'!C1055:N1055)</f>
        <v>71223068</v>
      </c>
      <c r="F1055" s="290"/>
      <c r="G1055" s="290"/>
      <c r="H1055" s="290"/>
      <c r="I1055" s="290"/>
      <c r="J1055" s="290"/>
      <c r="K1055" s="281">
        <f t="shared" si="1171"/>
        <v>71223068</v>
      </c>
      <c r="L1055" s="290"/>
      <c r="M1055" s="290"/>
      <c r="N1055" s="290"/>
      <c r="O1055" s="290"/>
      <c r="P1055" s="290">
        <v>71223068</v>
      </c>
      <c r="Q1055" s="290"/>
      <c r="R1055" s="281">
        <f t="shared" si="1260"/>
        <v>71223068</v>
      </c>
      <c r="S1055" s="290"/>
      <c r="T1055" s="290"/>
      <c r="U1055" s="290"/>
      <c r="V1055" s="290"/>
      <c r="W1055" s="290"/>
      <c r="X1055" s="290"/>
      <c r="Y1055" s="290"/>
      <c r="Z1055" s="290"/>
      <c r="AA1055" s="281">
        <f t="shared" si="1250"/>
        <v>0</v>
      </c>
      <c r="AB1055" s="403">
        <f t="shared" si="1257"/>
        <v>71223068</v>
      </c>
      <c r="AC1055" s="326">
        <f t="shared" si="1259"/>
        <v>1</v>
      </c>
    </row>
    <row r="1056" spans="2:29" ht="14.25" x14ac:dyDescent="0.2">
      <c r="B1056" s="323" t="s">
        <v>1807</v>
      </c>
      <c r="C1056" s="206" t="s">
        <v>1808</v>
      </c>
      <c r="D1056" s="290"/>
      <c r="E1056" s="325">
        <f>SUM('ADICIONES  2021'!C1056:N1056)</f>
        <v>400000</v>
      </c>
      <c r="F1056" s="290"/>
      <c r="G1056" s="290"/>
      <c r="H1056" s="290"/>
      <c r="I1056" s="290"/>
      <c r="J1056" s="290"/>
      <c r="K1056" s="281">
        <f t="shared" si="1171"/>
        <v>400000</v>
      </c>
      <c r="L1056" s="290"/>
      <c r="M1056" s="290"/>
      <c r="N1056" s="290"/>
      <c r="O1056" s="290"/>
      <c r="P1056" s="290">
        <v>400000</v>
      </c>
      <c r="Q1056" s="290"/>
      <c r="R1056" s="281">
        <f t="shared" si="1260"/>
        <v>400000</v>
      </c>
      <c r="S1056" s="290"/>
      <c r="T1056" s="290"/>
      <c r="U1056" s="290"/>
      <c r="V1056" s="290"/>
      <c r="W1056" s="290"/>
      <c r="X1056" s="290"/>
      <c r="Y1056" s="290"/>
      <c r="Z1056" s="290"/>
      <c r="AA1056" s="281">
        <f t="shared" si="1250"/>
        <v>0</v>
      </c>
      <c r="AB1056" s="403">
        <f t="shared" si="1257"/>
        <v>400000</v>
      </c>
      <c r="AC1056" s="326">
        <f t="shared" si="1259"/>
        <v>1</v>
      </c>
    </row>
    <row r="1057" spans="2:29" ht="14.25" x14ac:dyDescent="0.2">
      <c r="B1057" s="323" t="s">
        <v>1807</v>
      </c>
      <c r="C1057" s="206" t="s">
        <v>1808</v>
      </c>
      <c r="D1057" s="290"/>
      <c r="E1057" s="325">
        <f>SUM('ADICIONES  2021'!C1057:N1057)</f>
        <v>476922002</v>
      </c>
      <c r="F1057" s="290"/>
      <c r="G1057" s="290"/>
      <c r="H1057" s="290"/>
      <c r="I1057" s="290"/>
      <c r="J1057" s="290"/>
      <c r="K1057" s="281">
        <f t="shared" si="1171"/>
        <v>476922002</v>
      </c>
      <c r="L1057" s="290"/>
      <c r="M1057" s="290"/>
      <c r="N1057" s="290"/>
      <c r="O1057" s="290"/>
      <c r="P1057" s="290">
        <v>476922002</v>
      </c>
      <c r="Q1057" s="290"/>
      <c r="R1057" s="281">
        <f t="shared" si="1260"/>
        <v>476922002</v>
      </c>
      <c r="S1057" s="290"/>
      <c r="T1057" s="290"/>
      <c r="U1057" s="290"/>
      <c r="V1057" s="290"/>
      <c r="W1057" s="290"/>
      <c r="X1057" s="290"/>
      <c r="Y1057" s="290"/>
      <c r="Z1057" s="290"/>
      <c r="AA1057" s="281">
        <f t="shared" si="1250"/>
        <v>0</v>
      </c>
      <c r="AB1057" s="403">
        <f t="shared" si="1257"/>
        <v>476922002</v>
      </c>
      <c r="AC1057" s="326">
        <f t="shared" si="1259"/>
        <v>1</v>
      </c>
    </row>
    <row r="1058" spans="2:29" ht="14.25" x14ac:dyDescent="0.2">
      <c r="B1058" s="323" t="s">
        <v>1807</v>
      </c>
      <c r="C1058" s="206" t="s">
        <v>1808</v>
      </c>
      <c r="D1058" s="290"/>
      <c r="E1058" s="325">
        <f>SUM('ADICIONES  2021'!C1058:N1058)</f>
        <v>158465735.84</v>
      </c>
      <c r="F1058" s="290"/>
      <c r="G1058" s="290"/>
      <c r="H1058" s="290"/>
      <c r="I1058" s="290"/>
      <c r="J1058" s="290"/>
      <c r="K1058" s="281">
        <f t="shared" si="1171"/>
        <v>158465735.84</v>
      </c>
      <c r="L1058" s="290"/>
      <c r="M1058" s="290"/>
      <c r="N1058" s="290"/>
      <c r="O1058" s="290"/>
      <c r="P1058" s="290">
        <v>158465735.84</v>
      </c>
      <c r="Q1058" s="290"/>
      <c r="R1058" s="281">
        <f t="shared" si="1260"/>
        <v>158465735.84</v>
      </c>
      <c r="S1058" s="290"/>
      <c r="T1058" s="290"/>
      <c r="U1058" s="290"/>
      <c r="V1058" s="290"/>
      <c r="W1058" s="290"/>
      <c r="X1058" s="290"/>
      <c r="Y1058" s="290"/>
      <c r="Z1058" s="290"/>
      <c r="AA1058" s="281">
        <f t="shared" si="1250"/>
        <v>0</v>
      </c>
      <c r="AB1058" s="403">
        <f t="shared" si="1257"/>
        <v>158465735.84</v>
      </c>
      <c r="AC1058" s="326">
        <f t="shared" si="1259"/>
        <v>1</v>
      </c>
    </row>
    <row r="1059" spans="2:29" ht="14.25" x14ac:dyDescent="0.2">
      <c r="B1059" s="323" t="s">
        <v>1807</v>
      </c>
      <c r="C1059" s="206" t="s">
        <v>1808</v>
      </c>
      <c r="D1059" s="290"/>
      <c r="E1059" s="325">
        <f>SUM('ADICIONES  2021'!C1059:N1059)</f>
        <v>567785.43999999994</v>
      </c>
      <c r="F1059" s="290"/>
      <c r="G1059" s="290"/>
      <c r="H1059" s="290"/>
      <c r="I1059" s="290"/>
      <c r="J1059" s="290"/>
      <c r="K1059" s="281">
        <f t="shared" si="1171"/>
        <v>567785.43999999994</v>
      </c>
      <c r="L1059" s="290"/>
      <c r="M1059" s="290"/>
      <c r="N1059" s="290"/>
      <c r="O1059" s="290"/>
      <c r="P1059" s="290">
        <v>567785.43999999994</v>
      </c>
      <c r="Q1059" s="290"/>
      <c r="R1059" s="281">
        <f t="shared" si="1260"/>
        <v>567785.43999999994</v>
      </c>
      <c r="S1059" s="290"/>
      <c r="T1059" s="290"/>
      <c r="U1059" s="290"/>
      <c r="V1059" s="290"/>
      <c r="W1059" s="290"/>
      <c r="X1059" s="290"/>
      <c r="Y1059" s="290"/>
      <c r="Z1059" s="290"/>
      <c r="AA1059" s="281">
        <f t="shared" si="1250"/>
        <v>0</v>
      </c>
      <c r="AB1059" s="403">
        <f t="shared" si="1257"/>
        <v>567785.43999999994</v>
      </c>
      <c r="AC1059" s="326">
        <f t="shared" si="1259"/>
        <v>1</v>
      </c>
    </row>
    <row r="1060" spans="2:29" ht="14.25" x14ac:dyDescent="0.2">
      <c r="B1060" s="323" t="s">
        <v>1807</v>
      </c>
      <c r="C1060" s="206" t="s">
        <v>1808</v>
      </c>
      <c r="D1060" s="290"/>
      <c r="E1060" s="325">
        <f>SUM('ADICIONES  2021'!C1060:N1060)</f>
        <v>3921720000</v>
      </c>
      <c r="F1060" s="290"/>
      <c r="G1060" s="290"/>
      <c r="H1060" s="290"/>
      <c r="I1060" s="290"/>
      <c r="J1060" s="290"/>
      <c r="K1060" s="281">
        <f t="shared" si="1171"/>
        <v>3921720000</v>
      </c>
      <c r="L1060" s="290"/>
      <c r="M1060" s="290"/>
      <c r="N1060" s="290"/>
      <c r="O1060" s="290"/>
      <c r="P1060" s="290">
        <v>3921720000</v>
      </c>
      <c r="Q1060" s="290"/>
      <c r="R1060" s="281">
        <f t="shared" si="1260"/>
        <v>3921720000</v>
      </c>
      <c r="S1060" s="290"/>
      <c r="T1060" s="290"/>
      <c r="U1060" s="290"/>
      <c r="V1060" s="290"/>
      <c r="W1060" s="290"/>
      <c r="X1060" s="290"/>
      <c r="Y1060" s="290"/>
      <c r="Z1060" s="290"/>
      <c r="AA1060" s="281">
        <f t="shared" si="1250"/>
        <v>0</v>
      </c>
      <c r="AB1060" s="403">
        <f t="shared" si="1257"/>
        <v>3921720000</v>
      </c>
      <c r="AC1060" s="326">
        <f t="shared" si="1259"/>
        <v>1</v>
      </c>
    </row>
    <row r="1061" spans="2:29" ht="14.25" x14ac:dyDescent="0.2">
      <c r="B1061" s="323" t="s">
        <v>1807</v>
      </c>
      <c r="C1061" s="206" t="s">
        <v>1808</v>
      </c>
      <c r="D1061" s="290"/>
      <c r="E1061" s="325">
        <f>SUM('ADICIONES  2021'!C1061:N1061)</f>
        <v>12250741.050000001</v>
      </c>
      <c r="F1061" s="290"/>
      <c r="G1061" s="290"/>
      <c r="H1061" s="290"/>
      <c r="I1061" s="290"/>
      <c r="J1061" s="290"/>
      <c r="K1061" s="281">
        <f t="shared" si="1171"/>
        <v>12250741.050000001</v>
      </c>
      <c r="L1061" s="290"/>
      <c r="M1061" s="290"/>
      <c r="N1061" s="290"/>
      <c r="O1061" s="290"/>
      <c r="P1061" s="290">
        <v>12250741.050000001</v>
      </c>
      <c r="Q1061" s="290"/>
      <c r="R1061" s="281">
        <f t="shared" si="1260"/>
        <v>12250741.050000001</v>
      </c>
      <c r="S1061" s="290"/>
      <c r="T1061" s="290"/>
      <c r="U1061" s="290"/>
      <c r="V1061" s="290"/>
      <c r="W1061" s="290"/>
      <c r="X1061" s="290"/>
      <c r="Y1061" s="290"/>
      <c r="Z1061" s="290"/>
      <c r="AA1061" s="281">
        <f t="shared" si="1250"/>
        <v>0</v>
      </c>
      <c r="AB1061" s="403">
        <f t="shared" si="1257"/>
        <v>12250741.050000001</v>
      </c>
      <c r="AC1061" s="326">
        <f t="shared" si="1259"/>
        <v>1</v>
      </c>
    </row>
    <row r="1062" spans="2:29" ht="14.25" x14ac:dyDescent="0.2">
      <c r="B1062" s="323" t="s">
        <v>1807</v>
      </c>
      <c r="C1062" s="206" t="s">
        <v>1808</v>
      </c>
      <c r="D1062" s="290"/>
      <c r="E1062" s="325">
        <f>SUM('ADICIONES  2021'!C1062:N1062)</f>
        <v>19934058.309999999</v>
      </c>
      <c r="F1062" s="290"/>
      <c r="G1062" s="290"/>
      <c r="H1062" s="290"/>
      <c r="I1062" s="290"/>
      <c r="J1062" s="290"/>
      <c r="K1062" s="281">
        <f t="shared" si="1171"/>
        <v>19934058.309999999</v>
      </c>
      <c r="L1062" s="290"/>
      <c r="M1062" s="290"/>
      <c r="N1062" s="290"/>
      <c r="O1062" s="290"/>
      <c r="P1062" s="290">
        <v>19934058.309999999</v>
      </c>
      <c r="Q1062" s="290"/>
      <c r="R1062" s="281">
        <f t="shared" si="1260"/>
        <v>19934058.309999999</v>
      </c>
      <c r="S1062" s="290"/>
      <c r="T1062" s="290"/>
      <c r="U1062" s="290"/>
      <c r="V1062" s="290"/>
      <c r="W1062" s="290"/>
      <c r="X1062" s="290"/>
      <c r="Y1062" s="290"/>
      <c r="Z1062" s="290"/>
      <c r="AA1062" s="281">
        <f t="shared" si="1250"/>
        <v>0</v>
      </c>
      <c r="AB1062" s="403">
        <f t="shared" si="1257"/>
        <v>19934058.309999999</v>
      </c>
      <c r="AC1062" s="326">
        <f t="shared" si="1259"/>
        <v>1</v>
      </c>
    </row>
    <row r="1063" spans="2:29" ht="14.25" x14ac:dyDescent="0.2">
      <c r="B1063" s="323" t="s">
        <v>1809</v>
      </c>
      <c r="C1063" s="206" t="s">
        <v>1810</v>
      </c>
      <c r="D1063" s="290"/>
      <c r="E1063" s="325">
        <f>SUM('ADICIONES  2021'!C1063:N1063)</f>
        <v>19854946.030000001</v>
      </c>
      <c r="F1063" s="290"/>
      <c r="G1063" s="290"/>
      <c r="H1063" s="290"/>
      <c r="I1063" s="290"/>
      <c r="J1063" s="290"/>
      <c r="K1063" s="281">
        <f t="shared" si="1171"/>
        <v>19854946.030000001</v>
      </c>
      <c r="L1063" s="290"/>
      <c r="M1063" s="290"/>
      <c r="N1063" s="290"/>
      <c r="O1063" s="290"/>
      <c r="P1063" s="290">
        <v>2072892085.22</v>
      </c>
      <c r="Q1063" s="290"/>
      <c r="R1063" s="281">
        <f t="shared" si="1260"/>
        <v>2072892085.22</v>
      </c>
      <c r="S1063" s="290"/>
      <c r="T1063" s="290"/>
      <c r="U1063" s="290"/>
      <c r="V1063" s="290"/>
      <c r="W1063" s="290"/>
      <c r="X1063" s="290"/>
      <c r="Y1063" s="290"/>
      <c r="Z1063" s="290"/>
      <c r="AA1063" s="281">
        <f t="shared" si="1250"/>
        <v>0</v>
      </c>
      <c r="AB1063" s="403">
        <f t="shared" si="1257"/>
        <v>2072892085.22</v>
      </c>
      <c r="AC1063" s="326">
        <f t="shared" si="1259"/>
        <v>104.40179903223842</v>
      </c>
    </row>
    <row r="1064" spans="2:29" ht="14.25" x14ac:dyDescent="0.2">
      <c r="B1064" s="323" t="s">
        <v>1809</v>
      </c>
      <c r="C1064" s="206" t="s">
        <v>1810</v>
      </c>
      <c r="D1064" s="290"/>
      <c r="E1064" s="325">
        <f>SUM('ADICIONES  2021'!C1064:N1064)</f>
        <v>2072892085.22</v>
      </c>
      <c r="F1064" s="290"/>
      <c r="G1064" s="290"/>
      <c r="H1064" s="290"/>
      <c r="I1064" s="290"/>
      <c r="J1064" s="290"/>
      <c r="K1064" s="281">
        <f t="shared" si="1171"/>
        <v>2072892085.22</v>
      </c>
      <c r="L1064" s="290"/>
      <c r="M1064" s="290"/>
      <c r="N1064" s="290"/>
      <c r="O1064" s="290"/>
      <c r="P1064" s="290">
        <v>19854946.030000001</v>
      </c>
      <c r="Q1064" s="290"/>
      <c r="R1064" s="281">
        <f t="shared" si="1260"/>
        <v>19854946.030000001</v>
      </c>
      <c r="S1064" s="290"/>
      <c r="T1064" s="290"/>
      <c r="U1064" s="290"/>
      <c r="V1064" s="290"/>
      <c r="W1064" s="290"/>
      <c r="X1064" s="290"/>
      <c r="Y1064" s="290"/>
      <c r="Z1064" s="290"/>
      <c r="AA1064" s="281">
        <f t="shared" si="1250"/>
        <v>0</v>
      </c>
      <c r="AB1064" s="403">
        <f t="shared" si="1257"/>
        <v>19854946.030000001</v>
      </c>
      <c r="AC1064" s="326">
        <f t="shared" si="1259"/>
        <v>9.578379005626218E-3</v>
      </c>
    </row>
    <row r="1065" spans="2:29" ht="14.25" x14ac:dyDescent="0.2">
      <c r="B1065" s="323" t="s">
        <v>1809</v>
      </c>
      <c r="C1065" s="206" t="s">
        <v>1810</v>
      </c>
      <c r="D1065" s="290"/>
      <c r="E1065" s="325">
        <f>SUM('ADICIONES  2021'!C1065:N1065)</f>
        <v>5674288</v>
      </c>
      <c r="F1065" s="290"/>
      <c r="G1065" s="290"/>
      <c r="H1065" s="290"/>
      <c r="I1065" s="290"/>
      <c r="J1065" s="290"/>
      <c r="K1065" s="281">
        <f t="shared" si="1171"/>
        <v>5674288</v>
      </c>
      <c r="L1065" s="290"/>
      <c r="M1065" s="290"/>
      <c r="N1065" s="290"/>
      <c r="O1065" s="290"/>
      <c r="P1065" s="290">
        <v>5674288</v>
      </c>
      <c r="Q1065" s="290"/>
      <c r="R1065" s="281">
        <f t="shared" si="1260"/>
        <v>5674288</v>
      </c>
      <c r="S1065" s="290"/>
      <c r="T1065" s="290"/>
      <c r="U1065" s="290"/>
      <c r="V1065" s="290"/>
      <c r="W1065" s="290"/>
      <c r="X1065" s="290"/>
      <c r="Y1065" s="290"/>
      <c r="Z1065" s="290"/>
      <c r="AA1065" s="281">
        <f t="shared" si="1250"/>
        <v>0</v>
      </c>
      <c r="AB1065" s="403">
        <f t="shared" si="1257"/>
        <v>5674288</v>
      </c>
      <c r="AC1065" s="326">
        <f t="shared" si="1259"/>
        <v>1</v>
      </c>
    </row>
    <row r="1066" spans="2:29" ht="14.25" x14ac:dyDescent="0.2">
      <c r="B1066" s="323" t="s">
        <v>1809</v>
      </c>
      <c r="C1066" s="206" t="s">
        <v>1810</v>
      </c>
      <c r="D1066" s="290"/>
      <c r="E1066" s="325">
        <f>SUM('ADICIONES  2021'!C1066:N1066)</f>
        <v>16782910.140000001</v>
      </c>
      <c r="F1066" s="290"/>
      <c r="G1066" s="290"/>
      <c r="H1066" s="290"/>
      <c r="I1066" s="290"/>
      <c r="J1066" s="290"/>
      <c r="K1066" s="281">
        <f t="shared" si="1171"/>
        <v>16782910.140000001</v>
      </c>
      <c r="L1066" s="290"/>
      <c r="M1066" s="290"/>
      <c r="N1066" s="290"/>
      <c r="O1066" s="290"/>
      <c r="P1066" s="290">
        <v>16782910.140000001</v>
      </c>
      <c r="Q1066" s="290"/>
      <c r="R1066" s="281">
        <f t="shared" si="1260"/>
        <v>16782910.140000001</v>
      </c>
      <c r="S1066" s="290"/>
      <c r="T1066" s="290"/>
      <c r="U1066" s="290"/>
      <c r="V1066" s="290"/>
      <c r="W1066" s="290"/>
      <c r="X1066" s="290"/>
      <c r="Y1066" s="290"/>
      <c r="Z1066" s="290"/>
      <c r="AA1066" s="281">
        <f t="shared" si="1250"/>
        <v>0</v>
      </c>
      <c r="AB1066" s="403">
        <f t="shared" si="1257"/>
        <v>16782910.140000001</v>
      </c>
      <c r="AC1066" s="326">
        <f t="shared" si="1259"/>
        <v>1</v>
      </c>
    </row>
    <row r="1067" spans="2:29" ht="14.25" x14ac:dyDescent="0.2">
      <c r="B1067" s="323" t="s">
        <v>1809</v>
      </c>
      <c r="C1067" s="206" t="s">
        <v>1810</v>
      </c>
      <c r="D1067" s="290"/>
      <c r="E1067" s="325">
        <f>SUM('ADICIONES  2021'!C1067:N1067)</f>
        <v>11551551.130000001</v>
      </c>
      <c r="F1067" s="290"/>
      <c r="G1067" s="290"/>
      <c r="H1067" s="290"/>
      <c r="I1067" s="290"/>
      <c r="J1067" s="290"/>
      <c r="K1067" s="281">
        <f t="shared" ref="K1067:K1103" si="1261">+D1067+E1067-F1067+G1067-H1067</f>
        <v>11551551.130000001</v>
      </c>
      <c r="L1067" s="290"/>
      <c r="M1067" s="290"/>
      <c r="N1067" s="290"/>
      <c r="O1067" s="290"/>
      <c r="P1067" s="290">
        <v>11551551.130000001</v>
      </c>
      <c r="Q1067" s="290"/>
      <c r="R1067" s="281">
        <f t="shared" si="1260"/>
        <v>11551551.130000001</v>
      </c>
      <c r="S1067" s="290"/>
      <c r="T1067" s="290"/>
      <c r="U1067" s="290"/>
      <c r="V1067" s="290"/>
      <c r="W1067" s="290"/>
      <c r="X1067" s="290"/>
      <c r="Y1067" s="290"/>
      <c r="Z1067" s="290"/>
      <c r="AA1067" s="281">
        <f t="shared" si="1250"/>
        <v>0</v>
      </c>
      <c r="AB1067" s="403">
        <f t="shared" si="1257"/>
        <v>11551551.130000001</v>
      </c>
      <c r="AC1067" s="326">
        <f t="shared" si="1259"/>
        <v>1</v>
      </c>
    </row>
    <row r="1068" spans="2:29" ht="14.25" x14ac:dyDescent="0.2">
      <c r="B1068" s="323" t="s">
        <v>1809</v>
      </c>
      <c r="C1068" s="206" t="s">
        <v>1810</v>
      </c>
      <c r="D1068" s="290"/>
      <c r="E1068" s="325">
        <f>SUM('ADICIONES  2021'!C1068:N1068)</f>
        <v>62000000</v>
      </c>
      <c r="F1068" s="290"/>
      <c r="G1068" s="290"/>
      <c r="H1068" s="290"/>
      <c r="I1068" s="290"/>
      <c r="J1068" s="290"/>
      <c r="K1068" s="281">
        <f t="shared" si="1261"/>
        <v>62000000</v>
      </c>
      <c r="L1068" s="290"/>
      <c r="M1068" s="290"/>
      <c r="N1068" s="290"/>
      <c r="O1068" s="290"/>
      <c r="P1068" s="290">
        <v>62000000</v>
      </c>
      <c r="Q1068" s="290"/>
      <c r="R1068" s="281">
        <f t="shared" si="1260"/>
        <v>62000000</v>
      </c>
      <c r="S1068" s="290"/>
      <c r="T1068" s="290"/>
      <c r="U1068" s="290"/>
      <c r="V1068" s="290"/>
      <c r="W1068" s="290"/>
      <c r="X1068" s="290"/>
      <c r="Y1068" s="290"/>
      <c r="Z1068" s="290"/>
      <c r="AA1068" s="281">
        <f t="shared" si="1250"/>
        <v>0</v>
      </c>
      <c r="AB1068" s="403">
        <f t="shared" si="1257"/>
        <v>62000000</v>
      </c>
      <c r="AC1068" s="326">
        <f t="shared" si="1259"/>
        <v>1</v>
      </c>
    </row>
    <row r="1069" spans="2:29" ht="14.25" x14ac:dyDescent="0.2">
      <c r="B1069" s="323" t="s">
        <v>1809</v>
      </c>
      <c r="C1069" s="206" t="s">
        <v>1810</v>
      </c>
      <c r="D1069" s="290"/>
      <c r="E1069" s="325">
        <f>SUM('ADICIONES  2021'!C1069:N1069)</f>
        <v>1128419167.9200001</v>
      </c>
      <c r="F1069" s="290"/>
      <c r="G1069" s="290"/>
      <c r="H1069" s="290"/>
      <c r="I1069" s="290"/>
      <c r="J1069" s="290"/>
      <c r="K1069" s="281">
        <f t="shared" si="1261"/>
        <v>1128419167.9200001</v>
      </c>
      <c r="L1069" s="290"/>
      <c r="M1069" s="290"/>
      <c r="N1069" s="290"/>
      <c r="O1069" s="290"/>
      <c r="P1069" s="290">
        <v>1128419167.9200001</v>
      </c>
      <c r="Q1069" s="290"/>
      <c r="R1069" s="281">
        <f t="shared" si="1260"/>
        <v>1128419167.9200001</v>
      </c>
      <c r="S1069" s="290"/>
      <c r="T1069" s="290"/>
      <c r="U1069" s="290"/>
      <c r="V1069" s="290"/>
      <c r="W1069" s="290"/>
      <c r="X1069" s="290"/>
      <c r="Y1069" s="290"/>
      <c r="Z1069" s="290"/>
      <c r="AA1069" s="281">
        <f t="shared" si="1250"/>
        <v>0</v>
      </c>
      <c r="AB1069" s="403">
        <f t="shared" si="1257"/>
        <v>1128419167.9200001</v>
      </c>
      <c r="AC1069" s="326">
        <f t="shared" si="1259"/>
        <v>1</v>
      </c>
    </row>
    <row r="1070" spans="2:29" ht="14.25" x14ac:dyDescent="0.2">
      <c r="B1070" s="323" t="s">
        <v>1809</v>
      </c>
      <c r="C1070" s="206" t="s">
        <v>1810</v>
      </c>
      <c r="D1070" s="290"/>
      <c r="E1070" s="325">
        <f>SUM('ADICIONES  2021'!C1070:N1070)</f>
        <v>43017705</v>
      </c>
      <c r="F1070" s="290"/>
      <c r="G1070" s="290"/>
      <c r="H1070" s="290"/>
      <c r="I1070" s="290"/>
      <c r="J1070" s="290"/>
      <c r="K1070" s="281">
        <f t="shared" si="1261"/>
        <v>43017705</v>
      </c>
      <c r="L1070" s="290"/>
      <c r="M1070" s="290"/>
      <c r="N1070" s="290"/>
      <c r="O1070" s="290"/>
      <c r="P1070" s="290">
        <v>43017705</v>
      </c>
      <c r="Q1070" s="290"/>
      <c r="R1070" s="281">
        <f t="shared" si="1260"/>
        <v>43017705</v>
      </c>
      <c r="S1070" s="290"/>
      <c r="T1070" s="290"/>
      <c r="U1070" s="290"/>
      <c r="V1070" s="290"/>
      <c r="W1070" s="290"/>
      <c r="X1070" s="290"/>
      <c r="Y1070" s="290"/>
      <c r="Z1070" s="290"/>
      <c r="AA1070" s="281">
        <f t="shared" si="1250"/>
        <v>0</v>
      </c>
      <c r="AB1070" s="403">
        <f t="shared" si="1257"/>
        <v>43017705</v>
      </c>
      <c r="AC1070" s="326">
        <f t="shared" si="1259"/>
        <v>1</v>
      </c>
    </row>
    <row r="1071" spans="2:29" ht="14.25" x14ac:dyDescent="0.2">
      <c r="B1071" s="323" t="s">
        <v>1809</v>
      </c>
      <c r="C1071" s="206" t="s">
        <v>1810</v>
      </c>
      <c r="D1071" s="290"/>
      <c r="E1071" s="325">
        <f>SUM('ADICIONES  2021'!C1071:N1071)</f>
        <v>18902012.960000001</v>
      </c>
      <c r="F1071" s="290"/>
      <c r="G1071" s="290"/>
      <c r="H1071" s="290"/>
      <c r="I1071" s="290"/>
      <c r="J1071" s="290"/>
      <c r="K1071" s="281">
        <f t="shared" si="1261"/>
        <v>18902012.960000001</v>
      </c>
      <c r="L1071" s="290"/>
      <c r="M1071" s="290"/>
      <c r="N1071" s="290"/>
      <c r="O1071" s="290"/>
      <c r="P1071" s="290">
        <v>18902012.960000001</v>
      </c>
      <c r="Q1071" s="290"/>
      <c r="R1071" s="281">
        <f t="shared" si="1260"/>
        <v>18902012.960000001</v>
      </c>
      <c r="S1071" s="290"/>
      <c r="T1071" s="290"/>
      <c r="U1071" s="290"/>
      <c r="V1071" s="290"/>
      <c r="W1071" s="290"/>
      <c r="X1071" s="290"/>
      <c r="Y1071" s="290"/>
      <c r="Z1071" s="290"/>
      <c r="AA1071" s="281">
        <f t="shared" si="1250"/>
        <v>0</v>
      </c>
      <c r="AB1071" s="403">
        <f t="shared" si="1257"/>
        <v>18902012.960000001</v>
      </c>
      <c r="AC1071" s="326">
        <f t="shared" si="1259"/>
        <v>1</v>
      </c>
    </row>
    <row r="1072" spans="2:29" ht="14.25" x14ac:dyDescent="0.2">
      <c r="B1072" s="323" t="s">
        <v>1809</v>
      </c>
      <c r="C1072" s="206" t="s">
        <v>1810</v>
      </c>
      <c r="D1072" s="290"/>
      <c r="E1072" s="325">
        <f>SUM('ADICIONES  2021'!C1072:N1072)</f>
        <v>1120007430.79</v>
      </c>
      <c r="F1072" s="290"/>
      <c r="G1072" s="290"/>
      <c r="H1072" s="290"/>
      <c r="I1072" s="290"/>
      <c r="J1072" s="290"/>
      <c r="K1072" s="281">
        <f t="shared" si="1261"/>
        <v>1120007430.79</v>
      </c>
      <c r="L1072" s="290"/>
      <c r="M1072" s="290"/>
      <c r="N1072" s="290"/>
      <c r="O1072" s="290"/>
      <c r="P1072" s="290">
        <v>1120007430.79</v>
      </c>
      <c r="Q1072" s="290"/>
      <c r="R1072" s="281">
        <f t="shared" si="1260"/>
        <v>1120007430.79</v>
      </c>
      <c r="S1072" s="290"/>
      <c r="T1072" s="290"/>
      <c r="U1072" s="290"/>
      <c r="V1072" s="290"/>
      <c r="W1072" s="290"/>
      <c r="X1072" s="290"/>
      <c r="Y1072" s="290"/>
      <c r="Z1072" s="290"/>
      <c r="AA1072" s="281">
        <f t="shared" si="1250"/>
        <v>0</v>
      </c>
      <c r="AB1072" s="403">
        <f t="shared" si="1257"/>
        <v>1120007430.79</v>
      </c>
      <c r="AC1072" s="326">
        <f t="shared" si="1259"/>
        <v>1</v>
      </c>
    </row>
    <row r="1073" spans="1:29" ht="14.25" x14ac:dyDescent="0.2">
      <c r="B1073" s="323" t="s">
        <v>1809</v>
      </c>
      <c r="C1073" s="206" t="s">
        <v>1810</v>
      </c>
      <c r="D1073" s="290"/>
      <c r="E1073" s="325">
        <f>SUM('ADICIONES  2021'!C1073:N1073)</f>
        <v>132530138.45999999</v>
      </c>
      <c r="F1073" s="290"/>
      <c r="G1073" s="290"/>
      <c r="H1073" s="290"/>
      <c r="I1073" s="290"/>
      <c r="J1073" s="290"/>
      <c r="K1073" s="281">
        <f t="shared" si="1261"/>
        <v>132530138.45999999</v>
      </c>
      <c r="L1073" s="290"/>
      <c r="M1073" s="290"/>
      <c r="N1073" s="290"/>
      <c r="O1073" s="290"/>
      <c r="P1073" s="290">
        <v>132530138.45999999</v>
      </c>
      <c r="Q1073" s="290"/>
      <c r="R1073" s="281">
        <f t="shared" si="1260"/>
        <v>132530138.45999999</v>
      </c>
      <c r="S1073" s="290"/>
      <c r="T1073" s="290"/>
      <c r="U1073" s="290"/>
      <c r="V1073" s="290"/>
      <c r="W1073" s="290"/>
      <c r="X1073" s="290"/>
      <c r="Y1073" s="290"/>
      <c r="Z1073" s="290"/>
      <c r="AA1073" s="281">
        <f t="shared" si="1250"/>
        <v>0</v>
      </c>
      <c r="AB1073" s="403">
        <f t="shared" si="1257"/>
        <v>132530138.45999999</v>
      </c>
      <c r="AC1073" s="326">
        <f t="shared" si="1259"/>
        <v>1</v>
      </c>
    </row>
    <row r="1074" spans="1:29" ht="14.25" x14ac:dyDescent="0.2">
      <c r="B1074" s="323" t="s">
        <v>1809</v>
      </c>
      <c r="C1074" s="206" t="s">
        <v>1810</v>
      </c>
      <c r="D1074" s="290"/>
      <c r="E1074" s="325">
        <f>SUM('ADICIONES  2021'!C1074:N1074)</f>
        <v>8035590</v>
      </c>
      <c r="F1074" s="290"/>
      <c r="G1074" s="290"/>
      <c r="H1074" s="290"/>
      <c r="I1074" s="290"/>
      <c r="J1074" s="290"/>
      <c r="K1074" s="281">
        <f t="shared" si="1261"/>
        <v>8035590</v>
      </c>
      <c r="L1074" s="290"/>
      <c r="M1074" s="290"/>
      <c r="N1074" s="290"/>
      <c r="O1074" s="290"/>
      <c r="P1074" s="290">
        <v>8035590</v>
      </c>
      <c r="Q1074" s="290"/>
      <c r="R1074" s="281">
        <f t="shared" si="1260"/>
        <v>8035590</v>
      </c>
      <c r="S1074" s="290"/>
      <c r="T1074" s="290"/>
      <c r="U1074" s="290"/>
      <c r="V1074" s="290"/>
      <c r="W1074" s="290"/>
      <c r="X1074" s="290"/>
      <c r="Y1074" s="290"/>
      <c r="Z1074" s="290"/>
      <c r="AA1074" s="281">
        <f t="shared" si="1250"/>
        <v>0</v>
      </c>
      <c r="AB1074" s="403">
        <f t="shared" si="1257"/>
        <v>8035590</v>
      </c>
      <c r="AC1074" s="326">
        <f t="shared" si="1259"/>
        <v>1</v>
      </c>
    </row>
    <row r="1075" spans="1:29" ht="14.25" x14ac:dyDescent="0.2">
      <c r="B1075" s="323" t="s">
        <v>1809</v>
      </c>
      <c r="C1075" s="206" t="s">
        <v>1810</v>
      </c>
      <c r="D1075" s="290"/>
      <c r="E1075" s="325">
        <f>SUM('ADICIONES  2021'!C1075:N1075)</f>
        <v>8933370</v>
      </c>
      <c r="F1075" s="290"/>
      <c r="G1075" s="290"/>
      <c r="H1075" s="290"/>
      <c r="I1075" s="290"/>
      <c r="J1075" s="290"/>
      <c r="K1075" s="281">
        <f t="shared" si="1261"/>
        <v>8933370</v>
      </c>
      <c r="L1075" s="290"/>
      <c r="M1075" s="290"/>
      <c r="N1075" s="290"/>
      <c r="O1075" s="290"/>
      <c r="P1075" s="290">
        <v>8933370</v>
      </c>
      <c r="Q1075" s="290"/>
      <c r="R1075" s="281">
        <f t="shared" si="1260"/>
        <v>8933370</v>
      </c>
      <c r="S1075" s="290"/>
      <c r="T1075" s="290"/>
      <c r="U1075" s="290"/>
      <c r="V1075" s="290"/>
      <c r="W1075" s="290"/>
      <c r="X1075" s="290"/>
      <c r="Y1075" s="290"/>
      <c r="Z1075" s="290"/>
      <c r="AA1075" s="281">
        <f t="shared" si="1250"/>
        <v>0</v>
      </c>
      <c r="AB1075" s="403">
        <f t="shared" si="1257"/>
        <v>8933370</v>
      </c>
      <c r="AC1075" s="326">
        <f t="shared" si="1259"/>
        <v>1</v>
      </c>
    </row>
    <row r="1076" spans="1:29" ht="14.25" x14ac:dyDescent="0.2">
      <c r="B1076" s="323" t="s">
        <v>1809</v>
      </c>
      <c r="C1076" s="206" t="s">
        <v>1810</v>
      </c>
      <c r="D1076" s="290"/>
      <c r="E1076" s="325">
        <f>SUM('ADICIONES  2021'!C1076:N1076)</f>
        <v>10453972</v>
      </c>
      <c r="F1076" s="290"/>
      <c r="G1076" s="290"/>
      <c r="H1076" s="290"/>
      <c r="I1076" s="290"/>
      <c r="J1076" s="290"/>
      <c r="K1076" s="281">
        <f t="shared" si="1261"/>
        <v>10453972</v>
      </c>
      <c r="L1076" s="290"/>
      <c r="M1076" s="290"/>
      <c r="N1076" s="290"/>
      <c r="O1076" s="290"/>
      <c r="P1076" s="290">
        <v>10453972</v>
      </c>
      <c r="Q1076" s="290"/>
      <c r="R1076" s="281">
        <f t="shared" si="1260"/>
        <v>10453972</v>
      </c>
      <c r="S1076" s="290"/>
      <c r="T1076" s="290"/>
      <c r="U1076" s="290"/>
      <c r="V1076" s="290"/>
      <c r="W1076" s="290"/>
      <c r="X1076" s="290"/>
      <c r="Y1076" s="290"/>
      <c r="Z1076" s="290"/>
      <c r="AA1076" s="281">
        <f t="shared" si="1250"/>
        <v>0</v>
      </c>
      <c r="AB1076" s="403">
        <f t="shared" si="1257"/>
        <v>10453972</v>
      </c>
      <c r="AC1076" s="326">
        <f t="shared" si="1259"/>
        <v>1</v>
      </c>
    </row>
    <row r="1077" spans="1:29" ht="14.25" x14ac:dyDescent="0.2">
      <c r="B1077" s="323" t="s">
        <v>1809</v>
      </c>
      <c r="C1077" s="206" t="s">
        <v>1810</v>
      </c>
      <c r="D1077" s="290"/>
      <c r="E1077" s="325">
        <f>SUM('ADICIONES  2021'!C1077:N1077)</f>
        <v>637773</v>
      </c>
      <c r="F1077" s="290"/>
      <c r="G1077" s="290"/>
      <c r="H1077" s="290"/>
      <c r="I1077" s="290"/>
      <c r="J1077" s="290"/>
      <c r="K1077" s="281">
        <f t="shared" si="1261"/>
        <v>637773</v>
      </c>
      <c r="L1077" s="290"/>
      <c r="M1077" s="290"/>
      <c r="N1077" s="290"/>
      <c r="O1077" s="290"/>
      <c r="P1077" s="290">
        <v>637773</v>
      </c>
      <c r="Q1077" s="290"/>
      <c r="R1077" s="281">
        <f t="shared" si="1260"/>
        <v>637773</v>
      </c>
      <c r="S1077" s="290"/>
      <c r="T1077" s="290"/>
      <c r="U1077" s="290"/>
      <c r="V1077" s="290"/>
      <c r="W1077" s="290"/>
      <c r="X1077" s="290"/>
      <c r="Y1077" s="290"/>
      <c r="Z1077" s="290"/>
      <c r="AA1077" s="281">
        <f t="shared" si="1250"/>
        <v>0</v>
      </c>
      <c r="AB1077" s="403">
        <f t="shared" si="1257"/>
        <v>637773</v>
      </c>
      <c r="AC1077" s="326">
        <f t="shared" si="1259"/>
        <v>1</v>
      </c>
    </row>
    <row r="1078" spans="1:29" s="5" customFormat="1" ht="25.5" x14ac:dyDescent="0.2">
      <c r="A1078" s="96">
        <v>1</v>
      </c>
      <c r="B1078" s="318" t="s">
        <v>849</v>
      </c>
      <c r="C1078" s="319" t="s">
        <v>1811</v>
      </c>
      <c r="D1078" s="289">
        <f>+D1080+D1079</f>
        <v>0</v>
      </c>
      <c r="E1078" s="322">
        <f>SUM('ADICIONES  2021'!C1078:N1078)</f>
        <v>0</v>
      </c>
      <c r="F1078" s="289">
        <f t="shared" ref="F1078:I1078" si="1262">+F1080+F1079</f>
        <v>0</v>
      </c>
      <c r="G1078" s="289">
        <f t="shared" si="1262"/>
        <v>0</v>
      </c>
      <c r="H1078" s="289">
        <f t="shared" si="1262"/>
        <v>0</v>
      </c>
      <c r="I1078" s="289">
        <f t="shared" si="1262"/>
        <v>0</v>
      </c>
      <c r="J1078" s="289">
        <f>+J1080+J1079</f>
        <v>0</v>
      </c>
      <c r="K1078" s="276">
        <f t="shared" si="1261"/>
        <v>0</v>
      </c>
      <c r="L1078" s="289">
        <f t="shared" ref="L1078:Q1078" si="1263">+L1080+L1079</f>
        <v>0</v>
      </c>
      <c r="M1078" s="289">
        <f t="shared" si="1263"/>
        <v>0</v>
      </c>
      <c r="N1078" s="289">
        <f t="shared" si="1263"/>
        <v>0</v>
      </c>
      <c r="O1078" s="289">
        <f t="shared" si="1263"/>
        <v>737320</v>
      </c>
      <c r="P1078" s="289">
        <f t="shared" si="1263"/>
        <v>0</v>
      </c>
      <c r="Q1078" s="289">
        <f t="shared" si="1263"/>
        <v>456420</v>
      </c>
      <c r="R1078" s="276">
        <f t="shared" si="1260"/>
        <v>1193740</v>
      </c>
      <c r="S1078" s="289">
        <f t="shared" ref="S1078:Z1078" si="1264">+S1080+S1079</f>
        <v>0</v>
      </c>
      <c r="T1078" s="289">
        <f t="shared" si="1264"/>
        <v>0</v>
      </c>
      <c r="U1078" s="289">
        <f t="shared" si="1264"/>
        <v>0</v>
      </c>
      <c r="V1078" s="289">
        <f t="shared" si="1264"/>
        <v>0</v>
      </c>
      <c r="W1078" s="289">
        <f t="shared" si="1264"/>
        <v>37884698</v>
      </c>
      <c r="X1078" s="289">
        <f t="shared" si="1264"/>
        <v>101554841</v>
      </c>
      <c r="Y1078" s="289">
        <f t="shared" si="1264"/>
        <v>0</v>
      </c>
      <c r="Z1078" s="289">
        <f t="shared" si="1264"/>
        <v>0</v>
      </c>
      <c r="AA1078" s="276">
        <f t="shared" si="1250"/>
        <v>139439539</v>
      </c>
      <c r="AB1078" s="402">
        <f t="shared" si="1257"/>
        <v>140633279</v>
      </c>
      <c r="AC1078" s="326">
        <v>0</v>
      </c>
    </row>
    <row r="1079" spans="1:29" s="5" customFormat="1" x14ac:dyDescent="0.2">
      <c r="A1079" s="96"/>
      <c r="B1079" s="323" t="s">
        <v>1125</v>
      </c>
      <c r="C1079" s="206" t="s">
        <v>1126</v>
      </c>
      <c r="D1079" s="289"/>
      <c r="E1079" s="325">
        <f>SUM('ADICIONES  2021'!C1079:N1079)</f>
        <v>0</v>
      </c>
      <c r="F1079" s="289"/>
      <c r="G1079" s="289"/>
      <c r="H1079" s="289"/>
      <c r="I1079" s="289"/>
      <c r="J1079" s="289"/>
      <c r="K1079" s="281">
        <f t="shared" si="1261"/>
        <v>0</v>
      </c>
      <c r="L1079" s="289"/>
      <c r="M1079" s="289"/>
      <c r="N1079" s="289"/>
      <c r="O1079" s="289"/>
      <c r="P1079" s="289"/>
      <c r="Q1079" s="289"/>
      <c r="R1079" s="281">
        <f t="shared" si="1260"/>
        <v>0</v>
      </c>
      <c r="S1079" s="289"/>
      <c r="T1079" s="289"/>
      <c r="U1079" s="289"/>
      <c r="V1079" s="289"/>
      <c r="W1079" s="290">
        <v>12030812</v>
      </c>
      <c r="X1079" s="290">
        <v>89924419</v>
      </c>
      <c r="Y1079" s="289"/>
      <c r="Z1079" s="289"/>
      <c r="AA1079" s="281">
        <f t="shared" ref="AA1079" si="1265">SUM(S1079:Z1079)</f>
        <v>101955231</v>
      </c>
      <c r="AB1079" s="403">
        <f t="shared" si="1257"/>
        <v>101955231</v>
      </c>
      <c r="AC1079" s="326">
        <v>0</v>
      </c>
    </row>
    <row r="1080" spans="1:29" ht="14.25" x14ac:dyDescent="0.2">
      <c r="B1080" s="323" t="s">
        <v>1125</v>
      </c>
      <c r="C1080" s="206" t="s">
        <v>1126</v>
      </c>
      <c r="D1080" s="290"/>
      <c r="E1080" s="325">
        <f>SUM('ADICIONES  2021'!C1080:N1080)</f>
        <v>0</v>
      </c>
      <c r="F1080" s="290"/>
      <c r="G1080" s="290"/>
      <c r="H1080" s="290"/>
      <c r="I1080" s="290"/>
      <c r="J1080" s="290"/>
      <c r="K1080" s="281">
        <f t="shared" si="1261"/>
        <v>0</v>
      </c>
      <c r="L1080" s="290"/>
      <c r="M1080" s="290"/>
      <c r="N1080" s="290"/>
      <c r="O1080" s="290">
        <v>737320</v>
      </c>
      <c r="P1080" s="290"/>
      <c r="Q1080" s="290">
        <v>456420</v>
      </c>
      <c r="R1080" s="281">
        <f t="shared" si="1260"/>
        <v>1193740</v>
      </c>
      <c r="S1080" s="290"/>
      <c r="T1080" s="290"/>
      <c r="U1080" s="290"/>
      <c r="V1080" s="290"/>
      <c r="W1080" s="290">
        <v>25853886</v>
      </c>
      <c r="X1080" s="290">
        <v>11630422</v>
      </c>
      <c r="Y1080" s="290"/>
      <c r="Z1080" s="290"/>
      <c r="AA1080" s="281">
        <f t="shared" si="1250"/>
        <v>37484308</v>
      </c>
      <c r="AB1080" s="403">
        <f t="shared" si="1257"/>
        <v>38678048</v>
      </c>
      <c r="AC1080" s="326">
        <v>0</v>
      </c>
    </row>
    <row r="1081" spans="1:29" s="185" customFormat="1" ht="19.5" x14ac:dyDescent="0.2">
      <c r="A1081" s="182"/>
      <c r="B1081" s="343" t="s">
        <v>1812</v>
      </c>
      <c r="C1081" s="344" t="s">
        <v>1813</v>
      </c>
      <c r="D1081" s="288">
        <f>+D1082</f>
        <v>0</v>
      </c>
      <c r="E1081" s="320">
        <f>SUM('ADICIONES  2021'!C1081:N1081)</f>
        <v>26740484269.560001</v>
      </c>
      <c r="F1081" s="288">
        <f t="shared" ref="F1081:J1083" si="1266">+F1082</f>
        <v>0</v>
      </c>
      <c r="G1081" s="288">
        <f t="shared" si="1266"/>
        <v>0</v>
      </c>
      <c r="H1081" s="288">
        <f t="shared" si="1266"/>
        <v>0</v>
      </c>
      <c r="I1081" s="288">
        <f t="shared" si="1266"/>
        <v>0</v>
      </c>
      <c r="J1081" s="288">
        <f t="shared" si="1266"/>
        <v>0</v>
      </c>
      <c r="K1081" s="316">
        <f t="shared" si="1261"/>
        <v>26740484269.560001</v>
      </c>
      <c r="L1081" s="288">
        <f t="shared" ref="L1081:Q1083" si="1267">+L1082</f>
        <v>0</v>
      </c>
      <c r="M1081" s="288">
        <f t="shared" si="1267"/>
        <v>0</v>
      </c>
      <c r="N1081" s="288">
        <f t="shared" si="1267"/>
        <v>0</v>
      </c>
      <c r="O1081" s="288">
        <f t="shared" si="1267"/>
        <v>0</v>
      </c>
      <c r="P1081" s="288">
        <f t="shared" si="1267"/>
        <v>26740484269.560001</v>
      </c>
      <c r="Q1081" s="288">
        <f t="shared" si="1267"/>
        <v>0</v>
      </c>
      <c r="R1081" s="316">
        <f t="shared" si="1260"/>
        <v>26740484269.560001</v>
      </c>
      <c r="S1081" s="288">
        <f t="shared" ref="S1081:Z1083" si="1268">+S1082</f>
        <v>0</v>
      </c>
      <c r="T1081" s="288">
        <f t="shared" si="1268"/>
        <v>0</v>
      </c>
      <c r="U1081" s="288">
        <f t="shared" si="1268"/>
        <v>0</v>
      </c>
      <c r="V1081" s="288">
        <f t="shared" si="1268"/>
        <v>0</v>
      </c>
      <c r="W1081" s="288">
        <f t="shared" si="1268"/>
        <v>0</v>
      </c>
      <c r="X1081" s="288">
        <f t="shared" si="1268"/>
        <v>0</v>
      </c>
      <c r="Y1081" s="288">
        <f t="shared" si="1268"/>
        <v>0</v>
      </c>
      <c r="Z1081" s="288">
        <f t="shared" si="1268"/>
        <v>0</v>
      </c>
      <c r="AA1081" s="316">
        <f t="shared" si="1250"/>
        <v>0</v>
      </c>
      <c r="AB1081" s="401">
        <f t="shared" si="1257"/>
        <v>26740484269.560001</v>
      </c>
      <c r="AC1081" s="317">
        <f t="shared" si="1259"/>
        <v>1</v>
      </c>
    </row>
    <row r="1082" spans="1:29" ht="14.25" x14ac:dyDescent="0.2">
      <c r="A1082" s="420">
        <v>1</v>
      </c>
      <c r="B1082" s="318" t="s">
        <v>1616</v>
      </c>
      <c r="C1082" s="319" t="s">
        <v>1617</v>
      </c>
      <c r="D1082" s="289">
        <f>+D1083</f>
        <v>0</v>
      </c>
      <c r="E1082" s="322">
        <f>SUM('ADICIONES  2021'!C1082:N1082)</f>
        <v>26740484269.560001</v>
      </c>
      <c r="F1082" s="289">
        <f t="shared" si="1266"/>
        <v>0</v>
      </c>
      <c r="G1082" s="289">
        <f t="shared" si="1266"/>
        <v>0</v>
      </c>
      <c r="H1082" s="289">
        <f t="shared" si="1266"/>
        <v>0</v>
      </c>
      <c r="I1082" s="289">
        <f t="shared" si="1266"/>
        <v>0</v>
      </c>
      <c r="J1082" s="289">
        <f t="shared" si="1266"/>
        <v>0</v>
      </c>
      <c r="K1082" s="281">
        <f t="shared" si="1261"/>
        <v>26740484269.560001</v>
      </c>
      <c r="L1082" s="289">
        <f t="shared" si="1267"/>
        <v>0</v>
      </c>
      <c r="M1082" s="289">
        <f t="shared" si="1267"/>
        <v>0</v>
      </c>
      <c r="N1082" s="289">
        <f t="shared" si="1267"/>
        <v>0</v>
      </c>
      <c r="O1082" s="289">
        <f t="shared" si="1267"/>
        <v>0</v>
      </c>
      <c r="P1082" s="289">
        <f t="shared" si="1267"/>
        <v>26740484269.560001</v>
      </c>
      <c r="Q1082" s="289">
        <f t="shared" si="1267"/>
        <v>0</v>
      </c>
      <c r="R1082" s="281">
        <f t="shared" si="1260"/>
        <v>26740484269.560001</v>
      </c>
      <c r="S1082" s="289">
        <f t="shared" si="1268"/>
        <v>0</v>
      </c>
      <c r="T1082" s="289">
        <f t="shared" si="1268"/>
        <v>0</v>
      </c>
      <c r="U1082" s="289">
        <f t="shared" si="1268"/>
        <v>0</v>
      </c>
      <c r="V1082" s="289">
        <f t="shared" si="1268"/>
        <v>0</v>
      </c>
      <c r="W1082" s="289">
        <f t="shared" si="1268"/>
        <v>0</v>
      </c>
      <c r="X1082" s="289">
        <f t="shared" si="1268"/>
        <v>0</v>
      </c>
      <c r="Y1082" s="289">
        <f t="shared" si="1268"/>
        <v>0</v>
      </c>
      <c r="Z1082" s="289">
        <f t="shared" si="1268"/>
        <v>0</v>
      </c>
      <c r="AA1082" s="281">
        <f t="shared" si="1250"/>
        <v>0</v>
      </c>
      <c r="AB1082" s="403">
        <f t="shared" si="1257"/>
        <v>26740484269.560001</v>
      </c>
      <c r="AC1082" s="326">
        <f t="shared" si="1259"/>
        <v>1</v>
      </c>
    </row>
    <row r="1083" spans="1:29" ht="14.25" x14ac:dyDescent="0.2">
      <c r="B1083" s="318" t="s">
        <v>1618</v>
      </c>
      <c r="C1083" s="319" t="s">
        <v>1619</v>
      </c>
      <c r="D1083" s="289">
        <f>+D1084</f>
        <v>0</v>
      </c>
      <c r="E1083" s="322">
        <f>SUM('ADICIONES  2021'!C1083:N1083)</f>
        <v>26740484269.560001</v>
      </c>
      <c r="F1083" s="289">
        <f t="shared" si="1266"/>
        <v>0</v>
      </c>
      <c r="G1083" s="289">
        <f t="shared" si="1266"/>
        <v>0</v>
      </c>
      <c r="H1083" s="289">
        <f t="shared" si="1266"/>
        <v>0</v>
      </c>
      <c r="I1083" s="289">
        <f t="shared" si="1266"/>
        <v>0</v>
      </c>
      <c r="J1083" s="289">
        <f t="shared" si="1266"/>
        <v>0</v>
      </c>
      <c r="K1083" s="281">
        <f t="shared" si="1261"/>
        <v>26740484269.560001</v>
      </c>
      <c r="L1083" s="289">
        <f t="shared" si="1267"/>
        <v>0</v>
      </c>
      <c r="M1083" s="289">
        <f t="shared" si="1267"/>
        <v>0</v>
      </c>
      <c r="N1083" s="289">
        <f t="shared" si="1267"/>
        <v>0</v>
      </c>
      <c r="O1083" s="289">
        <f t="shared" si="1267"/>
        <v>0</v>
      </c>
      <c r="P1083" s="289">
        <f t="shared" si="1267"/>
        <v>26740484269.560001</v>
      </c>
      <c r="Q1083" s="289">
        <f t="shared" si="1267"/>
        <v>0</v>
      </c>
      <c r="R1083" s="281">
        <f t="shared" si="1260"/>
        <v>26740484269.560001</v>
      </c>
      <c r="S1083" s="289">
        <f t="shared" si="1268"/>
        <v>0</v>
      </c>
      <c r="T1083" s="289">
        <f t="shared" si="1268"/>
        <v>0</v>
      </c>
      <c r="U1083" s="289">
        <f t="shared" si="1268"/>
        <v>0</v>
      </c>
      <c r="V1083" s="289">
        <f t="shared" si="1268"/>
        <v>0</v>
      </c>
      <c r="W1083" s="289">
        <f t="shared" si="1268"/>
        <v>0</v>
      </c>
      <c r="X1083" s="289">
        <f t="shared" si="1268"/>
        <v>0</v>
      </c>
      <c r="Y1083" s="289">
        <f t="shared" si="1268"/>
        <v>0</v>
      </c>
      <c r="Z1083" s="289">
        <f t="shared" si="1268"/>
        <v>0</v>
      </c>
      <c r="AA1083" s="281">
        <f t="shared" si="1250"/>
        <v>0</v>
      </c>
      <c r="AB1083" s="403">
        <f t="shared" si="1257"/>
        <v>26740484269.560001</v>
      </c>
      <c r="AC1083" s="326">
        <f t="shared" si="1259"/>
        <v>1</v>
      </c>
    </row>
    <row r="1084" spans="1:29" ht="14.25" x14ac:dyDescent="0.2">
      <c r="B1084" s="318" t="s">
        <v>1620</v>
      </c>
      <c r="C1084" s="319" t="s">
        <v>1621</v>
      </c>
      <c r="D1084" s="289">
        <f>SUM(D1085:D1103)</f>
        <v>0</v>
      </c>
      <c r="E1084" s="322">
        <f>SUM('ADICIONES  2021'!C1084:N1084)</f>
        <v>26740484269.560001</v>
      </c>
      <c r="F1084" s="289">
        <f t="shared" ref="F1084:J1084" si="1269">SUM(F1085:F1103)</f>
        <v>0</v>
      </c>
      <c r="G1084" s="289">
        <f t="shared" si="1269"/>
        <v>0</v>
      </c>
      <c r="H1084" s="289">
        <f t="shared" si="1269"/>
        <v>0</v>
      </c>
      <c r="I1084" s="289">
        <f t="shared" si="1269"/>
        <v>0</v>
      </c>
      <c r="J1084" s="289">
        <f t="shared" si="1269"/>
        <v>0</v>
      </c>
      <c r="K1084" s="281">
        <f t="shared" si="1261"/>
        <v>26740484269.560001</v>
      </c>
      <c r="L1084" s="289">
        <f t="shared" ref="L1084:Q1084" si="1270">SUM(L1085:L1103)</f>
        <v>0</v>
      </c>
      <c r="M1084" s="289">
        <f t="shared" si="1270"/>
        <v>0</v>
      </c>
      <c r="N1084" s="289">
        <f t="shared" si="1270"/>
        <v>0</v>
      </c>
      <c r="O1084" s="289">
        <f t="shared" si="1270"/>
        <v>0</v>
      </c>
      <c r="P1084" s="289">
        <f t="shared" si="1270"/>
        <v>26740484269.560001</v>
      </c>
      <c r="Q1084" s="289">
        <f t="shared" si="1270"/>
        <v>0</v>
      </c>
      <c r="R1084" s="281">
        <f t="shared" si="1260"/>
        <v>26740484269.560001</v>
      </c>
      <c r="S1084" s="289">
        <f t="shared" ref="S1084:Z1084" si="1271">SUM(S1085:S1103)</f>
        <v>0</v>
      </c>
      <c r="T1084" s="289">
        <f t="shared" si="1271"/>
        <v>0</v>
      </c>
      <c r="U1084" s="289">
        <f t="shared" si="1271"/>
        <v>0</v>
      </c>
      <c r="V1084" s="289">
        <f t="shared" si="1271"/>
        <v>0</v>
      </c>
      <c r="W1084" s="289">
        <f t="shared" si="1271"/>
        <v>0</v>
      </c>
      <c r="X1084" s="289">
        <f t="shared" si="1271"/>
        <v>0</v>
      </c>
      <c r="Y1084" s="289">
        <f t="shared" si="1271"/>
        <v>0</v>
      </c>
      <c r="Z1084" s="289">
        <f t="shared" si="1271"/>
        <v>0</v>
      </c>
      <c r="AA1084" s="281">
        <f t="shared" si="1250"/>
        <v>0</v>
      </c>
      <c r="AB1084" s="403">
        <f t="shared" si="1257"/>
        <v>26740484269.560001</v>
      </c>
      <c r="AC1084" s="326">
        <f t="shared" si="1259"/>
        <v>1</v>
      </c>
    </row>
    <row r="1085" spans="1:29" ht="14.25" x14ac:dyDescent="0.2">
      <c r="B1085" s="323" t="s">
        <v>1814</v>
      </c>
      <c r="C1085" s="206" t="s">
        <v>1815</v>
      </c>
      <c r="D1085" s="290"/>
      <c r="E1085" s="325">
        <f>SUM('ADICIONES  2021'!C1085:N1085)</f>
        <v>233441300</v>
      </c>
      <c r="F1085" s="290"/>
      <c r="G1085" s="290"/>
      <c r="H1085" s="290"/>
      <c r="I1085" s="290"/>
      <c r="J1085" s="290"/>
      <c r="K1085" s="281">
        <f t="shared" si="1261"/>
        <v>233441300</v>
      </c>
      <c r="L1085" s="290"/>
      <c r="M1085" s="290"/>
      <c r="N1085" s="290"/>
      <c r="O1085" s="290"/>
      <c r="P1085" s="290">
        <v>233441300</v>
      </c>
      <c r="Q1085" s="290"/>
      <c r="R1085" s="281">
        <f t="shared" si="1260"/>
        <v>233441300</v>
      </c>
      <c r="S1085" s="290"/>
      <c r="T1085" s="290"/>
      <c r="U1085" s="290"/>
      <c r="V1085" s="290"/>
      <c r="W1085" s="290"/>
      <c r="X1085" s="290"/>
      <c r="Y1085" s="290"/>
      <c r="Z1085" s="290"/>
      <c r="AA1085" s="281">
        <f t="shared" si="1250"/>
        <v>0</v>
      </c>
      <c r="AB1085" s="403">
        <f t="shared" si="1257"/>
        <v>233441300</v>
      </c>
      <c r="AC1085" s="326">
        <f t="shared" si="1259"/>
        <v>1</v>
      </c>
    </row>
    <row r="1086" spans="1:29" ht="25.5" x14ac:dyDescent="0.2">
      <c r="B1086" s="323" t="s">
        <v>1816</v>
      </c>
      <c r="C1086" s="206" t="s">
        <v>1817</v>
      </c>
      <c r="D1086" s="290"/>
      <c r="E1086" s="325">
        <f>SUM('ADICIONES  2021'!C1086:N1086)</f>
        <v>1434077627</v>
      </c>
      <c r="F1086" s="290"/>
      <c r="G1086" s="290"/>
      <c r="H1086" s="290"/>
      <c r="I1086" s="290"/>
      <c r="J1086" s="290"/>
      <c r="K1086" s="281">
        <f t="shared" si="1261"/>
        <v>1434077627</v>
      </c>
      <c r="L1086" s="290"/>
      <c r="M1086" s="290"/>
      <c r="N1086" s="290"/>
      <c r="O1086" s="290"/>
      <c r="P1086" s="290">
        <v>1434077627</v>
      </c>
      <c r="Q1086" s="290"/>
      <c r="R1086" s="281">
        <f t="shared" si="1260"/>
        <v>1434077627</v>
      </c>
      <c r="S1086" s="290"/>
      <c r="T1086" s="290"/>
      <c r="U1086" s="290"/>
      <c r="V1086" s="290"/>
      <c r="W1086" s="290"/>
      <c r="X1086" s="290"/>
      <c r="Y1086" s="290"/>
      <c r="Z1086" s="290"/>
      <c r="AA1086" s="281">
        <f t="shared" si="1250"/>
        <v>0</v>
      </c>
      <c r="AB1086" s="403">
        <f t="shared" si="1257"/>
        <v>1434077627</v>
      </c>
      <c r="AC1086" s="326">
        <f t="shared" si="1259"/>
        <v>1</v>
      </c>
    </row>
    <row r="1087" spans="1:29" ht="25.5" x14ac:dyDescent="0.2">
      <c r="B1087" s="323" t="s">
        <v>1816</v>
      </c>
      <c r="C1087" s="206" t="s">
        <v>1817</v>
      </c>
      <c r="D1087" s="290"/>
      <c r="E1087" s="325">
        <f>SUM('ADICIONES  2021'!C1087:N1087)</f>
        <v>1867033692</v>
      </c>
      <c r="F1087" s="290"/>
      <c r="G1087" s="290"/>
      <c r="H1087" s="290"/>
      <c r="I1087" s="290"/>
      <c r="J1087" s="290"/>
      <c r="K1087" s="281">
        <f t="shared" si="1261"/>
        <v>1867033692</v>
      </c>
      <c r="L1087" s="290"/>
      <c r="M1087" s="290"/>
      <c r="N1087" s="290"/>
      <c r="O1087" s="290"/>
      <c r="P1087" s="290">
        <v>1867033692</v>
      </c>
      <c r="Q1087" s="290"/>
      <c r="R1087" s="281">
        <f t="shared" si="1260"/>
        <v>1867033692</v>
      </c>
      <c r="S1087" s="290"/>
      <c r="T1087" s="290"/>
      <c r="U1087" s="290"/>
      <c r="V1087" s="290"/>
      <c r="W1087" s="290"/>
      <c r="X1087" s="290"/>
      <c r="Y1087" s="290"/>
      <c r="Z1087" s="290"/>
      <c r="AA1087" s="281">
        <f t="shared" si="1250"/>
        <v>0</v>
      </c>
      <c r="AB1087" s="403">
        <f t="shared" si="1257"/>
        <v>1867033692</v>
      </c>
      <c r="AC1087" s="326">
        <f t="shared" si="1259"/>
        <v>1</v>
      </c>
    </row>
    <row r="1088" spans="1:29" ht="14.25" x14ac:dyDescent="0.2">
      <c r="B1088" s="323" t="s">
        <v>1818</v>
      </c>
      <c r="C1088" s="206" t="s">
        <v>1819</v>
      </c>
      <c r="D1088" s="290"/>
      <c r="E1088" s="325">
        <f>SUM('ADICIONES  2021'!C1088:N1088)</f>
        <v>8254716.1600000001</v>
      </c>
      <c r="F1088" s="290"/>
      <c r="G1088" s="290"/>
      <c r="H1088" s="290"/>
      <c r="I1088" s="290"/>
      <c r="J1088" s="290"/>
      <c r="K1088" s="281">
        <f t="shared" si="1261"/>
        <v>8254716.1600000001</v>
      </c>
      <c r="L1088" s="290"/>
      <c r="M1088" s="290"/>
      <c r="N1088" s="290"/>
      <c r="O1088" s="290"/>
      <c r="P1088" s="290">
        <v>8254716.1600000001</v>
      </c>
      <c r="Q1088" s="290"/>
      <c r="R1088" s="281">
        <f t="shared" si="1260"/>
        <v>8254716.1600000001</v>
      </c>
      <c r="S1088" s="290"/>
      <c r="T1088" s="290"/>
      <c r="U1088" s="290"/>
      <c r="V1088" s="290"/>
      <c r="W1088" s="290"/>
      <c r="X1088" s="290"/>
      <c r="Y1088" s="290"/>
      <c r="Z1088" s="290"/>
      <c r="AA1088" s="281">
        <f t="shared" si="1250"/>
        <v>0</v>
      </c>
      <c r="AB1088" s="403">
        <f t="shared" si="1257"/>
        <v>8254716.1600000001</v>
      </c>
      <c r="AC1088" s="326">
        <f t="shared" si="1259"/>
        <v>1</v>
      </c>
    </row>
    <row r="1089" spans="1:29" ht="14.25" x14ac:dyDescent="0.2">
      <c r="B1089" s="323" t="s">
        <v>1818</v>
      </c>
      <c r="C1089" s="206" t="s">
        <v>1819</v>
      </c>
      <c r="D1089" s="290"/>
      <c r="E1089" s="325">
        <f>SUM('ADICIONES  2021'!C1089:N1089)</f>
        <v>79999980</v>
      </c>
      <c r="F1089" s="290"/>
      <c r="G1089" s="290"/>
      <c r="H1089" s="290"/>
      <c r="I1089" s="290"/>
      <c r="J1089" s="290"/>
      <c r="K1089" s="281">
        <f t="shared" si="1261"/>
        <v>79999980</v>
      </c>
      <c r="L1089" s="290"/>
      <c r="M1089" s="290"/>
      <c r="N1089" s="290"/>
      <c r="O1089" s="290"/>
      <c r="P1089" s="290">
        <v>79999980</v>
      </c>
      <c r="Q1089" s="290"/>
      <c r="R1089" s="281">
        <f t="shared" si="1260"/>
        <v>79999980</v>
      </c>
      <c r="S1089" s="290"/>
      <c r="T1089" s="290"/>
      <c r="U1089" s="290"/>
      <c r="V1089" s="290"/>
      <c r="W1089" s="290"/>
      <c r="X1089" s="290"/>
      <c r="Y1089" s="290"/>
      <c r="Z1089" s="290"/>
      <c r="AA1089" s="281">
        <f t="shared" si="1250"/>
        <v>0</v>
      </c>
      <c r="AB1089" s="403">
        <f t="shared" si="1257"/>
        <v>79999980</v>
      </c>
      <c r="AC1089" s="326">
        <f t="shared" si="1259"/>
        <v>1</v>
      </c>
    </row>
    <row r="1090" spans="1:29" ht="14.25" x14ac:dyDescent="0.2">
      <c r="B1090" s="323" t="s">
        <v>1818</v>
      </c>
      <c r="C1090" s="206" t="s">
        <v>1819</v>
      </c>
      <c r="D1090" s="290"/>
      <c r="E1090" s="325">
        <f>SUM('ADICIONES  2021'!C1090:N1090)</f>
        <v>6354037655.6199999</v>
      </c>
      <c r="F1090" s="290"/>
      <c r="G1090" s="290"/>
      <c r="H1090" s="290"/>
      <c r="I1090" s="290"/>
      <c r="J1090" s="290"/>
      <c r="K1090" s="281">
        <f t="shared" si="1261"/>
        <v>6354037655.6199999</v>
      </c>
      <c r="L1090" s="290"/>
      <c r="M1090" s="290"/>
      <c r="N1090" s="290"/>
      <c r="O1090" s="290"/>
      <c r="P1090" s="290">
        <v>6354037655.6199999</v>
      </c>
      <c r="Q1090" s="290"/>
      <c r="R1090" s="281">
        <f t="shared" si="1260"/>
        <v>6354037655.6199999</v>
      </c>
      <c r="S1090" s="290"/>
      <c r="T1090" s="290"/>
      <c r="U1090" s="290"/>
      <c r="V1090" s="290"/>
      <c r="W1090" s="290"/>
      <c r="X1090" s="290"/>
      <c r="Y1090" s="290"/>
      <c r="Z1090" s="290"/>
      <c r="AA1090" s="281">
        <f t="shared" si="1250"/>
        <v>0</v>
      </c>
      <c r="AB1090" s="403">
        <f t="shared" si="1257"/>
        <v>6354037655.6199999</v>
      </c>
      <c r="AC1090" s="326">
        <f t="shared" si="1259"/>
        <v>1</v>
      </c>
    </row>
    <row r="1091" spans="1:29" ht="14.25" x14ac:dyDescent="0.2">
      <c r="B1091" s="323" t="s">
        <v>1818</v>
      </c>
      <c r="C1091" s="206" t="s">
        <v>1819</v>
      </c>
      <c r="D1091" s="290"/>
      <c r="E1091" s="325">
        <f>SUM('ADICIONES  2021'!C1091:N1091)</f>
        <v>5410499.25</v>
      </c>
      <c r="F1091" s="290"/>
      <c r="G1091" s="290"/>
      <c r="H1091" s="290"/>
      <c r="I1091" s="290"/>
      <c r="J1091" s="290"/>
      <c r="K1091" s="281">
        <f t="shared" si="1261"/>
        <v>5410499.25</v>
      </c>
      <c r="L1091" s="290"/>
      <c r="M1091" s="290"/>
      <c r="N1091" s="290"/>
      <c r="O1091" s="290"/>
      <c r="P1091" s="290">
        <v>5410499.25</v>
      </c>
      <c r="Q1091" s="290"/>
      <c r="R1091" s="281">
        <f t="shared" si="1260"/>
        <v>5410499.25</v>
      </c>
      <c r="S1091" s="290"/>
      <c r="T1091" s="290"/>
      <c r="U1091" s="290"/>
      <c r="V1091" s="290"/>
      <c r="W1091" s="290"/>
      <c r="X1091" s="290"/>
      <c r="Y1091" s="290"/>
      <c r="Z1091" s="290"/>
      <c r="AA1091" s="281">
        <f t="shared" ref="AA1091:AA1103" si="1272">SUM(S1091:Z1091)</f>
        <v>0</v>
      </c>
      <c r="AB1091" s="403">
        <f t="shared" si="1257"/>
        <v>5410499.25</v>
      </c>
      <c r="AC1091" s="326">
        <f t="shared" si="1259"/>
        <v>1</v>
      </c>
    </row>
    <row r="1092" spans="1:29" ht="14.25" x14ac:dyDescent="0.2">
      <c r="B1092" s="323" t="s">
        <v>1818</v>
      </c>
      <c r="C1092" s="206" t="s">
        <v>1819</v>
      </c>
      <c r="D1092" s="290"/>
      <c r="E1092" s="325">
        <f>SUM('ADICIONES  2021'!C1092:N1092)</f>
        <v>233334</v>
      </c>
      <c r="F1092" s="290"/>
      <c r="G1092" s="290"/>
      <c r="H1092" s="290"/>
      <c r="I1092" s="290"/>
      <c r="J1092" s="290"/>
      <c r="K1092" s="281">
        <f t="shared" si="1261"/>
        <v>233334</v>
      </c>
      <c r="L1092" s="290"/>
      <c r="M1092" s="290"/>
      <c r="N1092" s="290"/>
      <c r="O1092" s="290"/>
      <c r="P1092" s="290">
        <v>233334</v>
      </c>
      <c r="Q1092" s="290"/>
      <c r="R1092" s="281">
        <f t="shared" si="1260"/>
        <v>233334</v>
      </c>
      <c r="S1092" s="290"/>
      <c r="T1092" s="290"/>
      <c r="U1092" s="290"/>
      <c r="V1092" s="290"/>
      <c r="W1092" s="290"/>
      <c r="X1092" s="290"/>
      <c r="Y1092" s="290"/>
      <c r="Z1092" s="290"/>
      <c r="AA1092" s="281">
        <f t="shared" si="1272"/>
        <v>0</v>
      </c>
      <c r="AB1092" s="403">
        <f t="shared" si="1257"/>
        <v>233334</v>
      </c>
      <c r="AC1092" s="326">
        <f t="shared" si="1259"/>
        <v>1</v>
      </c>
    </row>
    <row r="1093" spans="1:29" ht="14.25" x14ac:dyDescent="0.2">
      <c r="B1093" s="323" t="s">
        <v>1818</v>
      </c>
      <c r="C1093" s="206" t="s">
        <v>1819</v>
      </c>
      <c r="D1093" s="290"/>
      <c r="E1093" s="325">
        <f>SUM('ADICIONES  2021'!C1093:N1093)</f>
        <v>573503224</v>
      </c>
      <c r="F1093" s="290"/>
      <c r="G1093" s="290"/>
      <c r="H1093" s="290"/>
      <c r="I1093" s="290"/>
      <c r="J1093" s="290"/>
      <c r="K1093" s="281">
        <f t="shared" si="1261"/>
        <v>573503224</v>
      </c>
      <c r="L1093" s="290"/>
      <c r="M1093" s="290"/>
      <c r="N1093" s="290"/>
      <c r="O1093" s="290"/>
      <c r="P1093" s="290">
        <v>573503224</v>
      </c>
      <c r="Q1093" s="290"/>
      <c r="R1093" s="281">
        <f t="shared" si="1260"/>
        <v>573503224</v>
      </c>
      <c r="S1093" s="290"/>
      <c r="T1093" s="290"/>
      <c r="U1093" s="290"/>
      <c r="V1093" s="290"/>
      <c r="W1093" s="290"/>
      <c r="X1093" s="290"/>
      <c r="Y1093" s="290"/>
      <c r="Z1093" s="290"/>
      <c r="AA1093" s="281">
        <f t="shared" si="1272"/>
        <v>0</v>
      </c>
      <c r="AB1093" s="403">
        <f t="shared" si="1257"/>
        <v>573503224</v>
      </c>
      <c r="AC1093" s="326">
        <f t="shared" si="1259"/>
        <v>1</v>
      </c>
    </row>
    <row r="1094" spans="1:29" ht="14.25" x14ac:dyDescent="0.2">
      <c r="B1094" s="323" t="s">
        <v>1818</v>
      </c>
      <c r="C1094" s="206" t="s">
        <v>1819</v>
      </c>
      <c r="D1094" s="290"/>
      <c r="E1094" s="325">
        <f>SUM('ADICIONES  2021'!C1094:N1094)</f>
        <v>158246.32999999999</v>
      </c>
      <c r="F1094" s="290"/>
      <c r="G1094" s="290"/>
      <c r="H1094" s="290"/>
      <c r="I1094" s="290"/>
      <c r="J1094" s="290"/>
      <c r="K1094" s="281">
        <f t="shared" si="1261"/>
        <v>158246.32999999999</v>
      </c>
      <c r="L1094" s="290"/>
      <c r="M1094" s="290"/>
      <c r="N1094" s="290"/>
      <c r="O1094" s="290"/>
      <c r="P1094" s="290">
        <v>158246.32999999999</v>
      </c>
      <c r="Q1094" s="290"/>
      <c r="R1094" s="281">
        <f t="shared" si="1260"/>
        <v>158246.32999999999</v>
      </c>
      <c r="S1094" s="290"/>
      <c r="T1094" s="290"/>
      <c r="U1094" s="290"/>
      <c r="V1094" s="290"/>
      <c r="W1094" s="290"/>
      <c r="X1094" s="290"/>
      <c r="Y1094" s="290"/>
      <c r="Z1094" s="290"/>
      <c r="AA1094" s="281">
        <f t="shared" si="1272"/>
        <v>0</v>
      </c>
      <c r="AB1094" s="403">
        <f t="shared" si="1257"/>
        <v>158246.32999999999</v>
      </c>
      <c r="AC1094" s="326">
        <f t="shared" si="1259"/>
        <v>1</v>
      </c>
    </row>
    <row r="1095" spans="1:29" ht="14.25" x14ac:dyDescent="0.2">
      <c r="B1095" s="323" t="s">
        <v>1818</v>
      </c>
      <c r="C1095" s="206" t="s">
        <v>1819</v>
      </c>
      <c r="D1095" s="290"/>
      <c r="E1095" s="325">
        <f>SUM('ADICIONES  2021'!C1095:N1095)</f>
        <v>3387051.02</v>
      </c>
      <c r="F1095" s="290"/>
      <c r="G1095" s="290"/>
      <c r="H1095" s="290"/>
      <c r="I1095" s="290"/>
      <c r="J1095" s="290"/>
      <c r="K1095" s="281">
        <f t="shared" si="1261"/>
        <v>3387051.02</v>
      </c>
      <c r="L1095" s="290"/>
      <c r="M1095" s="290"/>
      <c r="N1095" s="290"/>
      <c r="O1095" s="290"/>
      <c r="P1095" s="290">
        <v>3387051.02</v>
      </c>
      <c r="Q1095" s="290"/>
      <c r="R1095" s="281">
        <f t="shared" si="1260"/>
        <v>3387051.02</v>
      </c>
      <c r="S1095" s="290"/>
      <c r="T1095" s="290"/>
      <c r="U1095" s="290"/>
      <c r="V1095" s="290"/>
      <c r="W1095" s="290"/>
      <c r="X1095" s="290"/>
      <c r="Y1095" s="290"/>
      <c r="Z1095" s="290"/>
      <c r="AA1095" s="281">
        <f t="shared" si="1272"/>
        <v>0</v>
      </c>
      <c r="AB1095" s="403">
        <f t="shared" ref="AB1095:AB1103" si="1273">+R1095+AA1095</f>
        <v>3387051.02</v>
      </c>
      <c r="AC1095" s="326">
        <f t="shared" si="1259"/>
        <v>1</v>
      </c>
    </row>
    <row r="1096" spans="1:29" ht="14.25" x14ac:dyDescent="0.2">
      <c r="B1096" s="323" t="s">
        <v>1818</v>
      </c>
      <c r="C1096" s="206" t="s">
        <v>1819</v>
      </c>
      <c r="D1096" s="290"/>
      <c r="E1096" s="325">
        <f>SUM('ADICIONES  2021'!C1096:N1096)</f>
        <v>1058927</v>
      </c>
      <c r="F1096" s="290"/>
      <c r="G1096" s="290"/>
      <c r="H1096" s="290"/>
      <c r="I1096" s="290"/>
      <c r="J1096" s="290"/>
      <c r="K1096" s="281">
        <f t="shared" si="1261"/>
        <v>1058927</v>
      </c>
      <c r="L1096" s="290"/>
      <c r="M1096" s="290"/>
      <c r="N1096" s="290"/>
      <c r="O1096" s="290"/>
      <c r="P1096" s="290">
        <v>1058927</v>
      </c>
      <c r="Q1096" s="290"/>
      <c r="R1096" s="281">
        <f t="shared" si="1260"/>
        <v>1058927</v>
      </c>
      <c r="S1096" s="290"/>
      <c r="T1096" s="290"/>
      <c r="U1096" s="290"/>
      <c r="V1096" s="290"/>
      <c r="W1096" s="290"/>
      <c r="X1096" s="290"/>
      <c r="Y1096" s="290"/>
      <c r="Z1096" s="290"/>
      <c r="AA1096" s="281">
        <f t="shared" si="1272"/>
        <v>0</v>
      </c>
      <c r="AB1096" s="403">
        <f t="shared" si="1273"/>
        <v>1058927</v>
      </c>
      <c r="AC1096" s="326">
        <f t="shared" si="1259"/>
        <v>1</v>
      </c>
    </row>
    <row r="1097" spans="1:29" ht="14.25" x14ac:dyDescent="0.2">
      <c r="B1097" s="323" t="s">
        <v>1818</v>
      </c>
      <c r="C1097" s="206" t="s">
        <v>1819</v>
      </c>
      <c r="D1097" s="290"/>
      <c r="E1097" s="325">
        <f>SUM('ADICIONES  2021'!C1097:N1097)</f>
        <v>2435496.7799999998</v>
      </c>
      <c r="F1097" s="290"/>
      <c r="G1097" s="290"/>
      <c r="H1097" s="290"/>
      <c r="I1097" s="290"/>
      <c r="J1097" s="290"/>
      <c r="K1097" s="281">
        <f t="shared" si="1261"/>
        <v>2435496.7799999998</v>
      </c>
      <c r="L1097" s="290"/>
      <c r="M1097" s="290"/>
      <c r="N1097" s="290"/>
      <c r="O1097" s="290"/>
      <c r="P1097" s="290">
        <v>2435496.7799999998</v>
      </c>
      <c r="Q1097" s="290"/>
      <c r="R1097" s="281">
        <f t="shared" si="1260"/>
        <v>2435496.7799999998</v>
      </c>
      <c r="S1097" s="290"/>
      <c r="T1097" s="290"/>
      <c r="U1097" s="290"/>
      <c r="V1097" s="290"/>
      <c r="W1097" s="290"/>
      <c r="X1097" s="290"/>
      <c r="Y1097" s="290"/>
      <c r="Z1097" s="290"/>
      <c r="AA1097" s="281">
        <f t="shared" si="1272"/>
        <v>0</v>
      </c>
      <c r="AB1097" s="403">
        <f t="shared" si="1273"/>
        <v>2435496.7799999998</v>
      </c>
      <c r="AC1097" s="326">
        <f t="shared" si="1259"/>
        <v>1</v>
      </c>
    </row>
    <row r="1098" spans="1:29" ht="14.25" x14ac:dyDescent="0.2">
      <c r="B1098" s="323" t="s">
        <v>1818</v>
      </c>
      <c r="C1098" s="206" t="s">
        <v>1819</v>
      </c>
      <c r="D1098" s="290"/>
      <c r="E1098" s="325">
        <f>SUM('ADICIONES  2021'!C1098:N1098)</f>
        <v>50100000</v>
      </c>
      <c r="F1098" s="290"/>
      <c r="G1098" s="290"/>
      <c r="H1098" s="290"/>
      <c r="I1098" s="290"/>
      <c r="J1098" s="290"/>
      <c r="K1098" s="281">
        <f t="shared" si="1261"/>
        <v>50100000</v>
      </c>
      <c r="L1098" s="290"/>
      <c r="M1098" s="290"/>
      <c r="N1098" s="290"/>
      <c r="O1098" s="290"/>
      <c r="P1098" s="290">
        <v>50100000</v>
      </c>
      <c r="Q1098" s="290"/>
      <c r="R1098" s="281">
        <f t="shared" si="1260"/>
        <v>50100000</v>
      </c>
      <c r="S1098" s="290"/>
      <c r="T1098" s="290"/>
      <c r="U1098" s="290"/>
      <c r="V1098" s="290"/>
      <c r="W1098" s="290"/>
      <c r="X1098" s="290"/>
      <c r="Y1098" s="290"/>
      <c r="Z1098" s="290"/>
      <c r="AA1098" s="281">
        <f t="shared" si="1272"/>
        <v>0</v>
      </c>
      <c r="AB1098" s="403">
        <f t="shared" si="1273"/>
        <v>50100000</v>
      </c>
      <c r="AC1098" s="326">
        <f t="shared" si="1259"/>
        <v>1</v>
      </c>
    </row>
    <row r="1099" spans="1:29" ht="14.25" x14ac:dyDescent="0.2">
      <c r="B1099" s="323" t="s">
        <v>1818</v>
      </c>
      <c r="C1099" s="206" t="s">
        <v>1819</v>
      </c>
      <c r="D1099" s="290"/>
      <c r="E1099" s="325">
        <f>SUM('ADICIONES  2021'!C1099:N1099)</f>
        <v>16500000</v>
      </c>
      <c r="F1099" s="290"/>
      <c r="G1099" s="290"/>
      <c r="H1099" s="290"/>
      <c r="I1099" s="290"/>
      <c r="J1099" s="290"/>
      <c r="K1099" s="281">
        <f t="shared" si="1261"/>
        <v>16500000</v>
      </c>
      <c r="L1099" s="290"/>
      <c r="M1099" s="290"/>
      <c r="N1099" s="290"/>
      <c r="O1099" s="290"/>
      <c r="P1099" s="290">
        <v>16500000</v>
      </c>
      <c r="Q1099" s="290"/>
      <c r="R1099" s="281">
        <f t="shared" si="1260"/>
        <v>16500000</v>
      </c>
      <c r="S1099" s="290"/>
      <c r="T1099" s="290"/>
      <c r="U1099" s="290"/>
      <c r="V1099" s="290"/>
      <c r="W1099" s="290"/>
      <c r="X1099" s="290"/>
      <c r="Y1099" s="290"/>
      <c r="Z1099" s="290"/>
      <c r="AA1099" s="281">
        <f t="shared" si="1272"/>
        <v>0</v>
      </c>
      <c r="AB1099" s="403">
        <f t="shared" si="1273"/>
        <v>16500000</v>
      </c>
      <c r="AC1099" s="326">
        <f t="shared" ref="AC1099:AC1103" si="1274">+AB1099/K1099</f>
        <v>1</v>
      </c>
    </row>
    <row r="1100" spans="1:29" ht="14.25" x14ac:dyDescent="0.2">
      <c r="B1100" s="323" t="s">
        <v>1818</v>
      </c>
      <c r="C1100" s="206" t="s">
        <v>1819</v>
      </c>
      <c r="D1100" s="290"/>
      <c r="E1100" s="325">
        <f>SUM('ADICIONES  2021'!C1100:N1100)</f>
        <v>4132604</v>
      </c>
      <c r="F1100" s="290"/>
      <c r="G1100" s="290"/>
      <c r="H1100" s="290"/>
      <c r="I1100" s="290"/>
      <c r="J1100" s="290"/>
      <c r="K1100" s="281">
        <f t="shared" si="1261"/>
        <v>4132604</v>
      </c>
      <c r="L1100" s="290"/>
      <c r="M1100" s="290"/>
      <c r="N1100" s="290"/>
      <c r="O1100" s="290"/>
      <c r="P1100" s="290">
        <v>4132604</v>
      </c>
      <c r="Q1100" s="290"/>
      <c r="R1100" s="281">
        <f t="shared" ref="R1100:R1103" si="1275">SUM(L1100:Q1100)</f>
        <v>4132604</v>
      </c>
      <c r="S1100" s="290"/>
      <c r="T1100" s="290"/>
      <c r="U1100" s="290"/>
      <c r="V1100" s="290"/>
      <c r="W1100" s="290"/>
      <c r="X1100" s="290"/>
      <c r="Y1100" s="290"/>
      <c r="Z1100" s="290"/>
      <c r="AA1100" s="281">
        <f t="shared" si="1272"/>
        <v>0</v>
      </c>
      <c r="AB1100" s="403">
        <f t="shared" si="1273"/>
        <v>4132604</v>
      </c>
      <c r="AC1100" s="326">
        <f t="shared" si="1274"/>
        <v>1</v>
      </c>
    </row>
    <row r="1101" spans="1:29" ht="14.25" x14ac:dyDescent="0.2">
      <c r="B1101" s="323" t="s">
        <v>1818</v>
      </c>
      <c r="C1101" s="206" t="s">
        <v>1819</v>
      </c>
      <c r="D1101" s="290"/>
      <c r="E1101" s="325">
        <f>SUM('ADICIONES  2021'!C1101:N1101)</f>
        <v>499616810.38999999</v>
      </c>
      <c r="F1101" s="290"/>
      <c r="G1101" s="290"/>
      <c r="H1101" s="290"/>
      <c r="I1101" s="290"/>
      <c r="J1101" s="290"/>
      <c r="K1101" s="281">
        <f t="shared" si="1261"/>
        <v>499616810.38999999</v>
      </c>
      <c r="L1101" s="290"/>
      <c r="M1101" s="290"/>
      <c r="N1101" s="290"/>
      <c r="O1101" s="290"/>
      <c r="P1101" s="290">
        <v>499616810.38999999</v>
      </c>
      <c r="Q1101" s="290"/>
      <c r="R1101" s="281">
        <f t="shared" si="1275"/>
        <v>499616810.38999999</v>
      </c>
      <c r="S1101" s="290"/>
      <c r="T1101" s="290"/>
      <c r="U1101" s="290"/>
      <c r="V1101" s="290"/>
      <c r="W1101" s="290"/>
      <c r="X1101" s="290"/>
      <c r="Y1101" s="290"/>
      <c r="Z1101" s="290"/>
      <c r="AA1101" s="281">
        <f t="shared" si="1272"/>
        <v>0</v>
      </c>
      <c r="AB1101" s="403">
        <f t="shared" si="1273"/>
        <v>499616810.38999999</v>
      </c>
      <c r="AC1101" s="326">
        <f t="shared" si="1274"/>
        <v>1</v>
      </c>
    </row>
    <row r="1102" spans="1:29" ht="14.25" x14ac:dyDescent="0.2">
      <c r="B1102" s="323" t="s">
        <v>1818</v>
      </c>
      <c r="C1102" s="206" t="s">
        <v>1819</v>
      </c>
      <c r="D1102" s="290"/>
      <c r="E1102" s="325">
        <f>SUM('ADICIONES  2021'!C1102:N1102)</f>
        <v>6056617823.2399998</v>
      </c>
      <c r="F1102" s="290"/>
      <c r="G1102" s="290"/>
      <c r="H1102" s="290"/>
      <c r="I1102" s="290"/>
      <c r="J1102" s="290"/>
      <c r="K1102" s="281">
        <f t="shared" si="1261"/>
        <v>6056617823.2399998</v>
      </c>
      <c r="L1102" s="290"/>
      <c r="M1102" s="290"/>
      <c r="N1102" s="290"/>
      <c r="O1102" s="290"/>
      <c r="P1102" s="290">
        <v>6056617823.2399998</v>
      </c>
      <c r="Q1102" s="290"/>
      <c r="R1102" s="281">
        <f t="shared" si="1275"/>
        <v>6056617823.2399998</v>
      </c>
      <c r="S1102" s="290"/>
      <c r="T1102" s="290"/>
      <c r="U1102" s="290"/>
      <c r="V1102" s="290"/>
      <c r="W1102" s="290"/>
      <c r="X1102" s="290"/>
      <c r="Y1102" s="290"/>
      <c r="Z1102" s="290"/>
      <c r="AA1102" s="281">
        <f t="shared" si="1272"/>
        <v>0</v>
      </c>
      <c r="AB1102" s="403">
        <f t="shared" si="1273"/>
        <v>6056617823.2399998</v>
      </c>
      <c r="AC1102" s="326">
        <f t="shared" si="1274"/>
        <v>1</v>
      </c>
    </row>
    <row r="1103" spans="1:29" thickBot="1" x14ac:dyDescent="0.25">
      <c r="B1103" s="345" t="s">
        <v>1818</v>
      </c>
      <c r="C1103" s="346" t="s">
        <v>1819</v>
      </c>
      <c r="D1103" s="294"/>
      <c r="E1103" s="325">
        <f>SUM('ADICIONES  2021'!C1103:N1103)</f>
        <v>9550485282.7700005</v>
      </c>
      <c r="F1103" s="294"/>
      <c r="G1103" s="294"/>
      <c r="H1103" s="294"/>
      <c r="I1103" s="294"/>
      <c r="J1103" s="294"/>
      <c r="K1103" s="286">
        <f t="shared" si="1261"/>
        <v>9550485282.7700005</v>
      </c>
      <c r="L1103" s="294"/>
      <c r="M1103" s="294"/>
      <c r="N1103" s="294"/>
      <c r="O1103" s="294"/>
      <c r="P1103" s="294">
        <v>9550485282.7700005</v>
      </c>
      <c r="Q1103" s="294"/>
      <c r="R1103" s="286">
        <f t="shared" si="1275"/>
        <v>9550485282.7700005</v>
      </c>
      <c r="S1103" s="294"/>
      <c r="T1103" s="294"/>
      <c r="U1103" s="294"/>
      <c r="V1103" s="294"/>
      <c r="W1103" s="294"/>
      <c r="X1103" s="294"/>
      <c r="Y1103" s="294"/>
      <c r="Z1103" s="294"/>
      <c r="AA1103" s="286">
        <f t="shared" si="1272"/>
        <v>0</v>
      </c>
      <c r="AB1103" s="404">
        <f t="shared" si="1273"/>
        <v>9550485282.7700005</v>
      </c>
      <c r="AC1103" s="347">
        <f t="shared" si="1274"/>
        <v>1</v>
      </c>
    </row>
    <row r="1104" spans="1:29" s="381" customFormat="1" ht="19.5" thickBot="1" x14ac:dyDescent="0.25">
      <c r="A1104" s="161">
        <v>1</v>
      </c>
      <c r="B1104" s="463" t="s">
        <v>22</v>
      </c>
      <c r="C1104" s="464"/>
      <c r="D1104" s="384">
        <f t="shared" ref="D1104:AB1104" si="1276">+D820+D1081</f>
        <v>130199862756.89999</v>
      </c>
      <c r="E1104" s="385">
        <f t="shared" si="1276"/>
        <v>140767829068.78</v>
      </c>
      <c r="F1104" s="384">
        <f t="shared" si="1276"/>
        <v>40440484.68</v>
      </c>
      <c r="G1104" s="384">
        <f t="shared" si="1276"/>
        <v>4689016590.2200003</v>
      </c>
      <c r="H1104" s="384">
        <f t="shared" si="1276"/>
        <v>350000000</v>
      </c>
      <c r="I1104" s="384">
        <f t="shared" si="1276"/>
        <v>0</v>
      </c>
      <c r="J1104" s="384">
        <f t="shared" si="1276"/>
        <v>0</v>
      </c>
      <c r="K1104" s="384">
        <f t="shared" si="1276"/>
        <v>275266267931.22003</v>
      </c>
      <c r="L1104" s="384">
        <f t="shared" si="1276"/>
        <v>14396430252.819202</v>
      </c>
      <c r="M1104" s="384">
        <f t="shared" si="1276"/>
        <v>9194413809.0683994</v>
      </c>
      <c r="N1104" s="384">
        <f t="shared" si="1276"/>
        <v>15323833234.066198</v>
      </c>
      <c r="O1104" s="384">
        <f t="shared" si="1276"/>
        <v>13705612361.3916</v>
      </c>
      <c r="P1104" s="384">
        <f t="shared" si="1276"/>
        <v>68548905619.364807</v>
      </c>
      <c r="Q1104" s="384">
        <f t="shared" si="1276"/>
        <v>10783369269.4132</v>
      </c>
      <c r="R1104" s="384">
        <f t="shared" si="1276"/>
        <v>131952564546.12341</v>
      </c>
      <c r="S1104" s="384">
        <f t="shared" si="1276"/>
        <v>14792855704.080799</v>
      </c>
      <c r="T1104" s="384">
        <f t="shared" si="1276"/>
        <v>19941006777.567196</v>
      </c>
      <c r="U1104" s="384">
        <f t="shared" si="1276"/>
        <v>16920552003.061998</v>
      </c>
      <c r="V1104" s="384">
        <f t="shared" si="1276"/>
        <v>13228927399.4464</v>
      </c>
      <c r="W1104" s="384">
        <f t="shared" si="1276"/>
        <v>16454426999.976797</v>
      </c>
      <c r="X1104" s="384">
        <f t="shared" si="1276"/>
        <v>51349663159.004402</v>
      </c>
      <c r="Y1104" s="384">
        <f t="shared" si="1276"/>
        <v>1984941009.1207991</v>
      </c>
      <c r="Z1104" s="384">
        <f t="shared" si="1276"/>
        <v>0</v>
      </c>
      <c r="AA1104" s="384">
        <f t="shared" si="1276"/>
        <v>134672373052.25838</v>
      </c>
      <c r="AB1104" s="408">
        <f t="shared" si="1276"/>
        <v>266624937598.38177</v>
      </c>
      <c r="AC1104" s="386">
        <f>AB1104/K1104</f>
        <v>0.96860737642217232</v>
      </c>
    </row>
    <row r="1105" spans="1:29" x14ac:dyDescent="0.2">
      <c r="A1105" s="96">
        <v>1</v>
      </c>
      <c r="B1105" s="348"/>
      <c r="C1105" s="117"/>
      <c r="D1105" s="357"/>
      <c r="E1105" s="358"/>
      <c r="F1105" s="351"/>
      <c r="G1105" s="351"/>
      <c r="H1105" s="351"/>
      <c r="I1105" s="287"/>
      <c r="J1105" s="287"/>
      <c r="K1105" s="287"/>
      <c r="L1105" s="287"/>
      <c r="M1105" s="287"/>
      <c r="N1105" s="287"/>
      <c r="O1105" s="287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406"/>
      <c r="AC1105" s="359"/>
    </row>
    <row r="1106" spans="1:29" x14ac:dyDescent="0.2">
      <c r="A1106" s="96">
        <v>1</v>
      </c>
      <c r="B1106" s="465" t="s">
        <v>263</v>
      </c>
      <c r="C1106" s="462"/>
      <c r="D1106" s="332"/>
      <c r="E1106" s="332"/>
      <c r="F1106" s="332"/>
      <c r="G1106" s="332"/>
      <c r="H1106" s="332"/>
      <c r="I1106" s="332"/>
      <c r="J1106" s="332"/>
      <c r="K1106" s="332"/>
      <c r="L1106" s="281"/>
      <c r="M1106" s="281"/>
      <c r="N1106" s="281"/>
      <c r="O1106" s="281"/>
      <c r="P1106" s="281"/>
      <c r="Q1106" s="281"/>
      <c r="R1106" s="281"/>
      <c r="S1106" s="281"/>
      <c r="T1106" s="281"/>
      <c r="U1106" s="281"/>
      <c r="V1106" s="281"/>
      <c r="W1106" s="281"/>
      <c r="X1106" s="281"/>
      <c r="Y1106" s="281"/>
      <c r="Z1106" s="281"/>
      <c r="AA1106" s="281"/>
      <c r="AB1106" s="403"/>
      <c r="AC1106" s="326"/>
    </row>
    <row r="1107" spans="1:29" ht="39" thickBot="1" x14ac:dyDescent="0.25">
      <c r="A1107" s="96">
        <v>1</v>
      </c>
      <c r="B1107" s="360"/>
      <c r="C1107" s="205" t="s">
        <v>374</v>
      </c>
      <c r="D1107" s="361"/>
      <c r="E1107" s="362">
        <f>SUM('ADICIONES  2021'!C1107:N1107)</f>
        <v>5270880557.3299999</v>
      </c>
      <c r="F1107" s="363"/>
      <c r="G1107" s="363"/>
      <c r="H1107" s="363"/>
      <c r="I1107" s="295"/>
      <c r="J1107" s="295"/>
      <c r="K1107" s="295">
        <f t="shared" ref="K1107" si="1277">+D1107+E1107-F1107+G1107-H1107</f>
        <v>5270880557.3299999</v>
      </c>
      <c r="L1107" s="295">
        <v>0</v>
      </c>
      <c r="M1107" s="295">
        <v>0</v>
      </c>
      <c r="N1107" s="295"/>
      <c r="O1107" s="295"/>
      <c r="P1107" s="295">
        <v>0</v>
      </c>
      <c r="Q1107" s="295">
        <v>0</v>
      </c>
      <c r="R1107" s="363">
        <f t="shared" ref="R1107" si="1278">SUM(L1107:Q1107)</f>
        <v>0</v>
      </c>
      <c r="S1107" s="295">
        <v>0</v>
      </c>
      <c r="T1107" s="295">
        <v>0</v>
      </c>
      <c r="U1107" s="295">
        <v>0</v>
      </c>
      <c r="V1107" s="295">
        <v>0</v>
      </c>
      <c r="W1107" s="295"/>
      <c r="X1107" s="295"/>
      <c r="Y1107" s="295"/>
      <c r="Z1107" s="295"/>
      <c r="AA1107" s="295">
        <f t="shared" ref="AA1107" si="1279">SUM(S1107:Z1107)</f>
        <v>0</v>
      </c>
      <c r="AB1107" s="409">
        <f t="shared" ref="AB1107" si="1280">+R1107+AA1107</f>
        <v>0</v>
      </c>
      <c r="AC1107" s="364">
        <f t="shared" ref="AC1107" si="1281">+AB1107/K1107</f>
        <v>0</v>
      </c>
    </row>
    <row r="1108" spans="1:29" s="160" customFormat="1" ht="19.5" thickBot="1" x14ac:dyDescent="0.25">
      <c r="A1108" s="161">
        <v>1</v>
      </c>
      <c r="B1108" s="466" t="s">
        <v>264</v>
      </c>
      <c r="C1108" s="467"/>
      <c r="D1108" s="387">
        <f>+D1107</f>
        <v>0</v>
      </c>
      <c r="E1108" s="388">
        <f>+E1107</f>
        <v>5270880557.3299999</v>
      </c>
      <c r="F1108" s="389">
        <f t="shared" ref="F1108:AB1108" si="1282">+F1107</f>
        <v>0</v>
      </c>
      <c r="G1108" s="389">
        <f t="shared" si="1282"/>
        <v>0</v>
      </c>
      <c r="H1108" s="389">
        <f t="shared" si="1282"/>
        <v>0</v>
      </c>
      <c r="I1108" s="389">
        <f t="shared" si="1282"/>
        <v>0</v>
      </c>
      <c r="J1108" s="389">
        <f t="shared" si="1282"/>
        <v>0</v>
      </c>
      <c r="K1108" s="389">
        <f t="shared" si="1282"/>
        <v>5270880557.3299999</v>
      </c>
      <c r="L1108" s="389">
        <f t="shared" si="1282"/>
        <v>0</v>
      </c>
      <c r="M1108" s="389">
        <f t="shared" si="1282"/>
        <v>0</v>
      </c>
      <c r="N1108" s="389">
        <f t="shared" si="1282"/>
        <v>0</v>
      </c>
      <c r="O1108" s="389">
        <f t="shared" si="1282"/>
        <v>0</v>
      </c>
      <c r="P1108" s="389">
        <f t="shared" si="1282"/>
        <v>0</v>
      </c>
      <c r="Q1108" s="389">
        <f t="shared" si="1282"/>
        <v>0</v>
      </c>
      <c r="R1108" s="389">
        <f t="shared" si="1282"/>
        <v>0</v>
      </c>
      <c r="S1108" s="389">
        <f t="shared" si="1282"/>
        <v>0</v>
      </c>
      <c r="T1108" s="389">
        <f t="shared" si="1282"/>
        <v>0</v>
      </c>
      <c r="U1108" s="389">
        <f t="shared" si="1282"/>
        <v>0</v>
      </c>
      <c r="V1108" s="389">
        <f t="shared" si="1282"/>
        <v>0</v>
      </c>
      <c r="W1108" s="389">
        <f t="shared" si="1282"/>
        <v>0</v>
      </c>
      <c r="X1108" s="389">
        <f t="shared" si="1282"/>
        <v>0</v>
      </c>
      <c r="Y1108" s="389">
        <f t="shared" si="1282"/>
        <v>0</v>
      </c>
      <c r="Z1108" s="389">
        <f t="shared" si="1282"/>
        <v>0</v>
      </c>
      <c r="AA1108" s="389">
        <f t="shared" si="1282"/>
        <v>0</v>
      </c>
      <c r="AB1108" s="410">
        <f t="shared" si="1282"/>
        <v>0</v>
      </c>
      <c r="AC1108" s="390">
        <f>+AB1108/K1108</f>
        <v>0</v>
      </c>
    </row>
    <row r="1109" spans="1:29" x14ac:dyDescent="0.2">
      <c r="A1109" s="96">
        <v>1</v>
      </c>
      <c r="B1109" s="348"/>
      <c r="C1109" s="117"/>
      <c r="D1109" s="357"/>
      <c r="E1109" s="358"/>
      <c r="F1109" s="351"/>
      <c r="G1109" s="351"/>
      <c r="H1109" s="351"/>
      <c r="I1109" s="287"/>
      <c r="J1109" s="287"/>
      <c r="K1109" s="287"/>
      <c r="L1109" s="287"/>
      <c r="M1109" s="287"/>
      <c r="N1109" s="287"/>
      <c r="O1109" s="287"/>
      <c r="P1109" s="287"/>
      <c r="Q1109" s="287"/>
      <c r="R1109" s="287"/>
      <c r="S1109" s="287"/>
      <c r="T1109" s="287"/>
      <c r="U1109" s="287"/>
      <c r="V1109" s="287"/>
      <c r="W1109" s="287"/>
      <c r="X1109" s="287"/>
      <c r="Y1109" s="287"/>
      <c r="Z1109" s="287"/>
      <c r="AA1109" s="287"/>
      <c r="AB1109" s="406"/>
      <c r="AC1109" s="359"/>
    </row>
    <row r="1110" spans="1:29" x14ac:dyDescent="0.2">
      <c r="A1110" s="96">
        <v>1</v>
      </c>
      <c r="B1110" s="465" t="s">
        <v>31</v>
      </c>
      <c r="C1110" s="462"/>
      <c r="D1110" s="331"/>
      <c r="E1110" s="331"/>
      <c r="F1110" s="331"/>
      <c r="G1110" s="331"/>
      <c r="H1110" s="331"/>
      <c r="I1110" s="331"/>
      <c r="J1110" s="331"/>
      <c r="K1110" s="331"/>
      <c r="L1110" s="276"/>
      <c r="M1110" s="276"/>
      <c r="N1110" s="276"/>
      <c r="O1110" s="276"/>
      <c r="P1110" s="276"/>
      <c r="Q1110" s="276"/>
      <c r="R1110" s="276"/>
      <c r="S1110" s="276"/>
      <c r="T1110" s="276"/>
      <c r="U1110" s="276"/>
      <c r="V1110" s="276"/>
      <c r="W1110" s="276"/>
      <c r="X1110" s="276"/>
      <c r="Y1110" s="276"/>
      <c r="Z1110" s="276"/>
      <c r="AA1110" s="276"/>
      <c r="AB1110" s="403"/>
      <c r="AC1110" s="321"/>
    </row>
    <row r="1111" spans="1:29" s="138" customFormat="1" ht="19.5" x14ac:dyDescent="0.2">
      <c r="A1111" s="137">
        <v>1</v>
      </c>
      <c r="B1111" s="365" t="s">
        <v>381</v>
      </c>
      <c r="C1111" s="366" t="s">
        <v>1109</v>
      </c>
      <c r="D1111" s="367">
        <f>+D1112+D1120</f>
        <v>629043594392</v>
      </c>
      <c r="E1111" s="320">
        <f>SUM('ADICIONES  2021'!C1111:N1111)</f>
        <v>4569241521.4200001</v>
      </c>
      <c r="F1111" s="296">
        <f t="shared" ref="F1111:J1111" si="1283">+F1112+F1120</f>
        <v>15659810311</v>
      </c>
      <c r="G1111" s="296">
        <f t="shared" si="1283"/>
        <v>0</v>
      </c>
      <c r="H1111" s="296">
        <f t="shared" si="1283"/>
        <v>0</v>
      </c>
      <c r="I1111" s="296">
        <f t="shared" si="1283"/>
        <v>193347367060</v>
      </c>
      <c r="J1111" s="296">
        <f t="shared" si="1283"/>
        <v>193347367060</v>
      </c>
      <c r="K1111" s="285">
        <f t="shared" ref="K1111:K1134" si="1284">+D1111+E1111-F1111+G1111-H1111</f>
        <v>617953025602.42004</v>
      </c>
      <c r="L1111" s="296">
        <f t="shared" ref="L1111:Q1111" si="1285">+L1112+L1120</f>
        <v>54948368576</v>
      </c>
      <c r="M1111" s="296">
        <f t="shared" si="1285"/>
        <v>44277029266</v>
      </c>
      <c r="N1111" s="296">
        <f t="shared" si="1285"/>
        <v>43852207389</v>
      </c>
      <c r="O1111" s="296">
        <f t="shared" si="1285"/>
        <v>42768251549</v>
      </c>
      <c r="P1111" s="296">
        <f t="shared" si="1285"/>
        <v>43417649059.919998</v>
      </c>
      <c r="Q1111" s="296">
        <f t="shared" si="1285"/>
        <v>43638832675</v>
      </c>
      <c r="R1111" s="285">
        <f>SUM(L1111:Q1111)</f>
        <v>272902338514.91998</v>
      </c>
      <c r="S1111" s="296">
        <f t="shared" ref="S1111:Z1111" si="1286">+S1112+S1120</f>
        <v>61706391253</v>
      </c>
      <c r="T1111" s="296">
        <f t="shared" si="1286"/>
        <v>59155487863.550003</v>
      </c>
      <c r="U1111" s="296">
        <f t="shared" si="1286"/>
        <v>46515462330</v>
      </c>
      <c r="V1111" s="296">
        <f t="shared" si="1286"/>
        <v>47206370250</v>
      </c>
      <c r="W1111" s="296">
        <f t="shared" si="1286"/>
        <v>80573493413</v>
      </c>
      <c r="X1111" s="296">
        <f t="shared" si="1286"/>
        <v>50036559580.419998</v>
      </c>
      <c r="Y1111" s="296">
        <f t="shared" si="1286"/>
        <v>0</v>
      </c>
      <c r="Z1111" s="296">
        <f t="shared" si="1286"/>
        <v>0</v>
      </c>
      <c r="AA1111" s="285">
        <f>SUM(S1111:Z1111)</f>
        <v>345193764689.96997</v>
      </c>
      <c r="AB1111" s="407">
        <f>+R1111+AA1111</f>
        <v>618096103204.88989</v>
      </c>
      <c r="AC1111" s="354">
        <f t="shared" ref="AC1111:AC1134" si="1287">+AB1111/K1111</f>
        <v>1.0002315347551383</v>
      </c>
    </row>
    <row r="1112" spans="1:29" s="138" customFormat="1" ht="19.5" x14ac:dyDescent="0.2">
      <c r="A1112" s="137">
        <v>1</v>
      </c>
      <c r="B1112" s="365" t="s">
        <v>382</v>
      </c>
      <c r="C1112" s="366" t="s">
        <v>1110</v>
      </c>
      <c r="D1112" s="367">
        <f>+D1113</f>
        <v>628393594392</v>
      </c>
      <c r="E1112" s="320">
        <f>SUM('ADICIONES  2021'!C1112:N1112)</f>
        <v>0</v>
      </c>
      <c r="F1112" s="296">
        <f t="shared" ref="F1112:J1115" si="1288">+F1113</f>
        <v>15556104431</v>
      </c>
      <c r="G1112" s="296">
        <f t="shared" si="1288"/>
        <v>0</v>
      </c>
      <c r="H1112" s="296">
        <f t="shared" si="1288"/>
        <v>0</v>
      </c>
      <c r="I1112" s="296">
        <f t="shared" si="1288"/>
        <v>193347367060</v>
      </c>
      <c r="J1112" s="296">
        <f t="shared" si="1288"/>
        <v>193347367060</v>
      </c>
      <c r="K1112" s="285">
        <f t="shared" si="1284"/>
        <v>612837489961</v>
      </c>
      <c r="L1112" s="296">
        <f t="shared" ref="L1112:Q1115" si="1289">+L1113</f>
        <v>54920512781</v>
      </c>
      <c r="M1112" s="296">
        <f t="shared" si="1289"/>
        <v>44269498496</v>
      </c>
      <c r="N1112" s="296">
        <f t="shared" si="1289"/>
        <v>43848802519</v>
      </c>
      <c r="O1112" s="296">
        <f t="shared" si="1289"/>
        <v>42445040611</v>
      </c>
      <c r="P1112" s="296">
        <f t="shared" si="1289"/>
        <v>42979790929</v>
      </c>
      <c r="Q1112" s="296">
        <f t="shared" si="1289"/>
        <v>42822433533</v>
      </c>
      <c r="R1112" s="285">
        <f t="shared" ref="R1112:R1134" si="1290">SUM(L1112:Q1112)</f>
        <v>271286078869</v>
      </c>
      <c r="S1112" s="296">
        <f t="shared" ref="S1112:Z1115" si="1291">+S1113</f>
        <v>61688551056</v>
      </c>
      <c r="T1112" s="296">
        <f t="shared" si="1291"/>
        <v>56347849980</v>
      </c>
      <c r="U1112" s="296">
        <f t="shared" si="1291"/>
        <v>46479753353</v>
      </c>
      <c r="V1112" s="296">
        <f t="shared" si="1291"/>
        <v>47148789127</v>
      </c>
      <c r="W1112" s="296">
        <f t="shared" si="1291"/>
        <v>80490631859</v>
      </c>
      <c r="X1112" s="296">
        <f t="shared" si="1291"/>
        <v>49395835717</v>
      </c>
      <c r="Y1112" s="296">
        <f t="shared" si="1291"/>
        <v>0</v>
      </c>
      <c r="Z1112" s="296">
        <f t="shared" si="1291"/>
        <v>0</v>
      </c>
      <c r="AA1112" s="285">
        <f t="shared" ref="AA1112:AA1134" si="1292">SUM(S1112:Z1112)</f>
        <v>341551411092</v>
      </c>
      <c r="AB1112" s="407">
        <f t="shared" ref="AB1112:AB1134" si="1293">+R1112+AA1112</f>
        <v>612837489961</v>
      </c>
      <c r="AC1112" s="354">
        <f t="shared" si="1287"/>
        <v>1</v>
      </c>
    </row>
    <row r="1113" spans="1:29" s="138" customFormat="1" ht="19.5" x14ac:dyDescent="0.2">
      <c r="A1113" s="137">
        <v>1</v>
      </c>
      <c r="B1113" s="365" t="s">
        <v>534</v>
      </c>
      <c r="C1113" s="366" t="s">
        <v>1111</v>
      </c>
      <c r="D1113" s="367">
        <f>+D1114</f>
        <v>628393594392</v>
      </c>
      <c r="E1113" s="320">
        <f>SUM('ADICIONES  2021'!C1113:N1113)</f>
        <v>0</v>
      </c>
      <c r="F1113" s="296">
        <f t="shared" si="1288"/>
        <v>15556104431</v>
      </c>
      <c r="G1113" s="296">
        <f t="shared" si="1288"/>
        <v>0</v>
      </c>
      <c r="H1113" s="296">
        <f t="shared" si="1288"/>
        <v>0</v>
      </c>
      <c r="I1113" s="296">
        <f t="shared" si="1288"/>
        <v>193347367060</v>
      </c>
      <c r="J1113" s="296">
        <f t="shared" si="1288"/>
        <v>193347367060</v>
      </c>
      <c r="K1113" s="285">
        <f t="shared" si="1284"/>
        <v>612837489961</v>
      </c>
      <c r="L1113" s="296">
        <f t="shared" si="1289"/>
        <v>54920512781</v>
      </c>
      <c r="M1113" s="296">
        <f t="shared" si="1289"/>
        <v>44269498496</v>
      </c>
      <c r="N1113" s="296">
        <f t="shared" si="1289"/>
        <v>43848802519</v>
      </c>
      <c r="O1113" s="296">
        <f t="shared" si="1289"/>
        <v>42445040611</v>
      </c>
      <c r="P1113" s="296">
        <f t="shared" si="1289"/>
        <v>42979790929</v>
      </c>
      <c r="Q1113" s="296">
        <f t="shared" si="1289"/>
        <v>42822433533</v>
      </c>
      <c r="R1113" s="285">
        <f t="shared" si="1290"/>
        <v>271286078869</v>
      </c>
      <c r="S1113" s="296">
        <f t="shared" si="1291"/>
        <v>61688551056</v>
      </c>
      <c r="T1113" s="296">
        <f t="shared" si="1291"/>
        <v>56347849980</v>
      </c>
      <c r="U1113" s="296">
        <f t="shared" si="1291"/>
        <v>46479753353</v>
      </c>
      <c r="V1113" s="296">
        <f t="shared" si="1291"/>
        <v>47148789127</v>
      </c>
      <c r="W1113" s="296">
        <f t="shared" si="1291"/>
        <v>80490631859</v>
      </c>
      <c r="X1113" s="296">
        <f t="shared" si="1291"/>
        <v>49395835717</v>
      </c>
      <c r="Y1113" s="296">
        <f t="shared" si="1291"/>
        <v>0</v>
      </c>
      <c r="Z1113" s="296">
        <f t="shared" si="1291"/>
        <v>0</v>
      </c>
      <c r="AA1113" s="285">
        <f t="shared" si="1292"/>
        <v>341551411092</v>
      </c>
      <c r="AB1113" s="407">
        <f t="shared" si="1293"/>
        <v>612837489961</v>
      </c>
      <c r="AC1113" s="354">
        <f t="shared" si="1287"/>
        <v>1</v>
      </c>
    </row>
    <row r="1114" spans="1:29" s="138" customFormat="1" ht="19.5" x14ac:dyDescent="0.2">
      <c r="A1114" s="137">
        <v>1</v>
      </c>
      <c r="B1114" s="365" t="s">
        <v>607</v>
      </c>
      <c r="C1114" s="366" t="s">
        <v>608</v>
      </c>
      <c r="D1114" s="367">
        <f>+D1115</f>
        <v>628393594392</v>
      </c>
      <c r="E1114" s="320">
        <f>SUM('ADICIONES  2021'!C1114:N1114)</f>
        <v>0</v>
      </c>
      <c r="F1114" s="296">
        <f t="shared" si="1288"/>
        <v>15556104431</v>
      </c>
      <c r="G1114" s="296">
        <f t="shared" si="1288"/>
        <v>0</v>
      </c>
      <c r="H1114" s="296">
        <f t="shared" si="1288"/>
        <v>0</v>
      </c>
      <c r="I1114" s="296">
        <f t="shared" si="1288"/>
        <v>193347367060</v>
      </c>
      <c r="J1114" s="296">
        <f t="shared" si="1288"/>
        <v>193347367060</v>
      </c>
      <c r="K1114" s="285">
        <f t="shared" si="1284"/>
        <v>612837489961</v>
      </c>
      <c r="L1114" s="296">
        <f t="shared" si="1289"/>
        <v>54920512781</v>
      </c>
      <c r="M1114" s="296">
        <f t="shared" si="1289"/>
        <v>44269498496</v>
      </c>
      <c r="N1114" s="296">
        <f t="shared" si="1289"/>
        <v>43848802519</v>
      </c>
      <c r="O1114" s="296">
        <f t="shared" si="1289"/>
        <v>42445040611</v>
      </c>
      <c r="P1114" s="296">
        <f t="shared" si="1289"/>
        <v>42979790929</v>
      </c>
      <c r="Q1114" s="296">
        <f t="shared" si="1289"/>
        <v>42822433533</v>
      </c>
      <c r="R1114" s="285">
        <f t="shared" si="1290"/>
        <v>271286078869</v>
      </c>
      <c r="S1114" s="296">
        <f t="shared" si="1291"/>
        <v>61688551056</v>
      </c>
      <c r="T1114" s="296">
        <f t="shared" si="1291"/>
        <v>56347849980</v>
      </c>
      <c r="U1114" s="296">
        <f t="shared" si="1291"/>
        <v>46479753353</v>
      </c>
      <c r="V1114" s="296">
        <f t="shared" si="1291"/>
        <v>47148789127</v>
      </c>
      <c r="W1114" s="296">
        <f t="shared" si="1291"/>
        <v>80490631859</v>
      </c>
      <c r="X1114" s="296">
        <f t="shared" si="1291"/>
        <v>49395835717</v>
      </c>
      <c r="Y1114" s="296">
        <f t="shared" si="1291"/>
        <v>0</v>
      </c>
      <c r="Z1114" s="296">
        <f t="shared" si="1291"/>
        <v>0</v>
      </c>
      <c r="AA1114" s="285">
        <f t="shared" si="1292"/>
        <v>341551411092</v>
      </c>
      <c r="AB1114" s="407">
        <f t="shared" si="1293"/>
        <v>612837489961</v>
      </c>
      <c r="AC1114" s="354">
        <f t="shared" si="1287"/>
        <v>1</v>
      </c>
    </row>
    <row r="1115" spans="1:29" s="61" customFormat="1" ht="15.75" x14ac:dyDescent="0.2">
      <c r="A1115" s="421">
        <v>1</v>
      </c>
      <c r="B1115" s="368" t="s">
        <v>609</v>
      </c>
      <c r="C1115" s="369" t="s">
        <v>610</v>
      </c>
      <c r="D1115" s="370">
        <f>+D1116</f>
        <v>628393594392</v>
      </c>
      <c r="E1115" s="322">
        <f>SUM('ADICIONES  2021'!C1115:N1115)</f>
        <v>0</v>
      </c>
      <c r="F1115" s="297">
        <f t="shared" si="1288"/>
        <v>15556104431</v>
      </c>
      <c r="G1115" s="297">
        <f t="shared" si="1288"/>
        <v>0</v>
      </c>
      <c r="H1115" s="297">
        <f t="shared" si="1288"/>
        <v>0</v>
      </c>
      <c r="I1115" s="297">
        <f t="shared" si="1288"/>
        <v>193347367060</v>
      </c>
      <c r="J1115" s="297">
        <f t="shared" si="1288"/>
        <v>193347367060</v>
      </c>
      <c r="K1115" s="276">
        <f t="shared" si="1284"/>
        <v>612837489961</v>
      </c>
      <c r="L1115" s="297">
        <f t="shared" si="1289"/>
        <v>54920512781</v>
      </c>
      <c r="M1115" s="297">
        <f t="shared" si="1289"/>
        <v>44269498496</v>
      </c>
      <c r="N1115" s="297">
        <f t="shared" si="1289"/>
        <v>43848802519</v>
      </c>
      <c r="O1115" s="297">
        <f t="shared" si="1289"/>
        <v>42445040611</v>
      </c>
      <c r="P1115" s="297">
        <f t="shared" si="1289"/>
        <v>42979790929</v>
      </c>
      <c r="Q1115" s="297">
        <f t="shared" si="1289"/>
        <v>42822433533</v>
      </c>
      <c r="R1115" s="285">
        <f t="shared" si="1290"/>
        <v>271286078869</v>
      </c>
      <c r="S1115" s="297">
        <f t="shared" si="1291"/>
        <v>61688551056</v>
      </c>
      <c r="T1115" s="297">
        <f t="shared" si="1291"/>
        <v>56347849980</v>
      </c>
      <c r="U1115" s="297">
        <f t="shared" si="1291"/>
        <v>46479753353</v>
      </c>
      <c r="V1115" s="297">
        <f t="shared" si="1291"/>
        <v>47148789127</v>
      </c>
      <c r="W1115" s="297">
        <f t="shared" si="1291"/>
        <v>80490631859</v>
      </c>
      <c r="X1115" s="297">
        <f t="shared" si="1291"/>
        <v>49395835717</v>
      </c>
      <c r="Y1115" s="297">
        <f t="shared" si="1291"/>
        <v>0</v>
      </c>
      <c r="Z1115" s="297">
        <f t="shared" si="1291"/>
        <v>0</v>
      </c>
      <c r="AA1115" s="285">
        <f t="shared" si="1292"/>
        <v>341551411092</v>
      </c>
      <c r="AB1115" s="407">
        <f t="shared" si="1293"/>
        <v>612837489961</v>
      </c>
      <c r="AC1115" s="321">
        <f t="shared" si="1287"/>
        <v>1</v>
      </c>
    </row>
    <row r="1116" spans="1:29" s="61" customFormat="1" ht="15.75" x14ac:dyDescent="0.2">
      <c r="A1116" s="421">
        <v>1</v>
      </c>
      <c r="B1116" s="368" t="s">
        <v>611</v>
      </c>
      <c r="C1116" s="369" t="s">
        <v>612</v>
      </c>
      <c r="D1116" s="370">
        <f>+D1117+D1118</f>
        <v>628393594392</v>
      </c>
      <c r="E1116" s="322">
        <f>SUM('ADICIONES  2021'!C1116:N1116)</f>
        <v>0</v>
      </c>
      <c r="F1116" s="297">
        <f t="shared" ref="F1116:J1116" si="1294">+F1117+F1118</f>
        <v>15556104431</v>
      </c>
      <c r="G1116" s="297">
        <f t="shared" si="1294"/>
        <v>0</v>
      </c>
      <c r="H1116" s="297">
        <f t="shared" si="1294"/>
        <v>0</v>
      </c>
      <c r="I1116" s="297">
        <f t="shared" si="1294"/>
        <v>193347367060</v>
      </c>
      <c r="J1116" s="297">
        <f t="shared" si="1294"/>
        <v>193347367060</v>
      </c>
      <c r="K1116" s="276">
        <f t="shared" si="1284"/>
        <v>612837489961</v>
      </c>
      <c r="L1116" s="297">
        <f t="shared" ref="L1116:Q1116" si="1295">+L1117+L1118</f>
        <v>54920512781</v>
      </c>
      <c r="M1116" s="297">
        <f t="shared" si="1295"/>
        <v>44269498496</v>
      </c>
      <c r="N1116" s="297">
        <f t="shared" si="1295"/>
        <v>43848802519</v>
      </c>
      <c r="O1116" s="297">
        <f t="shared" si="1295"/>
        <v>42445040611</v>
      </c>
      <c r="P1116" s="297">
        <f t="shared" si="1295"/>
        <v>42979790929</v>
      </c>
      <c r="Q1116" s="297">
        <f t="shared" si="1295"/>
        <v>42822433533</v>
      </c>
      <c r="R1116" s="285">
        <f t="shared" si="1290"/>
        <v>271286078869</v>
      </c>
      <c r="S1116" s="297">
        <f t="shared" ref="S1116:Z1116" si="1296">+S1117+S1118</f>
        <v>61688551056</v>
      </c>
      <c r="T1116" s="297">
        <f t="shared" si="1296"/>
        <v>56347849980</v>
      </c>
      <c r="U1116" s="297">
        <f t="shared" si="1296"/>
        <v>46479753353</v>
      </c>
      <c r="V1116" s="297">
        <f t="shared" si="1296"/>
        <v>47148789127</v>
      </c>
      <c r="W1116" s="297">
        <f t="shared" si="1296"/>
        <v>80490631859</v>
      </c>
      <c r="X1116" s="297">
        <f t="shared" si="1296"/>
        <v>49395835717</v>
      </c>
      <c r="Y1116" s="297">
        <f t="shared" si="1296"/>
        <v>0</v>
      </c>
      <c r="Z1116" s="297">
        <f t="shared" si="1296"/>
        <v>0</v>
      </c>
      <c r="AA1116" s="285">
        <f t="shared" si="1292"/>
        <v>341551411092</v>
      </c>
      <c r="AB1116" s="407">
        <f t="shared" si="1293"/>
        <v>612837489961</v>
      </c>
      <c r="AC1116" s="321">
        <f t="shared" si="1287"/>
        <v>1</v>
      </c>
    </row>
    <row r="1117" spans="1:29" s="19" customFormat="1" ht="16.5" customHeight="1" x14ac:dyDescent="0.2">
      <c r="A1117" s="422"/>
      <c r="B1117" s="371" t="s">
        <v>1112</v>
      </c>
      <c r="C1117" s="372" t="s">
        <v>1113</v>
      </c>
      <c r="D1117" s="373">
        <v>628393594392</v>
      </c>
      <c r="E1117" s="325">
        <f>SUM('ADICIONES  2021'!C1117:N1117)</f>
        <v>0</v>
      </c>
      <c r="F1117" s="298">
        <v>15556104431</v>
      </c>
      <c r="G1117" s="298"/>
      <c r="H1117" s="298"/>
      <c r="I1117" s="298">
        <v>193347367060</v>
      </c>
      <c r="J1117" s="298">
        <v>193347367060</v>
      </c>
      <c r="K1117" s="281">
        <f t="shared" si="1284"/>
        <v>612837489961</v>
      </c>
      <c r="L1117" s="298">
        <v>54920512781</v>
      </c>
      <c r="M1117" s="298">
        <v>44269498496</v>
      </c>
      <c r="N1117" s="298">
        <v>43848802519</v>
      </c>
      <c r="O1117" s="298">
        <v>42445040611</v>
      </c>
      <c r="P1117" s="298">
        <v>42979790929</v>
      </c>
      <c r="Q1117" s="298">
        <v>42822433533</v>
      </c>
      <c r="R1117" s="281">
        <f t="shared" si="1290"/>
        <v>271286078869</v>
      </c>
      <c r="S1117" s="298">
        <v>61688551056</v>
      </c>
      <c r="T1117" s="298">
        <v>56347849980</v>
      </c>
      <c r="U1117" s="298">
        <v>46479753353</v>
      </c>
      <c r="V1117" s="298">
        <v>47148789127</v>
      </c>
      <c r="W1117" s="298">
        <v>80490631859</v>
      </c>
      <c r="X1117" s="298">
        <v>49395835717</v>
      </c>
      <c r="Y1117" s="298"/>
      <c r="Z1117" s="298"/>
      <c r="AA1117" s="281">
        <f t="shared" si="1292"/>
        <v>341551411092</v>
      </c>
      <c r="AB1117" s="403">
        <f t="shared" si="1293"/>
        <v>612837489961</v>
      </c>
      <c r="AC1117" s="326">
        <f t="shared" si="1287"/>
        <v>1</v>
      </c>
    </row>
    <row r="1118" spans="1:29" s="61" customFormat="1" ht="15.75" hidden="1" x14ac:dyDescent="0.2">
      <c r="A1118" s="421"/>
      <c r="B1118" s="368" t="s">
        <v>615</v>
      </c>
      <c r="C1118" s="369" t="s">
        <v>1114</v>
      </c>
      <c r="D1118" s="370">
        <f>+D1119</f>
        <v>0</v>
      </c>
      <c r="E1118" s="322">
        <f>SUM('ADICIONES  2021'!C1118:N1118)</f>
        <v>0</v>
      </c>
      <c r="F1118" s="297">
        <f t="shared" ref="F1118:J1118" si="1297">+F1119</f>
        <v>0</v>
      </c>
      <c r="G1118" s="297">
        <f t="shared" si="1297"/>
        <v>0</v>
      </c>
      <c r="H1118" s="297">
        <f t="shared" si="1297"/>
        <v>0</v>
      </c>
      <c r="I1118" s="297">
        <f t="shared" si="1297"/>
        <v>0</v>
      </c>
      <c r="J1118" s="297">
        <f t="shared" si="1297"/>
        <v>0</v>
      </c>
      <c r="K1118" s="276">
        <f t="shared" si="1284"/>
        <v>0</v>
      </c>
      <c r="L1118" s="297">
        <f t="shared" ref="L1118:Q1118" si="1298">+L1119</f>
        <v>0</v>
      </c>
      <c r="M1118" s="297">
        <f t="shared" si="1298"/>
        <v>0</v>
      </c>
      <c r="N1118" s="297">
        <f t="shared" si="1298"/>
        <v>0</v>
      </c>
      <c r="O1118" s="297">
        <v>0</v>
      </c>
      <c r="P1118" s="297">
        <f t="shared" si="1298"/>
        <v>0</v>
      </c>
      <c r="Q1118" s="297">
        <f t="shared" si="1298"/>
        <v>0</v>
      </c>
      <c r="R1118" s="285">
        <f t="shared" si="1290"/>
        <v>0</v>
      </c>
      <c r="S1118" s="297">
        <f t="shared" ref="S1118:Z1118" si="1299">+S1119</f>
        <v>0</v>
      </c>
      <c r="T1118" s="297">
        <f t="shared" si="1299"/>
        <v>0</v>
      </c>
      <c r="U1118" s="297">
        <f t="shared" si="1299"/>
        <v>0</v>
      </c>
      <c r="V1118" s="297">
        <f t="shared" si="1299"/>
        <v>0</v>
      </c>
      <c r="W1118" s="297">
        <f t="shared" si="1299"/>
        <v>0</v>
      </c>
      <c r="X1118" s="297">
        <f t="shared" si="1299"/>
        <v>0</v>
      </c>
      <c r="Y1118" s="297">
        <f t="shared" si="1299"/>
        <v>0</v>
      </c>
      <c r="Z1118" s="297">
        <f t="shared" si="1299"/>
        <v>0</v>
      </c>
      <c r="AA1118" s="285">
        <f t="shared" si="1292"/>
        <v>0</v>
      </c>
      <c r="AB1118" s="407">
        <f t="shared" si="1293"/>
        <v>0</v>
      </c>
      <c r="AC1118" s="321" t="e">
        <f t="shared" si="1287"/>
        <v>#DIV/0!</v>
      </c>
    </row>
    <row r="1119" spans="1:29" s="19" customFormat="1" hidden="1" x14ac:dyDescent="0.2">
      <c r="A1119" s="422"/>
      <c r="B1119" s="371" t="s">
        <v>1115</v>
      </c>
      <c r="C1119" s="372" t="s">
        <v>1116</v>
      </c>
      <c r="D1119" s="373">
        <v>0</v>
      </c>
      <c r="E1119" s="325">
        <f>SUM('ADICIONES  2021'!C1119:N1119)</f>
        <v>0</v>
      </c>
      <c r="F1119" s="298"/>
      <c r="G1119" s="298"/>
      <c r="H1119" s="298"/>
      <c r="I1119" s="298"/>
      <c r="J1119" s="298"/>
      <c r="K1119" s="281">
        <f t="shared" si="1284"/>
        <v>0</v>
      </c>
      <c r="L1119" s="298">
        <v>0</v>
      </c>
      <c r="M1119" s="298"/>
      <c r="N1119" s="298"/>
      <c r="O1119" s="298"/>
      <c r="P1119" s="298"/>
      <c r="Q1119" s="298"/>
      <c r="R1119" s="276">
        <f t="shared" si="1290"/>
        <v>0</v>
      </c>
      <c r="S1119" s="298"/>
      <c r="T1119" s="298"/>
      <c r="U1119" s="298"/>
      <c r="V1119" s="298"/>
      <c r="W1119" s="298"/>
      <c r="X1119" s="298"/>
      <c r="Y1119" s="298"/>
      <c r="Z1119" s="298"/>
      <c r="AA1119" s="276">
        <f t="shared" si="1292"/>
        <v>0</v>
      </c>
      <c r="AB1119" s="402">
        <f t="shared" si="1293"/>
        <v>0</v>
      </c>
      <c r="AC1119" s="326" t="e">
        <f t="shared" si="1287"/>
        <v>#DIV/0!</v>
      </c>
    </row>
    <row r="1120" spans="1:29" s="61" customFormat="1" ht="15.75" x14ac:dyDescent="0.2">
      <c r="A1120" s="421">
        <v>1</v>
      </c>
      <c r="B1120" s="368" t="s">
        <v>697</v>
      </c>
      <c r="C1120" s="369" t="s">
        <v>1117</v>
      </c>
      <c r="D1120" s="370">
        <f>+D1121+D1125+D1132</f>
        <v>650000000</v>
      </c>
      <c r="E1120" s="322">
        <f>SUM('ADICIONES  2021'!C1120:N1120)</f>
        <v>4569241521.4200001</v>
      </c>
      <c r="F1120" s="297">
        <f t="shared" ref="F1120:J1120" si="1300">+F1121+F1125+F1132</f>
        <v>103705880</v>
      </c>
      <c r="G1120" s="297">
        <f t="shared" si="1300"/>
        <v>0</v>
      </c>
      <c r="H1120" s="297">
        <f t="shared" si="1300"/>
        <v>0</v>
      </c>
      <c r="I1120" s="297">
        <f t="shared" si="1300"/>
        <v>0</v>
      </c>
      <c r="J1120" s="297">
        <f t="shared" si="1300"/>
        <v>0</v>
      </c>
      <c r="K1120" s="276">
        <f t="shared" si="1284"/>
        <v>5115535641.4200001</v>
      </c>
      <c r="L1120" s="297">
        <f t="shared" ref="L1120:Q1120" si="1301">+L1121+L1125+L1132</f>
        <v>27855795</v>
      </c>
      <c r="M1120" s="297">
        <f t="shared" si="1301"/>
        <v>7530770</v>
      </c>
      <c r="N1120" s="297">
        <f t="shared" si="1301"/>
        <v>3404870</v>
      </c>
      <c r="O1120" s="297">
        <f t="shared" si="1301"/>
        <v>323210938</v>
      </c>
      <c r="P1120" s="297">
        <f t="shared" si="1301"/>
        <v>437858130.92000002</v>
      </c>
      <c r="Q1120" s="297">
        <f t="shared" si="1301"/>
        <v>816399142</v>
      </c>
      <c r="R1120" s="285">
        <f t="shared" si="1290"/>
        <v>1616259645.9200001</v>
      </c>
      <c r="S1120" s="297">
        <f t="shared" ref="S1120:Z1120" si="1302">+S1121+S1125+S1132</f>
        <v>17840197</v>
      </c>
      <c r="T1120" s="297">
        <f t="shared" si="1302"/>
        <v>2807637883.5500002</v>
      </c>
      <c r="U1120" s="297">
        <f t="shared" si="1302"/>
        <v>35708977</v>
      </c>
      <c r="V1120" s="297">
        <f t="shared" si="1302"/>
        <v>57581123</v>
      </c>
      <c r="W1120" s="297">
        <f t="shared" si="1302"/>
        <v>82861554</v>
      </c>
      <c r="X1120" s="297">
        <f t="shared" si="1302"/>
        <v>640723863.41999996</v>
      </c>
      <c r="Y1120" s="297">
        <f t="shared" si="1302"/>
        <v>0</v>
      </c>
      <c r="Z1120" s="297">
        <f t="shared" si="1302"/>
        <v>0</v>
      </c>
      <c r="AA1120" s="285">
        <f t="shared" si="1292"/>
        <v>3642353597.9700003</v>
      </c>
      <c r="AB1120" s="407">
        <f t="shared" si="1293"/>
        <v>5258613243.8900003</v>
      </c>
      <c r="AC1120" s="321">
        <f t="shared" si="1287"/>
        <v>1.027969231865284</v>
      </c>
    </row>
    <row r="1121" spans="1:29" s="61" customFormat="1" ht="15.75" x14ac:dyDescent="0.2">
      <c r="A1121" s="421">
        <v>1</v>
      </c>
      <c r="B1121" s="368" t="s">
        <v>1083</v>
      </c>
      <c r="C1121" s="369" t="s">
        <v>708</v>
      </c>
      <c r="D1121" s="370">
        <f>+D1122</f>
        <v>150000000</v>
      </c>
      <c r="E1121" s="322">
        <f>SUM('ADICIONES  2021'!C1121:N1121)</f>
        <v>0</v>
      </c>
      <c r="F1121" s="297">
        <f t="shared" ref="F1121:J1123" si="1303">+F1122</f>
        <v>103705880</v>
      </c>
      <c r="G1121" s="297">
        <f t="shared" si="1303"/>
        <v>0</v>
      </c>
      <c r="H1121" s="297">
        <f t="shared" si="1303"/>
        <v>0</v>
      </c>
      <c r="I1121" s="297">
        <f t="shared" si="1303"/>
        <v>0</v>
      </c>
      <c r="J1121" s="297">
        <f t="shared" si="1303"/>
        <v>0</v>
      </c>
      <c r="K1121" s="276">
        <f t="shared" si="1284"/>
        <v>46294120</v>
      </c>
      <c r="L1121" s="297">
        <f t="shared" ref="L1121:Q1123" si="1304">+L1122</f>
        <v>2114931</v>
      </c>
      <c r="M1121" s="297">
        <f t="shared" si="1304"/>
        <v>1866768</v>
      </c>
      <c r="N1121" s="297">
        <f t="shared" si="1304"/>
        <v>1992190</v>
      </c>
      <c r="O1121" s="297">
        <f t="shared" si="1304"/>
        <v>2674646</v>
      </c>
      <c r="P1121" s="297">
        <f t="shared" si="1304"/>
        <v>2835042</v>
      </c>
      <c r="Q1121" s="297">
        <f t="shared" si="1304"/>
        <v>3014069</v>
      </c>
      <c r="R1121" s="285">
        <f t="shared" si="1290"/>
        <v>14497646</v>
      </c>
      <c r="S1121" s="297">
        <f t="shared" ref="S1121:Z1123" si="1305">+S1122</f>
        <v>3728474</v>
      </c>
      <c r="T1121" s="297">
        <f t="shared" si="1305"/>
        <v>4373387</v>
      </c>
      <c r="U1121" s="297">
        <f t="shared" si="1305"/>
        <v>5398557</v>
      </c>
      <c r="V1121" s="297">
        <f t="shared" si="1305"/>
        <v>5798903</v>
      </c>
      <c r="W1121" s="297">
        <f t="shared" si="1305"/>
        <v>7252354</v>
      </c>
      <c r="X1121" s="297">
        <f t="shared" si="1305"/>
        <v>7494610</v>
      </c>
      <c r="Y1121" s="297">
        <f t="shared" si="1305"/>
        <v>0</v>
      </c>
      <c r="Z1121" s="297">
        <f t="shared" si="1305"/>
        <v>0</v>
      </c>
      <c r="AA1121" s="285">
        <f t="shared" si="1292"/>
        <v>34046285</v>
      </c>
      <c r="AB1121" s="407">
        <f t="shared" si="1293"/>
        <v>48543931</v>
      </c>
      <c r="AC1121" s="321">
        <f t="shared" si="1287"/>
        <v>1.0485982021042846</v>
      </c>
    </row>
    <row r="1122" spans="1:29" s="61" customFormat="1" ht="15.75" x14ac:dyDescent="0.2">
      <c r="A1122" s="421"/>
      <c r="B1122" s="368" t="s">
        <v>709</v>
      </c>
      <c r="C1122" s="369" t="s">
        <v>1085</v>
      </c>
      <c r="D1122" s="370">
        <f>+D1123</f>
        <v>150000000</v>
      </c>
      <c r="E1122" s="322">
        <f>SUM('ADICIONES  2021'!C1122:N1122)</f>
        <v>0</v>
      </c>
      <c r="F1122" s="297">
        <f t="shared" si="1303"/>
        <v>103705880</v>
      </c>
      <c r="G1122" s="297">
        <f t="shared" si="1303"/>
        <v>0</v>
      </c>
      <c r="H1122" s="297">
        <f t="shared" si="1303"/>
        <v>0</v>
      </c>
      <c r="I1122" s="297">
        <f t="shared" si="1303"/>
        <v>0</v>
      </c>
      <c r="J1122" s="297">
        <f t="shared" si="1303"/>
        <v>0</v>
      </c>
      <c r="K1122" s="276">
        <f t="shared" si="1284"/>
        <v>46294120</v>
      </c>
      <c r="L1122" s="297">
        <f t="shared" si="1304"/>
        <v>2114931</v>
      </c>
      <c r="M1122" s="297">
        <f t="shared" si="1304"/>
        <v>1866768</v>
      </c>
      <c r="N1122" s="297">
        <f t="shared" si="1304"/>
        <v>1992190</v>
      </c>
      <c r="O1122" s="297">
        <f t="shared" si="1304"/>
        <v>2674646</v>
      </c>
      <c r="P1122" s="297">
        <f t="shared" si="1304"/>
        <v>2835042</v>
      </c>
      <c r="Q1122" s="297">
        <f t="shared" si="1304"/>
        <v>3014069</v>
      </c>
      <c r="R1122" s="285">
        <f t="shared" si="1290"/>
        <v>14497646</v>
      </c>
      <c r="S1122" s="297">
        <f t="shared" si="1305"/>
        <v>3728474</v>
      </c>
      <c r="T1122" s="297">
        <f t="shared" si="1305"/>
        <v>4373387</v>
      </c>
      <c r="U1122" s="297">
        <f t="shared" si="1305"/>
        <v>5398557</v>
      </c>
      <c r="V1122" s="297">
        <f t="shared" si="1305"/>
        <v>5798903</v>
      </c>
      <c r="W1122" s="297">
        <f t="shared" si="1305"/>
        <v>7252354</v>
      </c>
      <c r="X1122" s="297">
        <f t="shared" si="1305"/>
        <v>7494610</v>
      </c>
      <c r="Y1122" s="297">
        <f t="shared" si="1305"/>
        <v>0</v>
      </c>
      <c r="Z1122" s="297">
        <f t="shared" si="1305"/>
        <v>0</v>
      </c>
      <c r="AA1122" s="285">
        <f t="shared" si="1292"/>
        <v>34046285</v>
      </c>
      <c r="AB1122" s="407">
        <f t="shared" si="1293"/>
        <v>48543931</v>
      </c>
      <c r="AC1122" s="321">
        <f t="shared" si="1287"/>
        <v>1.0485982021042846</v>
      </c>
    </row>
    <row r="1123" spans="1:29" s="61" customFormat="1" ht="15.75" x14ac:dyDescent="0.2">
      <c r="A1123" s="421"/>
      <c r="B1123" s="368" t="s">
        <v>711</v>
      </c>
      <c r="C1123" s="369" t="s">
        <v>610</v>
      </c>
      <c r="D1123" s="370">
        <f>+D1124</f>
        <v>150000000</v>
      </c>
      <c r="E1123" s="322">
        <f>SUM('ADICIONES  2021'!C1123:N1123)</f>
        <v>0</v>
      </c>
      <c r="F1123" s="297">
        <f t="shared" si="1303"/>
        <v>103705880</v>
      </c>
      <c r="G1123" s="297">
        <f t="shared" si="1303"/>
        <v>0</v>
      </c>
      <c r="H1123" s="297">
        <f t="shared" si="1303"/>
        <v>0</v>
      </c>
      <c r="I1123" s="297">
        <f t="shared" si="1303"/>
        <v>0</v>
      </c>
      <c r="J1123" s="297">
        <f t="shared" si="1303"/>
        <v>0</v>
      </c>
      <c r="K1123" s="276">
        <f t="shared" si="1284"/>
        <v>46294120</v>
      </c>
      <c r="L1123" s="297">
        <f t="shared" si="1304"/>
        <v>2114931</v>
      </c>
      <c r="M1123" s="297">
        <f t="shared" si="1304"/>
        <v>1866768</v>
      </c>
      <c r="N1123" s="297">
        <f t="shared" si="1304"/>
        <v>1992190</v>
      </c>
      <c r="O1123" s="297">
        <f t="shared" si="1304"/>
        <v>2674646</v>
      </c>
      <c r="P1123" s="297">
        <f t="shared" si="1304"/>
        <v>2835042</v>
      </c>
      <c r="Q1123" s="297">
        <f t="shared" si="1304"/>
        <v>3014069</v>
      </c>
      <c r="R1123" s="285">
        <f t="shared" si="1290"/>
        <v>14497646</v>
      </c>
      <c r="S1123" s="297">
        <f t="shared" si="1305"/>
        <v>3728474</v>
      </c>
      <c r="T1123" s="297">
        <f t="shared" si="1305"/>
        <v>4373387</v>
      </c>
      <c r="U1123" s="297">
        <f t="shared" si="1305"/>
        <v>5398557</v>
      </c>
      <c r="V1123" s="297">
        <f t="shared" si="1305"/>
        <v>5798903</v>
      </c>
      <c r="W1123" s="297">
        <f t="shared" si="1305"/>
        <v>7252354</v>
      </c>
      <c r="X1123" s="297">
        <f t="shared" si="1305"/>
        <v>7494610</v>
      </c>
      <c r="Y1123" s="297">
        <f t="shared" si="1305"/>
        <v>0</v>
      </c>
      <c r="Z1123" s="297">
        <f t="shared" si="1305"/>
        <v>0</v>
      </c>
      <c r="AA1123" s="285">
        <f t="shared" si="1292"/>
        <v>34046285</v>
      </c>
      <c r="AB1123" s="407">
        <f t="shared" si="1293"/>
        <v>48543931</v>
      </c>
      <c r="AC1123" s="321">
        <f t="shared" si="1287"/>
        <v>1.0485982021042846</v>
      </c>
    </row>
    <row r="1124" spans="1:29" s="19" customFormat="1" x14ac:dyDescent="0.2">
      <c r="A1124" s="422"/>
      <c r="B1124" s="371" t="s">
        <v>1087</v>
      </c>
      <c r="C1124" s="372" t="s">
        <v>1113</v>
      </c>
      <c r="D1124" s="373">
        <v>150000000</v>
      </c>
      <c r="E1124" s="325">
        <f>SUM('ADICIONES  2021'!C1124:N1124)</f>
        <v>0</v>
      </c>
      <c r="F1124" s="298">
        <v>103705880</v>
      </c>
      <c r="G1124" s="298"/>
      <c r="H1124" s="298"/>
      <c r="I1124" s="298"/>
      <c r="J1124" s="298"/>
      <c r="K1124" s="281">
        <f t="shared" si="1284"/>
        <v>46294120</v>
      </c>
      <c r="L1124" s="298">
        <v>2114931</v>
      </c>
      <c r="M1124" s="298">
        <v>1866768</v>
      </c>
      <c r="N1124" s="298">
        <v>1992190</v>
      </c>
      <c r="O1124" s="298">
        <v>2674646</v>
      </c>
      <c r="P1124" s="298">
        <v>2835042</v>
      </c>
      <c r="Q1124" s="298">
        <v>3014069</v>
      </c>
      <c r="R1124" s="281">
        <f t="shared" si="1290"/>
        <v>14497646</v>
      </c>
      <c r="S1124" s="298">
        <v>3728474</v>
      </c>
      <c r="T1124" s="298">
        <v>4373387</v>
      </c>
      <c r="U1124" s="298">
        <v>5398557</v>
      </c>
      <c r="V1124" s="298">
        <v>5798903</v>
      </c>
      <c r="W1124" s="298">
        <v>7252354</v>
      </c>
      <c r="X1124" s="298">
        <v>7494610</v>
      </c>
      <c r="Y1124" s="298"/>
      <c r="Z1124" s="298"/>
      <c r="AA1124" s="281">
        <f t="shared" si="1292"/>
        <v>34046285</v>
      </c>
      <c r="AB1124" s="403">
        <f t="shared" si="1293"/>
        <v>48543931</v>
      </c>
      <c r="AC1124" s="326">
        <f t="shared" si="1287"/>
        <v>1.0485982021042846</v>
      </c>
    </row>
    <row r="1125" spans="1:29" s="61" customFormat="1" ht="15.75" x14ac:dyDescent="0.2">
      <c r="A1125" s="421">
        <v>1</v>
      </c>
      <c r="B1125" s="368" t="s">
        <v>821</v>
      </c>
      <c r="C1125" s="369" t="s">
        <v>1118</v>
      </c>
      <c r="D1125" s="370">
        <f>+D1126+D1127</f>
        <v>0</v>
      </c>
      <c r="E1125" s="322">
        <f>SUM('ADICIONES  2021'!C1125:N1125)</f>
        <v>3402737692.4200001</v>
      </c>
      <c r="F1125" s="297">
        <f t="shared" ref="F1125:J1125" si="1306">+F1126+F1127</f>
        <v>0</v>
      </c>
      <c r="G1125" s="297">
        <f t="shared" si="1306"/>
        <v>0</v>
      </c>
      <c r="H1125" s="297">
        <f t="shared" si="1306"/>
        <v>0</v>
      </c>
      <c r="I1125" s="297">
        <f t="shared" si="1306"/>
        <v>0</v>
      </c>
      <c r="J1125" s="297">
        <f t="shared" si="1306"/>
        <v>0</v>
      </c>
      <c r="K1125" s="276">
        <f t="shared" si="1284"/>
        <v>3402737692.4200001</v>
      </c>
      <c r="L1125" s="297">
        <f t="shared" ref="L1125:Q1125" si="1307">+L1126+L1127</f>
        <v>0</v>
      </c>
      <c r="M1125" s="297">
        <f t="shared" si="1307"/>
        <v>0</v>
      </c>
      <c r="N1125" s="297">
        <f t="shared" si="1307"/>
        <v>0</v>
      </c>
      <c r="O1125" s="297">
        <f t="shared" si="1307"/>
        <v>0</v>
      </c>
      <c r="P1125" s="297">
        <f t="shared" si="1307"/>
        <v>0</v>
      </c>
      <c r="Q1125" s="297">
        <f t="shared" si="1307"/>
        <v>0</v>
      </c>
      <c r="R1125" s="285">
        <f t="shared" si="1290"/>
        <v>0</v>
      </c>
      <c r="S1125" s="297">
        <f t="shared" ref="S1125:Z1125" si="1308">+S1126+S1127</f>
        <v>0</v>
      </c>
      <c r="T1125" s="297">
        <f t="shared" si="1308"/>
        <v>2782944810</v>
      </c>
      <c r="U1125" s="297">
        <f t="shared" si="1308"/>
        <v>0</v>
      </c>
      <c r="V1125" s="297">
        <f t="shared" si="1308"/>
        <v>0</v>
      </c>
      <c r="W1125" s="297">
        <f t="shared" si="1308"/>
        <v>0</v>
      </c>
      <c r="X1125" s="297">
        <f t="shared" si="1308"/>
        <v>619792882.41999996</v>
      </c>
      <c r="Y1125" s="297">
        <f t="shared" si="1308"/>
        <v>0</v>
      </c>
      <c r="Z1125" s="297">
        <f t="shared" si="1308"/>
        <v>0</v>
      </c>
      <c r="AA1125" s="285">
        <f t="shared" si="1292"/>
        <v>3402737692.4200001</v>
      </c>
      <c r="AB1125" s="407">
        <f t="shared" si="1293"/>
        <v>3402737692.4200001</v>
      </c>
      <c r="AC1125" s="321">
        <f t="shared" si="1287"/>
        <v>1</v>
      </c>
    </row>
    <row r="1126" spans="1:29" s="19" customFormat="1" hidden="1" x14ac:dyDescent="0.2">
      <c r="A1126" s="422"/>
      <c r="B1126" s="371" t="s">
        <v>1119</v>
      </c>
      <c r="C1126" s="372" t="s">
        <v>1120</v>
      </c>
      <c r="D1126" s="373">
        <v>0</v>
      </c>
      <c r="E1126" s="325">
        <f>SUM('ADICIONES  2021'!C1126:N1126)</f>
        <v>0</v>
      </c>
      <c r="F1126" s="298"/>
      <c r="G1126" s="298"/>
      <c r="H1126" s="298"/>
      <c r="I1126" s="298"/>
      <c r="J1126" s="298"/>
      <c r="K1126" s="281">
        <f t="shared" si="1284"/>
        <v>0</v>
      </c>
      <c r="L1126" s="298"/>
      <c r="M1126" s="298"/>
      <c r="N1126" s="298"/>
      <c r="O1126" s="298"/>
      <c r="P1126" s="298"/>
      <c r="Q1126" s="298"/>
      <c r="R1126" s="285">
        <f t="shared" si="1290"/>
        <v>0</v>
      </c>
      <c r="S1126" s="298"/>
      <c r="T1126" s="298"/>
      <c r="U1126" s="298"/>
      <c r="V1126" s="298"/>
      <c r="W1126" s="298"/>
      <c r="X1126" s="298"/>
      <c r="Y1126" s="298"/>
      <c r="Z1126" s="298"/>
      <c r="AA1126" s="285">
        <f t="shared" si="1292"/>
        <v>0</v>
      </c>
      <c r="AB1126" s="407">
        <f t="shared" si="1293"/>
        <v>0</v>
      </c>
      <c r="AC1126" s="326" t="e">
        <f t="shared" si="1287"/>
        <v>#DIV/0!</v>
      </c>
    </row>
    <row r="1127" spans="1:29" s="61" customFormat="1" ht="15.75" x14ac:dyDescent="0.2">
      <c r="A1127" s="421"/>
      <c r="B1127" s="368" t="s">
        <v>822</v>
      </c>
      <c r="C1127" s="369" t="s">
        <v>1121</v>
      </c>
      <c r="D1127" s="370">
        <f>SUM(D1128:D1131)</f>
        <v>0</v>
      </c>
      <c r="E1127" s="322">
        <f>SUM('ADICIONES  2021'!C1127:N1127)</f>
        <v>3402737692.4200001</v>
      </c>
      <c r="F1127" s="370">
        <f t="shared" ref="F1127:J1127" si="1309">SUM(F1128:F1131)</f>
        <v>0</v>
      </c>
      <c r="G1127" s="370">
        <f t="shared" si="1309"/>
        <v>0</v>
      </c>
      <c r="H1127" s="370">
        <f t="shared" si="1309"/>
        <v>0</v>
      </c>
      <c r="I1127" s="370">
        <f t="shared" si="1309"/>
        <v>0</v>
      </c>
      <c r="J1127" s="370">
        <f t="shared" si="1309"/>
        <v>0</v>
      </c>
      <c r="K1127" s="276">
        <f t="shared" si="1284"/>
        <v>3402737692.4200001</v>
      </c>
      <c r="L1127" s="370">
        <f t="shared" ref="L1127:Q1127" si="1310">SUM(L1128:L1131)</f>
        <v>0</v>
      </c>
      <c r="M1127" s="370">
        <f t="shared" si="1310"/>
        <v>0</v>
      </c>
      <c r="N1127" s="370">
        <f t="shared" si="1310"/>
        <v>0</v>
      </c>
      <c r="O1127" s="370">
        <f t="shared" si="1310"/>
        <v>0</v>
      </c>
      <c r="P1127" s="370">
        <f t="shared" si="1310"/>
        <v>0</v>
      </c>
      <c r="Q1127" s="370">
        <f t="shared" si="1310"/>
        <v>0</v>
      </c>
      <c r="R1127" s="285">
        <f t="shared" si="1290"/>
        <v>0</v>
      </c>
      <c r="S1127" s="370">
        <f t="shared" ref="S1127:Z1127" si="1311">SUM(S1128:S1131)</f>
        <v>0</v>
      </c>
      <c r="T1127" s="370">
        <f t="shared" si="1311"/>
        <v>2782944810</v>
      </c>
      <c r="U1127" s="370">
        <f t="shared" si="1311"/>
        <v>0</v>
      </c>
      <c r="V1127" s="370">
        <f t="shared" si="1311"/>
        <v>0</v>
      </c>
      <c r="W1127" s="370">
        <f t="shared" si="1311"/>
        <v>0</v>
      </c>
      <c r="X1127" s="370">
        <f t="shared" si="1311"/>
        <v>619792882.41999996</v>
      </c>
      <c r="Y1127" s="370">
        <f t="shared" si="1311"/>
        <v>0</v>
      </c>
      <c r="Z1127" s="370">
        <f t="shared" si="1311"/>
        <v>0</v>
      </c>
      <c r="AA1127" s="285">
        <f t="shared" si="1292"/>
        <v>3402737692.4200001</v>
      </c>
      <c r="AB1127" s="407">
        <f t="shared" si="1293"/>
        <v>3402737692.4200001</v>
      </c>
      <c r="AC1127" s="321">
        <f t="shared" si="1287"/>
        <v>1</v>
      </c>
    </row>
    <row r="1128" spans="1:29" s="19" customFormat="1" x14ac:dyDescent="0.2">
      <c r="A1128" s="422"/>
      <c r="B1128" s="371" t="s">
        <v>1122</v>
      </c>
      <c r="C1128" s="372" t="s">
        <v>610</v>
      </c>
      <c r="D1128" s="373">
        <v>0</v>
      </c>
      <c r="E1128" s="325">
        <f>SUM('ADICIONES  2021'!C1128:N1128)</f>
        <v>3051099928.4200001</v>
      </c>
      <c r="F1128" s="298"/>
      <c r="G1128" s="298"/>
      <c r="H1128" s="298"/>
      <c r="I1128" s="298"/>
      <c r="J1128" s="298"/>
      <c r="K1128" s="281">
        <f t="shared" si="1284"/>
        <v>3051099928.4200001</v>
      </c>
      <c r="L1128" s="298"/>
      <c r="M1128" s="298"/>
      <c r="N1128" s="298"/>
      <c r="O1128" s="298"/>
      <c r="P1128" s="298"/>
      <c r="Q1128" s="298"/>
      <c r="R1128" s="281">
        <f t="shared" si="1290"/>
        <v>0</v>
      </c>
      <c r="S1128" s="298"/>
      <c r="T1128" s="298">
        <v>2431307046</v>
      </c>
      <c r="U1128" s="298"/>
      <c r="V1128" s="298"/>
      <c r="W1128" s="298"/>
      <c r="X1128" s="298">
        <v>619792882.41999996</v>
      </c>
      <c r="Y1128" s="298"/>
      <c r="Z1128" s="298"/>
      <c r="AA1128" s="281">
        <f t="shared" si="1292"/>
        <v>3051099928.4200001</v>
      </c>
      <c r="AB1128" s="403">
        <f t="shared" si="1293"/>
        <v>3051099928.4200001</v>
      </c>
      <c r="AC1128" s="326">
        <f t="shared" si="1287"/>
        <v>1</v>
      </c>
    </row>
    <row r="1129" spans="1:29" s="19" customFormat="1" hidden="1" x14ac:dyDescent="0.2">
      <c r="A1129" s="422"/>
      <c r="B1129" s="371" t="s">
        <v>1122</v>
      </c>
      <c r="C1129" s="372" t="s">
        <v>610</v>
      </c>
      <c r="D1129" s="373"/>
      <c r="E1129" s="325">
        <f>SUM('ADICIONES  2021'!C1129:N1129)</f>
        <v>0</v>
      </c>
      <c r="F1129" s="298"/>
      <c r="G1129" s="298"/>
      <c r="H1129" s="298"/>
      <c r="I1129" s="298"/>
      <c r="J1129" s="298"/>
      <c r="K1129" s="281">
        <f t="shared" si="1284"/>
        <v>0</v>
      </c>
      <c r="L1129" s="298"/>
      <c r="M1129" s="298"/>
      <c r="N1129" s="298"/>
      <c r="O1129" s="298"/>
      <c r="P1129" s="298"/>
      <c r="Q1129" s="298"/>
      <c r="R1129" s="281">
        <f t="shared" si="1290"/>
        <v>0</v>
      </c>
      <c r="S1129" s="298"/>
      <c r="T1129" s="298"/>
      <c r="U1129" s="298"/>
      <c r="V1129" s="298"/>
      <c r="W1129" s="298"/>
      <c r="X1129" s="298"/>
      <c r="Y1129" s="298"/>
      <c r="Z1129" s="298"/>
      <c r="AA1129" s="281">
        <f t="shared" ref="AA1129:AA1132" si="1312">SUM(S1129:Z1129)</f>
        <v>0</v>
      </c>
      <c r="AB1129" s="403">
        <f t="shared" si="1293"/>
        <v>0</v>
      </c>
      <c r="AC1129" s="326" t="e">
        <f t="shared" si="1287"/>
        <v>#DIV/0!</v>
      </c>
    </row>
    <row r="1130" spans="1:29" s="19" customFormat="1" hidden="1" x14ac:dyDescent="0.2">
      <c r="A1130" s="422"/>
      <c r="B1130" s="371" t="s">
        <v>1123</v>
      </c>
      <c r="C1130" s="372" t="s">
        <v>1124</v>
      </c>
      <c r="D1130" s="373">
        <v>0</v>
      </c>
      <c r="E1130" s="325">
        <f>SUM('ADICIONES  2021'!C1130:N1130)</f>
        <v>0</v>
      </c>
      <c r="F1130" s="298"/>
      <c r="G1130" s="298"/>
      <c r="H1130" s="298"/>
      <c r="I1130" s="298"/>
      <c r="J1130" s="298"/>
      <c r="K1130" s="281">
        <f t="shared" si="1284"/>
        <v>0</v>
      </c>
      <c r="L1130" s="298"/>
      <c r="M1130" s="298"/>
      <c r="N1130" s="298"/>
      <c r="O1130" s="298"/>
      <c r="P1130" s="298"/>
      <c r="Q1130" s="298"/>
      <c r="R1130" s="281">
        <f t="shared" si="1290"/>
        <v>0</v>
      </c>
      <c r="S1130" s="298"/>
      <c r="T1130" s="298"/>
      <c r="U1130" s="298"/>
      <c r="V1130" s="298"/>
      <c r="W1130" s="298"/>
      <c r="X1130" s="298"/>
      <c r="Y1130" s="298"/>
      <c r="Z1130" s="298"/>
      <c r="AA1130" s="281">
        <f t="shared" si="1312"/>
        <v>0</v>
      </c>
      <c r="AB1130" s="403">
        <f t="shared" si="1293"/>
        <v>0</v>
      </c>
      <c r="AC1130" s="326" t="e">
        <f t="shared" si="1287"/>
        <v>#DIV/0!</v>
      </c>
    </row>
    <row r="1131" spans="1:29" s="19" customFormat="1" x14ac:dyDescent="0.2">
      <c r="A1131" s="422"/>
      <c r="B1131" s="371" t="s">
        <v>824</v>
      </c>
      <c r="C1131" s="372" t="s">
        <v>1878</v>
      </c>
      <c r="D1131" s="373"/>
      <c r="E1131" s="325">
        <f>SUM('ADICIONES  2021'!C1131:N1131)</f>
        <v>351637764</v>
      </c>
      <c r="F1131" s="298"/>
      <c r="G1131" s="298"/>
      <c r="H1131" s="298"/>
      <c r="I1131" s="298"/>
      <c r="J1131" s="298"/>
      <c r="K1131" s="281">
        <f t="shared" si="1284"/>
        <v>351637764</v>
      </c>
      <c r="L1131" s="298"/>
      <c r="M1131" s="298"/>
      <c r="N1131" s="298"/>
      <c r="O1131" s="298"/>
      <c r="P1131" s="298"/>
      <c r="Q1131" s="298"/>
      <c r="R1131" s="281">
        <f t="shared" si="1290"/>
        <v>0</v>
      </c>
      <c r="S1131" s="298"/>
      <c r="T1131" s="298">
        <v>351637764</v>
      </c>
      <c r="U1131" s="298"/>
      <c r="V1131" s="298"/>
      <c r="W1131" s="298"/>
      <c r="X1131" s="298"/>
      <c r="Y1131" s="298"/>
      <c r="Z1131" s="298"/>
      <c r="AA1131" s="281">
        <f t="shared" si="1312"/>
        <v>351637764</v>
      </c>
      <c r="AB1131" s="403">
        <f t="shared" si="1293"/>
        <v>351637764</v>
      </c>
      <c r="AC1131" s="326">
        <f t="shared" si="1287"/>
        <v>1</v>
      </c>
    </row>
    <row r="1132" spans="1:29" s="104" customFormat="1" x14ac:dyDescent="0.2">
      <c r="A1132" s="383">
        <v>1</v>
      </c>
      <c r="B1132" s="368" t="s">
        <v>849</v>
      </c>
      <c r="C1132" s="369" t="s">
        <v>850</v>
      </c>
      <c r="D1132" s="370">
        <f>+D1133+D1134</f>
        <v>500000000</v>
      </c>
      <c r="E1132" s="322">
        <f>SUM('ADICIONES  2021'!C1132:N1132)</f>
        <v>1166503829</v>
      </c>
      <c r="F1132" s="297">
        <f t="shared" ref="F1132:J1132" si="1313">+F1133+F1134</f>
        <v>0</v>
      </c>
      <c r="G1132" s="297">
        <f t="shared" si="1313"/>
        <v>0</v>
      </c>
      <c r="H1132" s="297">
        <f t="shared" si="1313"/>
        <v>0</v>
      </c>
      <c r="I1132" s="297">
        <f t="shared" si="1313"/>
        <v>0</v>
      </c>
      <c r="J1132" s="297">
        <f t="shared" si="1313"/>
        <v>0</v>
      </c>
      <c r="K1132" s="276">
        <f t="shared" si="1284"/>
        <v>1666503829</v>
      </c>
      <c r="L1132" s="297">
        <f t="shared" ref="L1132:Q1132" si="1314">+L1133+L1134</f>
        <v>25740864</v>
      </c>
      <c r="M1132" s="297">
        <f t="shared" si="1314"/>
        <v>5664002</v>
      </c>
      <c r="N1132" s="297">
        <f t="shared" si="1314"/>
        <v>1412680</v>
      </c>
      <c r="O1132" s="297">
        <f t="shared" si="1314"/>
        <v>320536292</v>
      </c>
      <c r="P1132" s="297">
        <f t="shared" si="1314"/>
        <v>435023088.92000002</v>
      </c>
      <c r="Q1132" s="297">
        <f t="shared" si="1314"/>
        <v>813385073</v>
      </c>
      <c r="R1132" s="285">
        <f>SUM(L1132:Q1132)</f>
        <v>1601761999.9200001</v>
      </c>
      <c r="S1132" s="297">
        <f t="shared" ref="S1132:Z1132" si="1315">+S1133+S1134</f>
        <v>14111723</v>
      </c>
      <c r="T1132" s="297">
        <f t="shared" si="1315"/>
        <v>20319686.550000001</v>
      </c>
      <c r="U1132" s="297">
        <f t="shared" si="1315"/>
        <v>30310420</v>
      </c>
      <c r="V1132" s="297">
        <f t="shared" si="1315"/>
        <v>51782220</v>
      </c>
      <c r="W1132" s="297">
        <f t="shared" si="1315"/>
        <v>75609200</v>
      </c>
      <c r="X1132" s="297">
        <f t="shared" si="1315"/>
        <v>13436371</v>
      </c>
      <c r="Y1132" s="297">
        <f t="shared" si="1315"/>
        <v>0</v>
      </c>
      <c r="Z1132" s="297">
        <f t="shared" si="1315"/>
        <v>0</v>
      </c>
      <c r="AA1132" s="285">
        <f t="shared" si="1312"/>
        <v>205569620.55000001</v>
      </c>
      <c r="AB1132" s="407">
        <f t="shared" si="1293"/>
        <v>1807331620.47</v>
      </c>
      <c r="AC1132" s="321">
        <f t="shared" si="1287"/>
        <v>1.0845049312334945</v>
      </c>
    </row>
    <row r="1133" spans="1:29" thickBot="1" x14ac:dyDescent="0.25">
      <c r="B1133" s="371" t="s">
        <v>851</v>
      </c>
      <c r="C1133" s="372" t="s">
        <v>852</v>
      </c>
      <c r="D1133" s="373">
        <v>500000000</v>
      </c>
      <c r="E1133" s="325">
        <f>SUM('ADICIONES  2021'!C1133:N1133)</f>
        <v>1166503829</v>
      </c>
      <c r="F1133" s="298"/>
      <c r="G1133" s="298"/>
      <c r="H1133" s="298"/>
      <c r="I1133" s="298"/>
      <c r="J1133" s="298"/>
      <c r="K1133" s="281">
        <f t="shared" si="1284"/>
        <v>1666503829</v>
      </c>
      <c r="L1133" s="298">
        <v>25740864</v>
      </c>
      <c r="M1133" s="298">
        <v>5664002</v>
      </c>
      <c r="N1133" s="298">
        <v>1412680</v>
      </c>
      <c r="O1133" s="298">
        <v>320536292</v>
      </c>
      <c r="P1133" s="298">
        <v>435023088.92000002</v>
      </c>
      <c r="Q1133" s="298">
        <v>813385073</v>
      </c>
      <c r="R1133" s="281">
        <f t="shared" si="1290"/>
        <v>1601761999.9200001</v>
      </c>
      <c r="S1133" s="298">
        <v>14111723</v>
      </c>
      <c r="T1133" s="298">
        <v>20319686.550000001</v>
      </c>
      <c r="U1133" s="298">
        <v>30310420</v>
      </c>
      <c r="V1133" s="298">
        <v>51782220</v>
      </c>
      <c r="W1133" s="298">
        <v>75609200</v>
      </c>
      <c r="X1133" s="298">
        <v>13436371</v>
      </c>
      <c r="Y1133" s="298"/>
      <c r="Z1133" s="298"/>
      <c r="AA1133" s="281">
        <f t="shared" si="1292"/>
        <v>205569620.55000001</v>
      </c>
      <c r="AB1133" s="403">
        <f t="shared" si="1293"/>
        <v>1807331620.47</v>
      </c>
      <c r="AC1133" s="326">
        <f t="shared" si="1287"/>
        <v>1.0845049312334945</v>
      </c>
    </row>
    <row r="1134" spans="1:29" hidden="1" thickBot="1" x14ac:dyDescent="0.25">
      <c r="B1134" s="374" t="s">
        <v>1125</v>
      </c>
      <c r="C1134" s="375" t="s">
        <v>1126</v>
      </c>
      <c r="D1134" s="376">
        <v>0</v>
      </c>
      <c r="E1134" s="325">
        <f>SUM('ADICIONES  2021'!C1134:N1134)</f>
        <v>0</v>
      </c>
      <c r="F1134" s="299"/>
      <c r="G1134" s="299"/>
      <c r="H1134" s="299"/>
      <c r="I1134" s="299"/>
      <c r="J1134" s="299"/>
      <c r="K1134" s="286">
        <f t="shared" si="1284"/>
        <v>0</v>
      </c>
      <c r="L1134" s="299">
        <v>0</v>
      </c>
      <c r="M1134" s="299">
        <v>0</v>
      </c>
      <c r="N1134" s="299"/>
      <c r="O1134" s="299"/>
      <c r="P1134" s="299"/>
      <c r="Q1134" s="299"/>
      <c r="R1134" s="286">
        <f t="shared" si="1290"/>
        <v>0</v>
      </c>
      <c r="S1134" s="299"/>
      <c r="T1134" s="299"/>
      <c r="U1134" s="299"/>
      <c r="V1134" s="299"/>
      <c r="W1134" s="299"/>
      <c r="X1134" s="299"/>
      <c r="Y1134" s="299"/>
      <c r="Z1134" s="299"/>
      <c r="AA1134" s="286">
        <f t="shared" si="1292"/>
        <v>0</v>
      </c>
      <c r="AB1134" s="404">
        <f t="shared" si="1293"/>
        <v>0</v>
      </c>
      <c r="AC1134" s="347" t="e">
        <f t="shared" si="1287"/>
        <v>#DIV/0!</v>
      </c>
    </row>
    <row r="1135" spans="1:29" s="381" customFormat="1" ht="19.5" thickBot="1" x14ac:dyDescent="0.25">
      <c r="A1135" s="161">
        <v>1</v>
      </c>
      <c r="B1135" s="468" t="s">
        <v>25</v>
      </c>
      <c r="C1135" s="469"/>
      <c r="D1135" s="377">
        <f t="shared" ref="D1135:AB1135" si="1316">+D1111</f>
        <v>629043594392</v>
      </c>
      <c r="E1135" s="378">
        <f t="shared" si="1316"/>
        <v>4569241521.4200001</v>
      </c>
      <c r="F1135" s="379">
        <f t="shared" si="1316"/>
        <v>15659810311</v>
      </c>
      <c r="G1135" s="379">
        <f t="shared" si="1316"/>
        <v>0</v>
      </c>
      <c r="H1135" s="379">
        <f t="shared" si="1316"/>
        <v>0</v>
      </c>
      <c r="I1135" s="379">
        <f t="shared" si="1316"/>
        <v>193347367060</v>
      </c>
      <c r="J1135" s="379">
        <f t="shared" si="1316"/>
        <v>193347367060</v>
      </c>
      <c r="K1135" s="379">
        <f t="shared" si="1316"/>
        <v>617953025602.42004</v>
      </c>
      <c r="L1135" s="379">
        <f t="shared" si="1316"/>
        <v>54948368576</v>
      </c>
      <c r="M1135" s="379">
        <f t="shared" si="1316"/>
        <v>44277029266</v>
      </c>
      <c r="N1135" s="379">
        <f t="shared" si="1316"/>
        <v>43852207389</v>
      </c>
      <c r="O1135" s="379">
        <f t="shared" si="1316"/>
        <v>42768251549</v>
      </c>
      <c r="P1135" s="379">
        <f t="shared" si="1316"/>
        <v>43417649059.919998</v>
      </c>
      <c r="Q1135" s="379">
        <f t="shared" si="1316"/>
        <v>43638832675</v>
      </c>
      <c r="R1135" s="379">
        <f t="shared" si="1316"/>
        <v>272902338514.91998</v>
      </c>
      <c r="S1135" s="379">
        <f t="shared" si="1316"/>
        <v>61706391253</v>
      </c>
      <c r="T1135" s="379">
        <f t="shared" si="1316"/>
        <v>59155487863.550003</v>
      </c>
      <c r="U1135" s="379">
        <f t="shared" si="1316"/>
        <v>46515462330</v>
      </c>
      <c r="V1135" s="379">
        <f t="shared" si="1316"/>
        <v>47206370250</v>
      </c>
      <c r="W1135" s="379">
        <f t="shared" si="1316"/>
        <v>80573493413</v>
      </c>
      <c r="X1135" s="379">
        <f t="shared" si="1316"/>
        <v>50036559580.419998</v>
      </c>
      <c r="Y1135" s="379">
        <f t="shared" si="1316"/>
        <v>0</v>
      </c>
      <c r="Z1135" s="379">
        <f t="shared" si="1316"/>
        <v>0</v>
      </c>
      <c r="AA1135" s="379">
        <f t="shared" si="1316"/>
        <v>345193764689.96997</v>
      </c>
      <c r="AB1135" s="405">
        <f t="shared" si="1316"/>
        <v>618096103204.88989</v>
      </c>
      <c r="AC1135" s="380">
        <f t="shared" ref="AC1135" si="1317">AB1135/K1135</f>
        <v>1.0002315347551383</v>
      </c>
    </row>
    <row r="1136" spans="1:29" s="160" customFormat="1" ht="19.5" thickBot="1" x14ac:dyDescent="0.25">
      <c r="A1136" s="161">
        <v>1</v>
      </c>
      <c r="B1136" s="468" t="s">
        <v>48</v>
      </c>
      <c r="C1136" s="469"/>
      <c r="D1136" s="377">
        <f t="shared" ref="D1136:AB1136" si="1318">+D817+D1104+D1135</f>
        <v>1466251362966.8999</v>
      </c>
      <c r="E1136" s="378">
        <f t="shared" si="1318"/>
        <v>690572938955.89001</v>
      </c>
      <c r="F1136" s="379">
        <f t="shared" si="1318"/>
        <v>20677598166.68</v>
      </c>
      <c r="G1136" s="379">
        <f t="shared" si="1318"/>
        <v>5039016590.2200003</v>
      </c>
      <c r="H1136" s="379">
        <f t="shared" si="1318"/>
        <v>5039016590.2200003</v>
      </c>
      <c r="I1136" s="379">
        <f t="shared" si="1318"/>
        <v>193347367060</v>
      </c>
      <c r="J1136" s="379">
        <f t="shared" si="1318"/>
        <v>193347367060</v>
      </c>
      <c r="K1136" s="379">
        <f t="shared" si="1318"/>
        <v>2136146703756.1099</v>
      </c>
      <c r="L1136" s="379">
        <f t="shared" si="1318"/>
        <v>132147037229.61</v>
      </c>
      <c r="M1136" s="379">
        <f t="shared" si="1318"/>
        <v>111894893942.41</v>
      </c>
      <c r="N1136" s="379">
        <f t="shared" si="1318"/>
        <v>129577056909.12999</v>
      </c>
      <c r="O1136" s="379">
        <f t="shared" si="1318"/>
        <v>107801406488.88</v>
      </c>
      <c r="P1136" s="379">
        <f t="shared" si="1318"/>
        <v>303117694443.79999</v>
      </c>
      <c r="Q1136" s="379">
        <f t="shared" si="1318"/>
        <v>121865854546.29999</v>
      </c>
      <c r="R1136" s="379">
        <f t="shared" si="1318"/>
        <v>906403943560.12988</v>
      </c>
      <c r="S1136" s="379">
        <f t="shared" si="1318"/>
        <v>205740158385.61002</v>
      </c>
      <c r="T1136" s="379">
        <f t="shared" si="1318"/>
        <v>135560573162.28999</v>
      </c>
      <c r="U1136" s="379">
        <f t="shared" si="1318"/>
        <v>149786256962.70999</v>
      </c>
      <c r="V1136" s="379">
        <f t="shared" si="1318"/>
        <v>104597898939.83</v>
      </c>
      <c r="W1136" s="379">
        <f t="shared" si="1318"/>
        <v>189923041555.97998</v>
      </c>
      <c r="X1136" s="379">
        <f t="shared" si="1318"/>
        <v>251888052284.17999</v>
      </c>
      <c r="Y1136" s="379">
        <f t="shared" si="1318"/>
        <v>-255098239.14571476</v>
      </c>
      <c r="Z1136" s="379">
        <f t="shared" si="1318"/>
        <v>0</v>
      </c>
      <c r="AA1136" s="379">
        <f t="shared" si="1318"/>
        <v>1037240883051.4542</v>
      </c>
      <c r="AB1136" s="405">
        <f t="shared" si="1318"/>
        <v>1943644826611.5842</v>
      </c>
      <c r="AC1136" s="382">
        <f>AB1136/K1136</f>
        <v>0.90988358767399335</v>
      </c>
    </row>
    <row r="1137" spans="1:29" x14ac:dyDescent="0.2">
      <c r="A1137" s="96">
        <v>1</v>
      </c>
      <c r="B1137" s="449" t="s">
        <v>1841</v>
      </c>
      <c r="C1137" s="449"/>
      <c r="D1137" s="449"/>
      <c r="E1137" s="449"/>
      <c r="F1137" s="449"/>
      <c r="G1137" s="449"/>
      <c r="H1137" s="449"/>
      <c r="I1137" s="449"/>
      <c r="J1137" s="449"/>
      <c r="K1137" s="449"/>
      <c r="L1137" s="449"/>
      <c r="M1137" s="449"/>
      <c r="N1137" s="449"/>
      <c r="O1137" s="449"/>
      <c r="P1137" s="449"/>
      <c r="Q1137" s="449"/>
      <c r="R1137" s="449"/>
      <c r="S1137" s="449"/>
      <c r="T1137" s="449"/>
      <c r="U1137" s="449"/>
      <c r="V1137" s="449"/>
      <c r="W1137" s="449"/>
      <c r="X1137" s="449"/>
      <c r="Y1137" s="449"/>
      <c r="Z1137" s="449"/>
      <c r="AA1137" s="449"/>
      <c r="AB1137" s="449"/>
      <c r="AC1137" s="449"/>
    </row>
    <row r="1138" spans="1:29" x14ac:dyDescent="0.2">
      <c r="A1138" s="96">
        <v>1</v>
      </c>
      <c r="B1138" s="201"/>
      <c r="C1138" s="112"/>
      <c r="D1138" s="24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05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411"/>
      <c r="AC1138" s="112"/>
    </row>
    <row r="1139" spans="1:29" x14ac:dyDescent="0.2">
      <c r="A1139" s="96"/>
      <c r="B1139" s="194"/>
      <c r="C1139" s="195"/>
      <c r="D1139" s="243"/>
      <c r="E1139" s="243"/>
      <c r="F1139" s="243"/>
      <c r="G1139" s="243"/>
      <c r="H1139" s="243"/>
      <c r="I1139" s="243"/>
      <c r="J1139" s="243"/>
      <c r="K1139" s="243"/>
      <c r="L1139" s="140"/>
      <c r="M1139" s="140"/>
      <c r="N1139" s="140"/>
      <c r="O1139" s="140"/>
      <c r="P1139" s="140"/>
      <c r="Q1139" s="30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412"/>
      <c r="AC1139" s="164"/>
    </row>
    <row r="1140" spans="1:29" x14ac:dyDescent="0.2">
      <c r="A1140" s="96"/>
      <c r="B1140" s="194"/>
      <c r="C1140" s="195"/>
      <c r="D1140" s="244"/>
      <c r="E1140" s="244"/>
      <c r="F1140" s="244"/>
      <c r="G1140" s="244"/>
      <c r="H1140" s="244"/>
      <c r="I1140" s="244"/>
      <c r="J1140" s="244"/>
      <c r="K1140" s="244"/>
      <c r="L1140" s="140"/>
      <c r="M1140" s="140"/>
      <c r="N1140" s="140"/>
      <c r="O1140" s="140"/>
      <c r="P1140" s="140"/>
      <c r="Q1140" s="30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412"/>
      <c r="AC1140" s="164"/>
    </row>
    <row r="1141" spans="1:29" x14ac:dyDescent="0.2">
      <c r="A1141" s="96">
        <v>1</v>
      </c>
      <c r="C1141" s="38"/>
      <c r="E1141" s="142"/>
      <c r="F1141" s="142"/>
      <c r="G1141" s="142"/>
      <c r="H1141" s="142"/>
      <c r="I1141" s="142"/>
      <c r="J1141" s="142"/>
      <c r="K1141" s="142"/>
    </row>
    <row r="1142" spans="1:29" ht="15.75" x14ac:dyDescent="0.2">
      <c r="A1142" s="96">
        <v>1</v>
      </c>
      <c r="B1142" s="442" t="s">
        <v>53</v>
      </c>
      <c r="C1142" s="442"/>
      <c r="D1142" s="442"/>
      <c r="E1142" s="442"/>
      <c r="F1142" s="442"/>
      <c r="G1142" s="442"/>
      <c r="H1142" s="442"/>
      <c r="I1142" s="442"/>
      <c r="J1142" s="442"/>
      <c r="K1142" s="442"/>
      <c r="L1142" s="442"/>
      <c r="M1142" s="442"/>
      <c r="N1142" s="442"/>
      <c r="O1142" s="442"/>
      <c r="P1142" s="442"/>
      <c r="Q1142" s="442"/>
      <c r="R1142" s="442"/>
      <c r="S1142" s="442"/>
      <c r="T1142" s="442"/>
      <c r="U1142" s="442"/>
      <c r="V1142" s="442"/>
      <c r="W1142" s="442"/>
      <c r="X1142" s="442"/>
      <c r="Y1142" s="442"/>
      <c r="Z1142" s="442"/>
      <c r="AA1142" s="442"/>
      <c r="AB1142" s="442"/>
      <c r="AC1142" s="442"/>
    </row>
    <row r="1143" spans="1:29" x14ac:dyDescent="0.2">
      <c r="A1143" s="96">
        <v>1</v>
      </c>
      <c r="B1143" s="441" t="s">
        <v>83</v>
      </c>
      <c r="C1143" s="441"/>
      <c r="D1143" s="441"/>
      <c r="E1143" s="441"/>
      <c r="F1143" s="441"/>
      <c r="G1143" s="441"/>
      <c r="H1143" s="441"/>
      <c r="I1143" s="441"/>
      <c r="J1143" s="441"/>
      <c r="K1143" s="441"/>
      <c r="L1143" s="441"/>
      <c r="M1143" s="441"/>
      <c r="N1143" s="441"/>
      <c r="O1143" s="441"/>
      <c r="P1143" s="441"/>
      <c r="Q1143" s="441"/>
      <c r="R1143" s="441"/>
      <c r="S1143" s="441"/>
      <c r="T1143" s="441"/>
      <c r="U1143" s="441"/>
      <c r="V1143" s="441"/>
      <c r="W1143" s="441"/>
      <c r="X1143" s="441"/>
      <c r="Y1143" s="441"/>
      <c r="Z1143" s="441"/>
      <c r="AA1143" s="441"/>
      <c r="AB1143" s="441"/>
      <c r="AC1143" s="441"/>
    </row>
    <row r="1144" spans="1:29" ht="15.75" x14ac:dyDescent="0.2">
      <c r="D1144" s="398"/>
      <c r="E1144" s="398"/>
      <c r="F1144" s="398"/>
      <c r="G1144" s="398"/>
      <c r="H1144" s="398"/>
      <c r="I1144" s="398"/>
      <c r="J1144" s="398"/>
      <c r="K1144" s="398"/>
      <c r="L1144" s="398"/>
      <c r="M1144" s="398"/>
      <c r="N1144" s="398"/>
      <c r="O1144" s="398"/>
      <c r="P1144" s="398"/>
      <c r="Q1144" s="398"/>
      <c r="R1144" s="398"/>
      <c r="S1144" s="398"/>
      <c r="T1144" s="398"/>
      <c r="U1144" s="398"/>
      <c r="V1144" s="398"/>
      <c r="W1144" s="398"/>
      <c r="X1144" s="398"/>
      <c r="Y1144" s="398"/>
      <c r="Z1144" s="398"/>
      <c r="AA1144" s="398"/>
      <c r="AB1144" s="413"/>
      <c r="AC1144" s="398"/>
    </row>
    <row r="1145" spans="1:29" x14ac:dyDescent="0.2">
      <c r="E1145" s="170"/>
      <c r="F1145" s="142"/>
      <c r="G1145" s="142"/>
      <c r="H1145" s="142"/>
    </row>
    <row r="1146" spans="1:29" x14ac:dyDescent="0.2">
      <c r="E1146" s="170"/>
      <c r="F1146" s="142"/>
      <c r="G1146" s="142"/>
      <c r="H1146" s="142"/>
      <c r="I1146" s="142"/>
      <c r="J1146" s="142"/>
      <c r="K1146" s="142"/>
      <c r="L1146" s="142"/>
      <c r="M1146" s="142"/>
      <c r="N1146" s="142"/>
      <c r="O1146" s="142"/>
      <c r="P1146" s="142"/>
      <c r="R1146" s="142"/>
    </row>
    <row r="1147" spans="1:29" x14ac:dyDescent="0.2">
      <c r="E1147" s="170"/>
      <c r="F1147" s="142"/>
      <c r="G1147" s="142"/>
      <c r="H1147" s="142"/>
    </row>
    <row r="1148" spans="1:29" x14ac:dyDescent="0.2">
      <c r="D1148" s="416"/>
      <c r="E1148" s="142"/>
      <c r="F1148" s="142"/>
      <c r="G1148" s="142"/>
      <c r="H1148" s="142"/>
      <c r="I1148" s="142"/>
      <c r="J1148" s="142"/>
      <c r="K1148" s="142"/>
    </row>
    <row r="1149" spans="1:29" x14ac:dyDescent="0.2">
      <c r="D1149" s="416"/>
      <c r="M1149" s="417">
        <v>140643054000</v>
      </c>
      <c r="N1149" s="132"/>
    </row>
    <row r="1150" spans="1:29" x14ac:dyDescent="0.2">
      <c r="D1150" s="416"/>
      <c r="K1150" s="399"/>
      <c r="L1150" s="414" t="e">
        <f>+K1150/K1156</f>
        <v>#DIV/0!</v>
      </c>
      <c r="M1150" s="399" t="e">
        <f>+M1149*L1150+915801599.19</f>
        <v>#DIV/0!</v>
      </c>
      <c r="N1150" s="418" t="e">
        <f>+M1150/M1149</f>
        <v>#DIV/0!</v>
      </c>
      <c r="O1150" s="399" t="e">
        <f>+N1150*M1149</f>
        <v>#DIV/0!</v>
      </c>
      <c r="Q1150" s="415"/>
    </row>
    <row r="1151" spans="1:29" x14ac:dyDescent="0.2">
      <c r="D1151" s="416"/>
      <c r="K1151" s="399"/>
      <c r="L1151" s="414" t="e">
        <f>+K1151/K1156</f>
        <v>#DIV/0!</v>
      </c>
      <c r="M1151" s="399" t="e">
        <f>+M1149*L1151</f>
        <v>#DIV/0!</v>
      </c>
      <c r="N1151" s="418" t="e">
        <f>+M1151/M1149</f>
        <v>#DIV/0!</v>
      </c>
      <c r="O1151" s="399" t="e">
        <f>+N1151*M1149</f>
        <v>#DIV/0!</v>
      </c>
      <c r="Q1151" s="415"/>
    </row>
    <row r="1152" spans="1:29" x14ac:dyDescent="0.2">
      <c r="D1152" s="416"/>
      <c r="K1152" s="399"/>
      <c r="L1152" s="414" t="e">
        <f>+K1152/K1156</f>
        <v>#DIV/0!</v>
      </c>
      <c r="M1152" s="399" t="e">
        <f>+M1149*L1152</f>
        <v>#DIV/0!</v>
      </c>
      <c r="N1152" s="418" t="e">
        <f>+M1152/M1149</f>
        <v>#DIV/0!</v>
      </c>
      <c r="O1152" s="399" t="e">
        <f>+N1152*M1149</f>
        <v>#DIV/0!</v>
      </c>
      <c r="Q1152" s="415"/>
    </row>
    <row r="1153" spans="1:29" s="120" customFormat="1" x14ac:dyDescent="0.2">
      <c r="A1153" s="420"/>
      <c r="B1153" s="20"/>
      <c r="C1153" s="1"/>
      <c r="D1153" s="416"/>
      <c r="E1153" s="169"/>
      <c r="F1153" s="121"/>
      <c r="G1153" s="132"/>
      <c r="H1153" s="132"/>
      <c r="I1153" s="121"/>
      <c r="J1153" s="121"/>
      <c r="K1153" s="399"/>
      <c r="L1153" s="414" t="e">
        <f>+K1153/K1156</f>
        <v>#DIV/0!</v>
      </c>
      <c r="M1153" s="399" t="e">
        <f>+M1149*L1153</f>
        <v>#DIV/0!</v>
      </c>
      <c r="N1153" s="418" t="e">
        <f>+M1153/M1149</f>
        <v>#DIV/0!</v>
      </c>
      <c r="O1153" s="399" t="e">
        <f>+N1153*M1149</f>
        <v>#DIV/0!</v>
      </c>
      <c r="P1153" s="121"/>
      <c r="Q1153" s="415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399"/>
      <c r="AC1153" s="162"/>
    </row>
    <row r="1154" spans="1:29" x14ac:dyDescent="0.2">
      <c r="D1154" s="416"/>
      <c r="K1154" s="399"/>
      <c r="L1154" s="414" t="e">
        <f>+K1154/K1156</f>
        <v>#DIV/0!</v>
      </c>
      <c r="M1154" s="399" t="e">
        <f>+L1154*M1149</f>
        <v>#DIV/0!</v>
      </c>
      <c r="N1154" s="418" t="e">
        <f>+M1154/M1149</f>
        <v>#DIV/0!</v>
      </c>
      <c r="O1154" s="399" t="e">
        <f>+N1154*M1149</f>
        <v>#DIV/0!</v>
      </c>
      <c r="Q1154" s="415"/>
    </row>
    <row r="1155" spans="1:29" x14ac:dyDescent="0.2">
      <c r="D1155" s="416"/>
      <c r="K1155" s="399"/>
      <c r="L1155" s="414" t="e">
        <f>+K1155/K1156</f>
        <v>#DIV/0!</v>
      </c>
      <c r="M1155" s="399">
        <f>+K1155</f>
        <v>0</v>
      </c>
      <c r="N1155" s="418">
        <f>+M1155/M1149</f>
        <v>0</v>
      </c>
      <c r="O1155" s="399">
        <f>+N1155*M1149</f>
        <v>0</v>
      </c>
      <c r="Q1155" s="415"/>
    </row>
    <row r="1156" spans="1:29" x14ac:dyDescent="0.2">
      <c r="D1156" s="416"/>
      <c r="K1156" s="417"/>
      <c r="L1156" s="414" t="e">
        <f>SUBTOTAL(9,L1150:L1155)</f>
        <v>#DIV/0!</v>
      </c>
      <c r="M1156" s="399" t="e">
        <f>SUBTOTAL(9,M1150:M1155)</f>
        <v>#DIV/0!</v>
      </c>
      <c r="N1156" s="418" t="e">
        <f>+M1156/M1149</f>
        <v>#DIV/0!</v>
      </c>
      <c r="O1156" s="399" t="e">
        <f>SUBTOTAL(9,O1150:O1155)</f>
        <v>#DIV/0!</v>
      </c>
      <c r="Q1156" s="415"/>
    </row>
    <row r="1157" spans="1:29" x14ac:dyDescent="0.2">
      <c r="M1157" s="399" t="e">
        <f>+M1149-M1156</f>
        <v>#DIV/0!</v>
      </c>
      <c r="N1157" s="418"/>
    </row>
    <row r="1158" spans="1:29" x14ac:dyDescent="0.2">
      <c r="M1158" s="399">
        <v>915801599.19000006</v>
      </c>
      <c r="N1158" s="418"/>
    </row>
    <row r="1159" spans="1:29" x14ac:dyDescent="0.2">
      <c r="M1159" s="399"/>
    </row>
    <row r="1160" spans="1:29" x14ac:dyDescent="0.2">
      <c r="M1160" s="399"/>
    </row>
  </sheetData>
  <autoFilter ref="A9:AC9"/>
  <mergeCells count="40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T9:T10"/>
    <mergeCell ref="U9:U10"/>
    <mergeCell ref="V9:V10"/>
    <mergeCell ref="K9:K10"/>
    <mergeCell ref="L9:L10"/>
    <mergeCell ref="M9:M10"/>
    <mergeCell ref="B1143:AC1143"/>
    <mergeCell ref="AC9:AC10"/>
    <mergeCell ref="B817:C817"/>
    <mergeCell ref="C819:D819"/>
    <mergeCell ref="B1104:C1104"/>
    <mergeCell ref="B1106:C1106"/>
    <mergeCell ref="B1108:C1108"/>
    <mergeCell ref="W9:W10"/>
    <mergeCell ref="X9:X10"/>
    <mergeCell ref="Y9:Y10"/>
    <mergeCell ref="Z9:Z10"/>
    <mergeCell ref="AA9:AA10"/>
    <mergeCell ref="AB9:AB10"/>
    <mergeCell ref="B1136:C1136"/>
    <mergeCell ref="B1137:AC1137"/>
    <mergeCell ref="B1142:AC1142"/>
    <mergeCell ref="Q9:Q10"/>
    <mergeCell ref="R9:R10"/>
    <mergeCell ref="S9:S10"/>
    <mergeCell ref="B1110:C1110"/>
    <mergeCell ref="B1135:C1135"/>
    <mergeCell ref="N9:N10"/>
    <mergeCell ref="O9:O10"/>
    <mergeCell ref="P9:P10"/>
  </mergeCells>
  <printOptions gridLines="1"/>
  <pageMargins left="1.2598425196850394" right="0" top="0.78740157480314965" bottom="1.4960629921259843" header="0.39370078740157483" footer="0.98425196850393704"/>
  <pageSetup paperSize="5" scale="41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DICIEMBRE  2021 - ELABORO: JOSE LUNA DURAN.
                                       FUENTE: DIRECCION TECNICA DE CONTABILIDAD &amp;C&amp;P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V1136"/>
  <sheetViews>
    <sheetView topLeftCell="A10" zoomScale="85" zoomScaleNormal="85" workbookViewId="0">
      <pane xSplit="2" ySplit="1" topLeftCell="C11" activePane="bottomRight" state="frozen"/>
      <selection activeCell="A10" sqref="A10"/>
      <selection pane="topRight" activeCell="C10" sqref="C10"/>
      <selection pane="bottomLeft" activeCell="A11" sqref="A11"/>
      <selection pane="bottomRight" activeCell="C336" sqref="C336"/>
    </sheetView>
  </sheetViews>
  <sheetFormatPr baseColWidth="10" defaultColWidth="11.42578125" defaultRowHeight="12.75" x14ac:dyDescent="0.2"/>
  <cols>
    <col min="1" max="1" width="27.42578125" style="102" customWidth="1"/>
    <col min="2" max="2" width="37" style="100" bestFit="1" customWidth="1"/>
    <col min="3" max="3" width="23.28515625" style="40" bestFit="1" customWidth="1"/>
    <col min="4" max="4" width="23.5703125" style="40" customWidth="1"/>
    <col min="5" max="5" width="24.85546875" style="40" bestFit="1" customWidth="1"/>
    <col min="6" max="7" width="26.42578125" style="40" bestFit="1" customWidth="1"/>
    <col min="8" max="8" width="23.28515625" style="40" bestFit="1" customWidth="1"/>
    <col min="9" max="9" width="22.28515625" style="40" bestFit="1" customWidth="1"/>
    <col min="10" max="10" width="24.85546875" style="40" bestFit="1" customWidth="1"/>
    <col min="11" max="11" width="23.28515625" style="40" bestFit="1" customWidth="1"/>
    <col min="12" max="12" width="19.140625" style="40" bestFit="1" customWidth="1"/>
    <col min="13" max="13" width="23.28515625" style="40" bestFit="1" customWidth="1"/>
    <col min="14" max="14" width="24.85546875" style="40" bestFit="1" customWidth="1"/>
    <col min="15" max="15" width="24.140625" style="40" bestFit="1" customWidth="1"/>
    <col min="16" max="16" width="19.42578125" style="101" bestFit="1" customWidth="1"/>
    <col min="17" max="17" width="15.42578125" style="101" bestFit="1" customWidth="1"/>
    <col min="18" max="18" width="30.7109375" style="101" customWidth="1"/>
    <col min="19" max="19" width="16.7109375" style="101" bestFit="1" customWidth="1"/>
    <col min="20" max="74" width="3.28515625" style="101" customWidth="1"/>
    <col min="75" max="16384" width="11.42578125" style="100"/>
  </cols>
  <sheetData>
    <row r="1" spans="1:74" x14ac:dyDescent="0.2">
      <c r="A1" s="99"/>
    </row>
    <row r="4" spans="1:74" x14ac:dyDescent="0.2">
      <c r="B4" s="103"/>
    </row>
    <row r="5" spans="1:74" x14ac:dyDescent="0.2">
      <c r="B5" s="103"/>
    </row>
    <row r="6" spans="1:74" x14ac:dyDescent="0.2">
      <c r="B6" s="103"/>
    </row>
    <row r="9" spans="1:74" ht="13.5" thickBot="1" x14ac:dyDescent="0.25"/>
    <row r="10" spans="1:74" s="187" customFormat="1" ht="15.75" thickBot="1" x14ac:dyDescent="0.25">
      <c r="A10" s="249" t="s">
        <v>40</v>
      </c>
      <c r="B10" s="249" t="s">
        <v>0</v>
      </c>
      <c r="C10" s="250" t="s">
        <v>4</v>
      </c>
      <c r="D10" s="250" t="s">
        <v>5</v>
      </c>
      <c r="E10" s="250" t="s">
        <v>6</v>
      </c>
      <c r="F10" s="250" t="s">
        <v>7</v>
      </c>
      <c r="G10" s="250" t="s">
        <v>8</v>
      </c>
      <c r="H10" s="250" t="s">
        <v>9</v>
      </c>
      <c r="I10" s="250" t="s">
        <v>11</v>
      </c>
      <c r="J10" s="250" t="s">
        <v>12</v>
      </c>
      <c r="K10" s="250" t="s">
        <v>13</v>
      </c>
      <c r="L10" s="250" t="s">
        <v>14</v>
      </c>
      <c r="M10" s="250" t="s">
        <v>15</v>
      </c>
      <c r="N10" s="250" t="s">
        <v>16</v>
      </c>
      <c r="O10" s="251" t="s">
        <v>17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</row>
    <row r="11" spans="1:74" s="103" customFormat="1" ht="19.5" x14ac:dyDescent="0.2">
      <c r="A11" s="153" t="s">
        <v>381</v>
      </c>
      <c r="B11" s="154" t="s">
        <v>114</v>
      </c>
      <c r="C11" s="252">
        <f>+C12+C247</f>
        <v>5734052268</v>
      </c>
      <c r="D11" s="252">
        <f t="shared" ref="D11:N11" si="0">+D12+D247</f>
        <v>0</v>
      </c>
      <c r="E11" s="252">
        <f t="shared" si="0"/>
        <v>19694419247.690002</v>
      </c>
      <c r="F11" s="252">
        <f t="shared" si="0"/>
        <v>97517512149.100006</v>
      </c>
      <c r="G11" s="252">
        <f t="shared" si="0"/>
        <v>199258599192.16998</v>
      </c>
      <c r="H11" s="252">
        <f t="shared" si="0"/>
        <v>1837938193.73</v>
      </c>
      <c r="I11" s="252">
        <f t="shared" si="0"/>
        <v>353771970.91000003</v>
      </c>
      <c r="J11" s="252">
        <f t="shared" si="0"/>
        <v>20164604014</v>
      </c>
      <c r="K11" s="252">
        <f t="shared" si="0"/>
        <v>3430279960.5199995</v>
      </c>
      <c r="L11" s="252">
        <f t="shared" si="0"/>
        <v>0</v>
      </c>
      <c r="M11" s="252">
        <f t="shared" si="0"/>
        <v>5679055666.8199997</v>
      </c>
      <c r="N11" s="252">
        <f t="shared" si="0"/>
        <v>54095144626</v>
      </c>
      <c r="O11" s="149">
        <f>SUM(C11:N11)</f>
        <v>407765377288.93994</v>
      </c>
      <c r="P11" s="104">
        <v>273229606153.95999</v>
      </c>
      <c r="Q11" s="104">
        <f>+P11-O11</f>
        <v>-134535771134.97995</v>
      </c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</row>
    <row r="12" spans="1:74" s="103" customFormat="1" ht="19.5" x14ac:dyDescent="0.2">
      <c r="A12" s="151" t="s">
        <v>382</v>
      </c>
      <c r="B12" s="150" t="s">
        <v>84</v>
      </c>
      <c r="C12" s="188">
        <f t="shared" ref="C12:N12" si="1">+C13+C142</f>
        <v>0</v>
      </c>
      <c r="D12" s="188">
        <f t="shared" si="1"/>
        <v>0</v>
      </c>
      <c r="E12" s="188">
        <f t="shared" si="1"/>
        <v>0</v>
      </c>
      <c r="F12" s="188">
        <f t="shared" si="1"/>
        <v>0</v>
      </c>
      <c r="G12" s="188">
        <f t="shared" si="1"/>
        <v>0</v>
      </c>
      <c r="H12" s="188">
        <f t="shared" si="1"/>
        <v>0</v>
      </c>
      <c r="I12" s="188">
        <f t="shared" si="1"/>
        <v>0</v>
      </c>
      <c r="J12" s="188">
        <f t="shared" si="1"/>
        <v>9457060819</v>
      </c>
      <c r="K12" s="188">
        <f t="shared" si="1"/>
        <v>0</v>
      </c>
      <c r="L12" s="188">
        <f t="shared" si="1"/>
        <v>0</v>
      </c>
      <c r="M12" s="188">
        <f t="shared" si="1"/>
        <v>1506892011.03</v>
      </c>
      <c r="N12" s="188">
        <f t="shared" si="1"/>
        <v>34826400000</v>
      </c>
      <c r="O12" s="136">
        <f t="shared" ref="O12:O75" si="2">SUM(C12:N12)</f>
        <v>45790352830.029999</v>
      </c>
      <c r="P12" s="104">
        <v>0</v>
      </c>
      <c r="Q12" s="104">
        <f t="shared" ref="Q12:Q75" si="3">+P12-O12</f>
        <v>-45790352830.029999</v>
      </c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</row>
    <row r="13" spans="1:74" s="83" customFormat="1" ht="19.5" x14ac:dyDescent="0.2">
      <c r="A13" s="151" t="s">
        <v>383</v>
      </c>
      <c r="B13" s="150" t="s">
        <v>124</v>
      </c>
      <c r="C13" s="188">
        <f t="shared" ref="C13:N13" si="4">+C14+C30</f>
        <v>0</v>
      </c>
      <c r="D13" s="188">
        <f t="shared" si="4"/>
        <v>0</v>
      </c>
      <c r="E13" s="188">
        <f t="shared" si="4"/>
        <v>0</v>
      </c>
      <c r="F13" s="188">
        <f t="shared" si="4"/>
        <v>0</v>
      </c>
      <c r="G13" s="188">
        <f t="shared" si="4"/>
        <v>0</v>
      </c>
      <c r="H13" s="188">
        <f t="shared" si="4"/>
        <v>0</v>
      </c>
      <c r="I13" s="188">
        <f t="shared" si="4"/>
        <v>0</v>
      </c>
      <c r="J13" s="188">
        <f t="shared" si="4"/>
        <v>0</v>
      </c>
      <c r="K13" s="188">
        <f t="shared" si="4"/>
        <v>0</v>
      </c>
      <c r="L13" s="188">
        <f t="shared" si="4"/>
        <v>0</v>
      </c>
      <c r="M13" s="188">
        <f t="shared" si="4"/>
        <v>0</v>
      </c>
      <c r="N13" s="188">
        <f t="shared" si="4"/>
        <v>20426400000</v>
      </c>
      <c r="O13" s="136">
        <f t="shared" si="2"/>
        <v>20426400000</v>
      </c>
      <c r="P13" s="82">
        <v>0</v>
      </c>
      <c r="Q13" s="104">
        <f t="shared" si="3"/>
        <v>-20426400000</v>
      </c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</row>
    <row r="14" spans="1:74" s="83" customFormat="1" ht="19.5" x14ac:dyDescent="0.2">
      <c r="A14" s="77" t="s">
        <v>384</v>
      </c>
      <c r="B14" s="75" t="s">
        <v>385</v>
      </c>
      <c r="C14" s="188">
        <f t="shared" ref="C14:N14" si="5">+C15</f>
        <v>0</v>
      </c>
      <c r="D14" s="188">
        <f t="shared" si="5"/>
        <v>0</v>
      </c>
      <c r="E14" s="188">
        <f t="shared" si="5"/>
        <v>0</v>
      </c>
      <c r="F14" s="188">
        <f t="shared" si="5"/>
        <v>0</v>
      </c>
      <c r="G14" s="188">
        <f t="shared" si="5"/>
        <v>0</v>
      </c>
      <c r="H14" s="188">
        <f t="shared" si="5"/>
        <v>0</v>
      </c>
      <c r="I14" s="188">
        <f t="shared" si="5"/>
        <v>0</v>
      </c>
      <c r="J14" s="188">
        <f t="shared" si="5"/>
        <v>0</v>
      </c>
      <c r="K14" s="188">
        <f t="shared" si="5"/>
        <v>0</v>
      </c>
      <c r="L14" s="188">
        <f t="shared" si="5"/>
        <v>0</v>
      </c>
      <c r="M14" s="188">
        <f t="shared" si="5"/>
        <v>0</v>
      </c>
      <c r="N14" s="188">
        <f t="shared" si="5"/>
        <v>8000000000</v>
      </c>
      <c r="O14" s="136">
        <f t="shared" si="2"/>
        <v>8000000000</v>
      </c>
      <c r="P14" s="82">
        <v>0</v>
      </c>
      <c r="Q14" s="104">
        <f t="shared" si="3"/>
        <v>-8000000000</v>
      </c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</row>
    <row r="15" spans="1:74" s="83" customFormat="1" ht="31.5" x14ac:dyDescent="0.2">
      <c r="A15" s="77" t="s">
        <v>386</v>
      </c>
      <c r="B15" s="75" t="s">
        <v>168</v>
      </c>
      <c r="C15" s="188">
        <f t="shared" ref="C15:N15" si="6">+C16+C23</f>
        <v>0</v>
      </c>
      <c r="D15" s="188">
        <f t="shared" si="6"/>
        <v>0</v>
      </c>
      <c r="E15" s="188">
        <f t="shared" si="6"/>
        <v>0</v>
      </c>
      <c r="F15" s="188">
        <f t="shared" si="6"/>
        <v>0</v>
      </c>
      <c r="G15" s="188">
        <f t="shared" si="6"/>
        <v>0</v>
      </c>
      <c r="H15" s="188">
        <f t="shared" si="6"/>
        <v>0</v>
      </c>
      <c r="I15" s="188">
        <f t="shared" si="6"/>
        <v>0</v>
      </c>
      <c r="J15" s="188">
        <f t="shared" si="6"/>
        <v>0</v>
      </c>
      <c r="K15" s="188">
        <f t="shared" si="6"/>
        <v>0</v>
      </c>
      <c r="L15" s="188">
        <f t="shared" si="6"/>
        <v>0</v>
      </c>
      <c r="M15" s="188">
        <f t="shared" si="6"/>
        <v>0</v>
      </c>
      <c r="N15" s="188">
        <f t="shared" si="6"/>
        <v>8000000000</v>
      </c>
      <c r="O15" s="136">
        <f t="shared" si="2"/>
        <v>8000000000</v>
      </c>
      <c r="P15" s="82">
        <v>0</v>
      </c>
      <c r="Q15" s="104">
        <f t="shared" si="3"/>
        <v>-8000000000</v>
      </c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</row>
    <row r="16" spans="1:74" s="106" customFormat="1" ht="31.5" x14ac:dyDescent="0.2">
      <c r="A16" s="77" t="s">
        <v>387</v>
      </c>
      <c r="B16" s="75" t="s">
        <v>169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52">
        <v>500000000</v>
      </c>
      <c r="O16" s="136">
        <f t="shared" si="2"/>
        <v>500000000</v>
      </c>
      <c r="P16" s="105">
        <v>0</v>
      </c>
      <c r="Q16" s="104">
        <f t="shared" si="3"/>
        <v>-500000000</v>
      </c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</row>
    <row r="17" spans="1:74" s="83" customFormat="1" ht="42.75" x14ac:dyDescent="0.2">
      <c r="A17" s="72" t="s">
        <v>388</v>
      </c>
      <c r="B17" s="73" t="s">
        <v>170</v>
      </c>
      <c r="C17" s="39">
        <f t="shared" ref="C17:N17" si="7">+C16*69.7845456%</f>
        <v>0</v>
      </c>
      <c r="D17" s="39">
        <f t="shared" si="7"/>
        <v>0</v>
      </c>
      <c r="E17" s="39">
        <f t="shared" si="7"/>
        <v>0</v>
      </c>
      <c r="F17" s="39">
        <f t="shared" si="7"/>
        <v>0</v>
      </c>
      <c r="G17" s="39">
        <f t="shared" si="7"/>
        <v>0</v>
      </c>
      <c r="H17" s="39">
        <f t="shared" si="7"/>
        <v>0</v>
      </c>
      <c r="I17" s="39">
        <f t="shared" si="7"/>
        <v>0</v>
      </c>
      <c r="J17" s="39">
        <f t="shared" si="7"/>
        <v>0</v>
      </c>
      <c r="K17" s="39">
        <f t="shared" si="7"/>
        <v>0</v>
      </c>
      <c r="L17" s="39">
        <f t="shared" si="7"/>
        <v>0</v>
      </c>
      <c r="M17" s="39">
        <f t="shared" si="7"/>
        <v>0</v>
      </c>
      <c r="N17" s="39">
        <f t="shared" si="7"/>
        <v>348922728</v>
      </c>
      <c r="O17" s="136">
        <f t="shared" si="2"/>
        <v>348922728</v>
      </c>
      <c r="P17" s="82">
        <v>348922728</v>
      </c>
      <c r="Q17" s="104">
        <f>+P17-O17</f>
        <v>0</v>
      </c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</row>
    <row r="18" spans="1:74" s="83" customFormat="1" ht="28.5" x14ac:dyDescent="0.2">
      <c r="A18" s="72" t="s">
        <v>389</v>
      </c>
      <c r="B18" s="73" t="s">
        <v>171</v>
      </c>
      <c r="C18" s="39">
        <f t="shared" ref="C18:N18" si="8">+C16*0.08%</f>
        <v>0</v>
      </c>
      <c r="D18" s="39">
        <f t="shared" si="8"/>
        <v>0</v>
      </c>
      <c r="E18" s="39">
        <f t="shared" si="8"/>
        <v>0</v>
      </c>
      <c r="F18" s="39">
        <f t="shared" si="8"/>
        <v>0</v>
      </c>
      <c r="G18" s="39">
        <f t="shared" si="8"/>
        <v>0</v>
      </c>
      <c r="H18" s="39">
        <f t="shared" si="8"/>
        <v>0</v>
      </c>
      <c r="I18" s="39">
        <f t="shared" si="8"/>
        <v>0</v>
      </c>
      <c r="J18" s="39">
        <f t="shared" si="8"/>
        <v>0</v>
      </c>
      <c r="K18" s="39">
        <f t="shared" si="8"/>
        <v>0</v>
      </c>
      <c r="L18" s="39">
        <f t="shared" si="8"/>
        <v>0</v>
      </c>
      <c r="M18" s="39">
        <f t="shared" si="8"/>
        <v>0</v>
      </c>
      <c r="N18" s="39">
        <f t="shared" si="8"/>
        <v>400000</v>
      </c>
      <c r="O18" s="136">
        <f t="shared" si="2"/>
        <v>400000</v>
      </c>
      <c r="P18" s="82">
        <v>400000</v>
      </c>
      <c r="Q18" s="104">
        <f t="shared" ref="Q18:Q22" si="9">+P18-O18</f>
        <v>0</v>
      </c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</row>
    <row r="19" spans="1:74" s="106" customFormat="1" ht="28.5" x14ac:dyDescent="0.2">
      <c r="A19" s="72" t="s">
        <v>390</v>
      </c>
      <c r="B19" s="73" t="s">
        <v>172</v>
      </c>
      <c r="C19" s="39">
        <f t="shared" ref="C19:N19" si="10">+C16*7.992%</f>
        <v>0</v>
      </c>
      <c r="D19" s="39">
        <f t="shared" si="10"/>
        <v>0</v>
      </c>
      <c r="E19" s="39">
        <f t="shared" si="10"/>
        <v>0</v>
      </c>
      <c r="F19" s="39">
        <f t="shared" si="10"/>
        <v>0</v>
      </c>
      <c r="G19" s="39">
        <f t="shared" si="10"/>
        <v>0</v>
      </c>
      <c r="H19" s="39">
        <f t="shared" si="10"/>
        <v>0</v>
      </c>
      <c r="I19" s="39">
        <f t="shared" si="10"/>
        <v>0</v>
      </c>
      <c r="J19" s="39">
        <f t="shared" si="10"/>
        <v>0</v>
      </c>
      <c r="K19" s="39">
        <f t="shared" si="10"/>
        <v>0</v>
      </c>
      <c r="L19" s="39">
        <f t="shared" si="10"/>
        <v>0</v>
      </c>
      <c r="M19" s="39">
        <f t="shared" si="10"/>
        <v>0</v>
      </c>
      <c r="N19" s="39">
        <f t="shared" si="10"/>
        <v>39960000</v>
      </c>
      <c r="O19" s="136">
        <f t="shared" si="2"/>
        <v>39960000</v>
      </c>
      <c r="P19" s="105">
        <v>39960000</v>
      </c>
      <c r="Q19" s="104">
        <f t="shared" si="9"/>
        <v>0</v>
      </c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</row>
    <row r="20" spans="1:74" s="106" customFormat="1" ht="28.5" x14ac:dyDescent="0.2">
      <c r="A20" s="72" t="s">
        <v>391</v>
      </c>
      <c r="B20" s="73" t="s">
        <v>173</v>
      </c>
      <c r="C20" s="39">
        <f t="shared" ref="C20:N20" si="11">+C16*1.43856%</f>
        <v>0</v>
      </c>
      <c r="D20" s="39">
        <f t="shared" si="11"/>
        <v>0</v>
      </c>
      <c r="E20" s="39">
        <f t="shared" si="11"/>
        <v>0</v>
      </c>
      <c r="F20" s="39">
        <f t="shared" si="11"/>
        <v>0</v>
      </c>
      <c r="G20" s="39">
        <f t="shared" si="11"/>
        <v>0</v>
      </c>
      <c r="H20" s="39">
        <f t="shared" si="11"/>
        <v>0</v>
      </c>
      <c r="I20" s="39">
        <f t="shared" si="11"/>
        <v>0</v>
      </c>
      <c r="J20" s="39">
        <f t="shared" si="11"/>
        <v>0</v>
      </c>
      <c r="K20" s="39">
        <f t="shared" si="11"/>
        <v>0</v>
      </c>
      <c r="L20" s="39">
        <f t="shared" si="11"/>
        <v>0</v>
      </c>
      <c r="M20" s="39">
        <f t="shared" si="11"/>
        <v>0</v>
      </c>
      <c r="N20" s="39">
        <f t="shared" si="11"/>
        <v>7192800</v>
      </c>
      <c r="O20" s="136">
        <f t="shared" si="2"/>
        <v>7192800</v>
      </c>
      <c r="P20" s="105">
        <v>7192800</v>
      </c>
      <c r="Q20" s="104">
        <f t="shared" si="9"/>
        <v>0</v>
      </c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</row>
    <row r="21" spans="1:74" s="106" customFormat="1" ht="42.75" x14ac:dyDescent="0.2">
      <c r="A21" s="72" t="s">
        <v>392</v>
      </c>
      <c r="B21" s="145" t="s">
        <v>174</v>
      </c>
      <c r="C21" s="39">
        <f t="shared" ref="C21:N21" si="12">+C16*0.7048944%</f>
        <v>0</v>
      </c>
      <c r="D21" s="39">
        <f t="shared" si="12"/>
        <v>0</v>
      </c>
      <c r="E21" s="39">
        <f t="shared" si="12"/>
        <v>0</v>
      </c>
      <c r="F21" s="39">
        <f t="shared" si="12"/>
        <v>0</v>
      </c>
      <c r="G21" s="39">
        <f t="shared" si="12"/>
        <v>0</v>
      </c>
      <c r="H21" s="39">
        <f t="shared" si="12"/>
        <v>0</v>
      </c>
      <c r="I21" s="39">
        <f t="shared" si="12"/>
        <v>0</v>
      </c>
      <c r="J21" s="39">
        <f t="shared" si="12"/>
        <v>0</v>
      </c>
      <c r="K21" s="39">
        <f t="shared" si="12"/>
        <v>0</v>
      </c>
      <c r="L21" s="39">
        <f t="shared" si="12"/>
        <v>0</v>
      </c>
      <c r="M21" s="39">
        <f t="shared" si="12"/>
        <v>0</v>
      </c>
      <c r="N21" s="39">
        <f t="shared" si="12"/>
        <v>3524472.0000000005</v>
      </c>
      <c r="O21" s="136">
        <f t="shared" si="2"/>
        <v>3524472.0000000005</v>
      </c>
      <c r="P21" s="105">
        <v>3524472</v>
      </c>
      <c r="Q21" s="104">
        <f t="shared" si="9"/>
        <v>0</v>
      </c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</row>
    <row r="22" spans="1:74" s="83" customFormat="1" ht="42.75" x14ac:dyDescent="0.2">
      <c r="A22" s="72" t="s">
        <v>393</v>
      </c>
      <c r="B22" s="73" t="s">
        <v>394</v>
      </c>
      <c r="C22" s="189">
        <f t="shared" ref="C22:N22" si="13">+C16*20%</f>
        <v>0</v>
      </c>
      <c r="D22" s="189">
        <f t="shared" si="13"/>
        <v>0</v>
      </c>
      <c r="E22" s="189">
        <f t="shared" si="13"/>
        <v>0</v>
      </c>
      <c r="F22" s="189">
        <f t="shared" si="13"/>
        <v>0</v>
      </c>
      <c r="G22" s="189">
        <f t="shared" si="13"/>
        <v>0</v>
      </c>
      <c r="H22" s="189">
        <f t="shared" si="13"/>
        <v>0</v>
      </c>
      <c r="I22" s="189">
        <f t="shared" si="13"/>
        <v>0</v>
      </c>
      <c r="J22" s="189">
        <f t="shared" si="13"/>
        <v>0</v>
      </c>
      <c r="K22" s="189">
        <f t="shared" si="13"/>
        <v>0</v>
      </c>
      <c r="L22" s="189">
        <f t="shared" si="13"/>
        <v>0</v>
      </c>
      <c r="M22" s="189">
        <f t="shared" si="13"/>
        <v>0</v>
      </c>
      <c r="N22" s="189">
        <f t="shared" si="13"/>
        <v>100000000</v>
      </c>
      <c r="O22" s="136">
        <f t="shared" si="2"/>
        <v>100000000</v>
      </c>
      <c r="P22" s="82">
        <v>100000000</v>
      </c>
      <c r="Q22" s="104">
        <f t="shared" si="9"/>
        <v>0</v>
      </c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</row>
    <row r="23" spans="1:74" s="106" customFormat="1" ht="47.25" x14ac:dyDescent="0.2">
      <c r="A23" s="77" t="s">
        <v>395</v>
      </c>
      <c r="B23" s="75" t="s">
        <v>175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152">
        <v>7500000000</v>
      </c>
      <c r="O23" s="136">
        <f t="shared" si="2"/>
        <v>7500000000</v>
      </c>
      <c r="P23" s="105">
        <v>0</v>
      </c>
      <c r="Q23" s="104">
        <f t="shared" si="3"/>
        <v>-7500000000</v>
      </c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</row>
    <row r="24" spans="1:74" s="106" customFormat="1" ht="42.75" x14ac:dyDescent="0.2">
      <c r="A24" s="72" t="s">
        <v>396</v>
      </c>
      <c r="B24" s="73" t="s">
        <v>176</v>
      </c>
      <c r="C24" s="39">
        <f t="shared" ref="C24:N24" si="14">+C23*69.7845456%</f>
        <v>0</v>
      </c>
      <c r="D24" s="39">
        <f t="shared" si="14"/>
        <v>0</v>
      </c>
      <c r="E24" s="39">
        <f t="shared" si="14"/>
        <v>0</v>
      </c>
      <c r="F24" s="39">
        <f t="shared" si="14"/>
        <v>0</v>
      </c>
      <c r="G24" s="39">
        <f t="shared" si="14"/>
        <v>0</v>
      </c>
      <c r="H24" s="39">
        <f t="shared" si="14"/>
        <v>0</v>
      </c>
      <c r="I24" s="39">
        <f t="shared" si="14"/>
        <v>0</v>
      </c>
      <c r="J24" s="39">
        <f t="shared" si="14"/>
        <v>0</v>
      </c>
      <c r="K24" s="39">
        <f t="shared" si="14"/>
        <v>0</v>
      </c>
      <c r="L24" s="39">
        <f t="shared" si="14"/>
        <v>0</v>
      </c>
      <c r="M24" s="39">
        <f t="shared" si="14"/>
        <v>0</v>
      </c>
      <c r="N24" s="39">
        <f t="shared" si="14"/>
        <v>5233840920</v>
      </c>
      <c r="O24" s="136">
        <f t="shared" si="2"/>
        <v>5233840920</v>
      </c>
      <c r="P24" s="105">
        <v>5233840920</v>
      </c>
      <c r="Q24" s="104">
        <f t="shared" si="3"/>
        <v>0</v>
      </c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</row>
    <row r="25" spans="1:74" s="106" customFormat="1" ht="28.5" x14ac:dyDescent="0.2">
      <c r="A25" s="72" t="s">
        <v>397</v>
      </c>
      <c r="B25" s="73" t="s">
        <v>177</v>
      </c>
      <c r="C25" s="39">
        <f t="shared" ref="C25:N25" si="15">+C23*0.08%</f>
        <v>0</v>
      </c>
      <c r="D25" s="39">
        <f t="shared" si="15"/>
        <v>0</v>
      </c>
      <c r="E25" s="39">
        <f t="shared" si="15"/>
        <v>0</v>
      </c>
      <c r="F25" s="39">
        <f t="shared" si="15"/>
        <v>0</v>
      </c>
      <c r="G25" s="39">
        <f t="shared" si="15"/>
        <v>0</v>
      </c>
      <c r="H25" s="39">
        <f t="shared" si="15"/>
        <v>0</v>
      </c>
      <c r="I25" s="39">
        <f t="shared" si="15"/>
        <v>0</v>
      </c>
      <c r="J25" s="39">
        <f t="shared" si="15"/>
        <v>0</v>
      </c>
      <c r="K25" s="39">
        <f t="shared" si="15"/>
        <v>0</v>
      </c>
      <c r="L25" s="39">
        <f t="shared" si="15"/>
        <v>0</v>
      </c>
      <c r="M25" s="39">
        <f t="shared" si="15"/>
        <v>0</v>
      </c>
      <c r="N25" s="39">
        <f t="shared" si="15"/>
        <v>6000000</v>
      </c>
      <c r="O25" s="136">
        <f t="shared" si="2"/>
        <v>6000000</v>
      </c>
      <c r="P25" s="105">
        <v>6000000</v>
      </c>
      <c r="Q25" s="104">
        <f t="shared" si="3"/>
        <v>0</v>
      </c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</row>
    <row r="26" spans="1:74" s="83" customFormat="1" ht="28.5" x14ac:dyDescent="0.2">
      <c r="A26" s="72" t="s">
        <v>398</v>
      </c>
      <c r="B26" s="73" t="s">
        <v>178</v>
      </c>
      <c r="C26" s="39">
        <f t="shared" ref="C26:N26" si="16">+C23*7.992%</f>
        <v>0</v>
      </c>
      <c r="D26" s="39">
        <f t="shared" si="16"/>
        <v>0</v>
      </c>
      <c r="E26" s="39">
        <f t="shared" si="16"/>
        <v>0</v>
      </c>
      <c r="F26" s="39">
        <f t="shared" si="16"/>
        <v>0</v>
      </c>
      <c r="G26" s="39">
        <f t="shared" si="16"/>
        <v>0</v>
      </c>
      <c r="H26" s="39">
        <f t="shared" si="16"/>
        <v>0</v>
      </c>
      <c r="I26" s="39">
        <f t="shared" si="16"/>
        <v>0</v>
      </c>
      <c r="J26" s="39">
        <f t="shared" si="16"/>
        <v>0</v>
      </c>
      <c r="K26" s="39">
        <f t="shared" si="16"/>
        <v>0</v>
      </c>
      <c r="L26" s="39">
        <f t="shared" si="16"/>
        <v>0</v>
      </c>
      <c r="M26" s="39">
        <f t="shared" si="16"/>
        <v>0</v>
      </c>
      <c r="N26" s="39">
        <f t="shared" si="16"/>
        <v>599400000</v>
      </c>
      <c r="O26" s="136">
        <f t="shared" si="2"/>
        <v>599400000</v>
      </c>
      <c r="P26" s="82">
        <v>599400000</v>
      </c>
      <c r="Q26" s="104">
        <f t="shared" si="3"/>
        <v>0</v>
      </c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</row>
    <row r="27" spans="1:74" s="83" customFormat="1" ht="28.5" x14ac:dyDescent="0.2">
      <c r="A27" s="72" t="s">
        <v>399</v>
      </c>
      <c r="B27" s="73" t="s">
        <v>179</v>
      </c>
      <c r="C27" s="39">
        <f t="shared" ref="C27:N27" si="17">+C23*1.43856%</f>
        <v>0</v>
      </c>
      <c r="D27" s="39">
        <f t="shared" si="17"/>
        <v>0</v>
      </c>
      <c r="E27" s="39">
        <f t="shared" si="17"/>
        <v>0</v>
      </c>
      <c r="F27" s="39">
        <f t="shared" si="17"/>
        <v>0</v>
      </c>
      <c r="G27" s="39">
        <f t="shared" si="17"/>
        <v>0</v>
      </c>
      <c r="H27" s="39">
        <f t="shared" si="17"/>
        <v>0</v>
      </c>
      <c r="I27" s="39">
        <f t="shared" si="17"/>
        <v>0</v>
      </c>
      <c r="J27" s="39">
        <f t="shared" si="17"/>
        <v>0</v>
      </c>
      <c r="K27" s="39">
        <f t="shared" si="17"/>
        <v>0</v>
      </c>
      <c r="L27" s="39">
        <f t="shared" si="17"/>
        <v>0</v>
      </c>
      <c r="M27" s="39">
        <f t="shared" si="17"/>
        <v>0</v>
      </c>
      <c r="N27" s="39">
        <f t="shared" si="17"/>
        <v>107892000</v>
      </c>
      <c r="O27" s="136">
        <f t="shared" si="2"/>
        <v>107892000</v>
      </c>
      <c r="P27" s="82">
        <v>107892000</v>
      </c>
      <c r="Q27" s="104">
        <f t="shared" si="3"/>
        <v>0</v>
      </c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</row>
    <row r="28" spans="1:74" s="83" customFormat="1" ht="57" x14ac:dyDescent="0.2">
      <c r="A28" s="72" t="s">
        <v>400</v>
      </c>
      <c r="B28" s="73" t="s">
        <v>180</v>
      </c>
      <c r="C28" s="39">
        <f t="shared" ref="C28:N28" si="18">+C23*0.7048944%</f>
        <v>0</v>
      </c>
      <c r="D28" s="39">
        <f t="shared" si="18"/>
        <v>0</v>
      </c>
      <c r="E28" s="39">
        <f t="shared" si="18"/>
        <v>0</v>
      </c>
      <c r="F28" s="39">
        <f t="shared" si="18"/>
        <v>0</v>
      </c>
      <c r="G28" s="39">
        <f t="shared" si="18"/>
        <v>0</v>
      </c>
      <c r="H28" s="39">
        <f t="shared" si="18"/>
        <v>0</v>
      </c>
      <c r="I28" s="39">
        <f t="shared" si="18"/>
        <v>0</v>
      </c>
      <c r="J28" s="39">
        <f t="shared" si="18"/>
        <v>0</v>
      </c>
      <c r="K28" s="39">
        <f t="shared" si="18"/>
        <v>0</v>
      </c>
      <c r="L28" s="39">
        <f t="shared" si="18"/>
        <v>0</v>
      </c>
      <c r="M28" s="39">
        <f t="shared" si="18"/>
        <v>0</v>
      </c>
      <c r="N28" s="39">
        <f t="shared" si="18"/>
        <v>52867080.000000007</v>
      </c>
      <c r="O28" s="136">
        <f t="shared" si="2"/>
        <v>52867080.000000007</v>
      </c>
      <c r="P28" s="82">
        <v>52867080</v>
      </c>
      <c r="Q28" s="104">
        <f t="shared" si="3"/>
        <v>0</v>
      </c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</row>
    <row r="29" spans="1:74" s="83" customFormat="1" ht="42.75" x14ac:dyDescent="0.2">
      <c r="A29" s="72" t="s">
        <v>401</v>
      </c>
      <c r="B29" s="73" t="s">
        <v>402</v>
      </c>
      <c r="C29" s="189">
        <f t="shared" ref="C29:N29" si="19">+C23*20%</f>
        <v>0</v>
      </c>
      <c r="D29" s="189">
        <f t="shared" si="19"/>
        <v>0</v>
      </c>
      <c r="E29" s="189">
        <f t="shared" si="19"/>
        <v>0</v>
      </c>
      <c r="F29" s="189">
        <f t="shared" si="19"/>
        <v>0</v>
      </c>
      <c r="G29" s="189">
        <f t="shared" si="19"/>
        <v>0</v>
      </c>
      <c r="H29" s="189">
        <f t="shared" si="19"/>
        <v>0</v>
      </c>
      <c r="I29" s="189">
        <f t="shared" si="19"/>
        <v>0</v>
      </c>
      <c r="J29" s="189">
        <f t="shared" si="19"/>
        <v>0</v>
      </c>
      <c r="K29" s="189">
        <f t="shared" si="19"/>
        <v>0</v>
      </c>
      <c r="L29" s="189">
        <f t="shared" si="19"/>
        <v>0</v>
      </c>
      <c r="M29" s="189">
        <f t="shared" si="19"/>
        <v>0</v>
      </c>
      <c r="N29" s="189">
        <f t="shared" si="19"/>
        <v>1500000000</v>
      </c>
      <c r="O29" s="136">
        <f t="shared" si="2"/>
        <v>1500000000</v>
      </c>
      <c r="P29" s="82">
        <v>1500000000</v>
      </c>
      <c r="Q29" s="104">
        <f t="shared" si="3"/>
        <v>0</v>
      </c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</row>
    <row r="30" spans="1:74" s="106" customFormat="1" ht="19.5" x14ac:dyDescent="0.2">
      <c r="A30" s="77" t="s">
        <v>403</v>
      </c>
      <c r="B30" s="75" t="s">
        <v>404</v>
      </c>
      <c r="C30" s="188">
        <f t="shared" ref="C30:N30" si="20">+C31+C46+C52+C79+C93+C109+C115</f>
        <v>0</v>
      </c>
      <c r="D30" s="188">
        <f t="shared" si="20"/>
        <v>0</v>
      </c>
      <c r="E30" s="188">
        <f t="shared" si="20"/>
        <v>0</v>
      </c>
      <c r="F30" s="188">
        <f t="shared" si="20"/>
        <v>0</v>
      </c>
      <c r="G30" s="188">
        <f t="shared" si="20"/>
        <v>0</v>
      </c>
      <c r="H30" s="188">
        <f t="shared" si="20"/>
        <v>0</v>
      </c>
      <c r="I30" s="188">
        <f t="shared" si="20"/>
        <v>0</v>
      </c>
      <c r="J30" s="188">
        <f t="shared" si="20"/>
        <v>0</v>
      </c>
      <c r="K30" s="188">
        <f t="shared" si="20"/>
        <v>0</v>
      </c>
      <c r="L30" s="188">
        <f t="shared" si="20"/>
        <v>0</v>
      </c>
      <c r="M30" s="188">
        <f t="shared" si="20"/>
        <v>0</v>
      </c>
      <c r="N30" s="188">
        <f t="shared" si="20"/>
        <v>12426400000</v>
      </c>
      <c r="O30" s="136">
        <f t="shared" si="2"/>
        <v>12426400000</v>
      </c>
      <c r="P30" s="105">
        <v>0</v>
      </c>
      <c r="Q30" s="104">
        <f t="shared" si="3"/>
        <v>-12426400000</v>
      </c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</row>
    <row r="31" spans="1:74" s="106" customFormat="1" ht="19.5" x14ac:dyDescent="0.2">
      <c r="A31" s="77" t="s">
        <v>405</v>
      </c>
      <c r="B31" s="75" t="s">
        <v>406</v>
      </c>
      <c r="C31" s="188">
        <f t="shared" ref="C31:N31" si="21">+C32+C39</f>
        <v>0</v>
      </c>
      <c r="D31" s="188">
        <f t="shared" si="21"/>
        <v>0</v>
      </c>
      <c r="E31" s="188">
        <f t="shared" si="21"/>
        <v>0</v>
      </c>
      <c r="F31" s="188">
        <f t="shared" si="21"/>
        <v>0</v>
      </c>
      <c r="G31" s="188">
        <f t="shared" si="21"/>
        <v>0</v>
      </c>
      <c r="H31" s="188">
        <f t="shared" si="21"/>
        <v>0</v>
      </c>
      <c r="I31" s="188">
        <f t="shared" si="21"/>
        <v>0</v>
      </c>
      <c r="J31" s="188">
        <f t="shared" si="21"/>
        <v>0</v>
      </c>
      <c r="K31" s="188">
        <f t="shared" si="21"/>
        <v>0</v>
      </c>
      <c r="L31" s="188">
        <f t="shared" si="21"/>
        <v>0</v>
      </c>
      <c r="M31" s="188">
        <f t="shared" si="21"/>
        <v>0</v>
      </c>
      <c r="N31" s="188">
        <f t="shared" si="21"/>
        <v>673000000</v>
      </c>
      <c r="O31" s="136">
        <f t="shared" si="2"/>
        <v>673000000</v>
      </c>
      <c r="P31" s="105">
        <v>0</v>
      </c>
      <c r="Q31" s="104">
        <f t="shared" si="3"/>
        <v>-673000000</v>
      </c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</row>
    <row r="32" spans="1:74" s="106" customFormat="1" ht="31.5" x14ac:dyDescent="0.2">
      <c r="A32" s="77" t="s">
        <v>407</v>
      </c>
      <c r="B32" s="75" t="s">
        <v>408</v>
      </c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36">
        <f t="shared" si="2"/>
        <v>0</v>
      </c>
      <c r="P32" s="105">
        <v>0</v>
      </c>
      <c r="Q32" s="104">
        <f t="shared" si="3"/>
        <v>0</v>
      </c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</row>
    <row r="33" spans="1:74" s="106" customFormat="1" ht="28.5" x14ac:dyDescent="0.2">
      <c r="A33" s="72" t="s">
        <v>409</v>
      </c>
      <c r="B33" s="144" t="s">
        <v>125</v>
      </c>
      <c r="C33" s="39">
        <f>+C32*69.7845456%</f>
        <v>0</v>
      </c>
      <c r="D33" s="39">
        <f t="shared" ref="D33:N33" si="22">+D32*69.7845456%</f>
        <v>0</v>
      </c>
      <c r="E33" s="39">
        <f t="shared" si="22"/>
        <v>0</v>
      </c>
      <c r="F33" s="39">
        <f t="shared" si="22"/>
        <v>0</v>
      </c>
      <c r="G33" s="39">
        <f t="shared" si="22"/>
        <v>0</v>
      </c>
      <c r="H33" s="39">
        <f t="shared" si="22"/>
        <v>0</v>
      </c>
      <c r="I33" s="39">
        <f t="shared" si="22"/>
        <v>0</v>
      </c>
      <c r="J33" s="39">
        <f t="shared" si="22"/>
        <v>0</v>
      </c>
      <c r="K33" s="39">
        <f t="shared" si="22"/>
        <v>0</v>
      </c>
      <c r="L33" s="39">
        <f t="shared" si="22"/>
        <v>0</v>
      </c>
      <c r="M33" s="39">
        <f t="shared" si="22"/>
        <v>0</v>
      </c>
      <c r="N33" s="39">
        <f t="shared" si="22"/>
        <v>0</v>
      </c>
      <c r="O33" s="136">
        <f t="shared" si="2"/>
        <v>0</v>
      </c>
      <c r="P33" s="105">
        <v>0</v>
      </c>
      <c r="Q33" s="104">
        <f t="shared" si="3"/>
        <v>0</v>
      </c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</row>
    <row r="34" spans="1:74" s="106" customFormat="1" ht="28.5" x14ac:dyDescent="0.2">
      <c r="A34" s="72" t="s">
        <v>410</v>
      </c>
      <c r="B34" s="73" t="s">
        <v>126</v>
      </c>
      <c r="C34" s="39">
        <f>+C32*7.992%</f>
        <v>0</v>
      </c>
      <c r="D34" s="39">
        <f t="shared" ref="D34:N34" si="23">+D32*7.992%</f>
        <v>0</v>
      </c>
      <c r="E34" s="39">
        <f t="shared" si="23"/>
        <v>0</v>
      </c>
      <c r="F34" s="39">
        <f t="shared" si="23"/>
        <v>0</v>
      </c>
      <c r="G34" s="39">
        <f t="shared" si="23"/>
        <v>0</v>
      </c>
      <c r="H34" s="39">
        <f t="shared" si="23"/>
        <v>0</v>
      </c>
      <c r="I34" s="39">
        <f t="shared" si="23"/>
        <v>0</v>
      </c>
      <c r="J34" s="39">
        <f t="shared" si="23"/>
        <v>0</v>
      </c>
      <c r="K34" s="39">
        <f t="shared" si="23"/>
        <v>0</v>
      </c>
      <c r="L34" s="39">
        <f t="shared" si="23"/>
        <v>0</v>
      </c>
      <c r="M34" s="39">
        <f t="shared" si="23"/>
        <v>0</v>
      </c>
      <c r="N34" s="39">
        <f t="shared" si="23"/>
        <v>0</v>
      </c>
      <c r="O34" s="136">
        <f t="shared" si="2"/>
        <v>0</v>
      </c>
      <c r="P34" s="105">
        <v>0</v>
      </c>
      <c r="Q34" s="104">
        <f t="shared" si="3"/>
        <v>0</v>
      </c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</row>
    <row r="35" spans="1:74" s="106" customFormat="1" ht="28.5" x14ac:dyDescent="0.2">
      <c r="A35" s="72" t="s">
        <v>411</v>
      </c>
      <c r="B35" s="73" t="s">
        <v>127</v>
      </c>
      <c r="C35" s="39">
        <f>+C32*20%</f>
        <v>0</v>
      </c>
      <c r="D35" s="39">
        <f t="shared" ref="D35:N35" si="24">+D32*20%</f>
        <v>0</v>
      </c>
      <c r="E35" s="39">
        <f t="shared" si="24"/>
        <v>0</v>
      </c>
      <c r="F35" s="39">
        <f t="shared" si="24"/>
        <v>0</v>
      </c>
      <c r="G35" s="39">
        <f t="shared" si="24"/>
        <v>0</v>
      </c>
      <c r="H35" s="39">
        <f t="shared" si="24"/>
        <v>0</v>
      </c>
      <c r="I35" s="39">
        <f t="shared" si="24"/>
        <v>0</v>
      </c>
      <c r="J35" s="39">
        <f t="shared" si="24"/>
        <v>0</v>
      </c>
      <c r="K35" s="39">
        <f t="shared" si="24"/>
        <v>0</v>
      </c>
      <c r="L35" s="39">
        <f t="shared" si="24"/>
        <v>0</v>
      </c>
      <c r="M35" s="39">
        <f t="shared" si="24"/>
        <v>0</v>
      </c>
      <c r="N35" s="39">
        <f t="shared" si="24"/>
        <v>0</v>
      </c>
      <c r="O35" s="136">
        <f t="shared" si="2"/>
        <v>0</v>
      </c>
      <c r="P35" s="105">
        <v>0</v>
      </c>
      <c r="Q35" s="104">
        <f t="shared" si="3"/>
        <v>0</v>
      </c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</row>
    <row r="36" spans="1:74" s="83" customFormat="1" ht="30" x14ac:dyDescent="0.2">
      <c r="A36" s="172" t="s">
        <v>412</v>
      </c>
      <c r="B36" s="173" t="s">
        <v>128</v>
      </c>
      <c r="C36" s="39">
        <f>+C32*0.08%</f>
        <v>0</v>
      </c>
      <c r="D36" s="39">
        <f t="shared" ref="D36:N36" si="25">+D32*0.08%</f>
        <v>0</v>
      </c>
      <c r="E36" s="39">
        <f t="shared" si="25"/>
        <v>0</v>
      </c>
      <c r="F36" s="39">
        <f t="shared" si="25"/>
        <v>0</v>
      </c>
      <c r="G36" s="39">
        <f t="shared" si="25"/>
        <v>0</v>
      </c>
      <c r="H36" s="39">
        <f t="shared" si="25"/>
        <v>0</v>
      </c>
      <c r="I36" s="39">
        <f t="shared" si="25"/>
        <v>0</v>
      </c>
      <c r="J36" s="39">
        <f t="shared" si="25"/>
        <v>0</v>
      </c>
      <c r="K36" s="39">
        <f t="shared" si="25"/>
        <v>0</v>
      </c>
      <c r="L36" s="39">
        <f t="shared" si="25"/>
        <v>0</v>
      </c>
      <c r="M36" s="39">
        <f t="shared" si="25"/>
        <v>0</v>
      </c>
      <c r="N36" s="39">
        <f t="shared" si="25"/>
        <v>0</v>
      </c>
      <c r="O36" s="136">
        <f t="shared" si="2"/>
        <v>0</v>
      </c>
      <c r="P36" s="82">
        <v>0</v>
      </c>
      <c r="Q36" s="104">
        <f t="shared" si="3"/>
        <v>0</v>
      </c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</row>
    <row r="37" spans="1:74" s="106" customFormat="1" ht="28.5" x14ac:dyDescent="0.2">
      <c r="A37" s="72" t="s">
        <v>413</v>
      </c>
      <c r="B37" s="73" t="s">
        <v>129</v>
      </c>
      <c r="C37" s="39">
        <f>+C32*1.43856%</f>
        <v>0</v>
      </c>
      <c r="D37" s="39">
        <f t="shared" ref="D37:N37" si="26">+D32*1.43856%</f>
        <v>0</v>
      </c>
      <c r="E37" s="39">
        <f t="shared" si="26"/>
        <v>0</v>
      </c>
      <c r="F37" s="39">
        <f t="shared" si="26"/>
        <v>0</v>
      </c>
      <c r="G37" s="39">
        <f t="shared" si="26"/>
        <v>0</v>
      </c>
      <c r="H37" s="39">
        <f t="shared" si="26"/>
        <v>0</v>
      </c>
      <c r="I37" s="39">
        <f t="shared" si="26"/>
        <v>0</v>
      </c>
      <c r="J37" s="39">
        <f t="shared" si="26"/>
        <v>0</v>
      </c>
      <c r="K37" s="39">
        <f t="shared" si="26"/>
        <v>0</v>
      </c>
      <c r="L37" s="39">
        <f t="shared" si="26"/>
        <v>0</v>
      </c>
      <c r="M37" s="39">
        <f t="shared" si="26"/>
        <v>0</v>
      </c>
      <c r="N37" s="39">
        <f t="shared" si="26"/>
        <v>0</v>
      </c>
      <c r="O37" s="136">
        <f t="shared" si="2"/>
        <v>0</v>
      </c>
      <c r="P37" s="105">
        <v>0</v>
      </c>
      <c r="Q37" s="104">
        <f t="shared" si="3"/>
        <v>0</v>
      </c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</row>
    <row r="38" spans="1:74" s="106" customFormat="1" ht="42.75" x14ac:dyDescent="0.2">
      <c r="A38" s="72" t="s">
        <v>414</v>
      </c>
      <c r="B38" s="73" t="s">
        <v>130</v>
      </c>
      <c r="C38" s="39">
        <f>+C32*0.7048944%</f>
        <v>0</v>
      </c>
      <c r="D38" s="39">
        <f t="shared" ref="D38:N38" si="27">+D32*0.7048944%</f>
        <v>0</v>
      </c>
      <c r="E38" s="39">
        <f t="shared" si="27"/>
        <v>0</v>
      </c>
      <c r="F38" s="39">
        <f t="shared" si="27"/>
        <v>0</v>
      </c>
      <c r="G38" s="39">
        <f t="shared" si="27"/>
        <v>0</v>
      </c>
      <c r="H38" s="39">
        <f t="shared" si="27"/>
        <v>0</v>
      </c>
      <c r="I38" s="39">
        <f t="shared" si="27"/>
        <v>0</v>
      </c>
      <c r="J38" s="39">
        <f t="shared" si="27"/>
        <v>0</v>
      </c>
      <c r="K38" s="39">
        <f t="shared" si="27"/>
        <v>0</v>
      </c>
      <c r="L38" s="39">
        <f t="shared" si="27"/>
        <v>0</v>
      </c>
      <c r="M38" s="39">
        <f t="shared" si="27"/>
        <v>0</v>
      </c>
      <c r="N38" s="39">
        <f t="shared" si="27"/>
        <v>0</v>
      </c>
      <c r="O38" s="136">
        <f t="shared" si="2"/>
        <v>0</v>
      </c>
      <c r="P38" s="105">
        <v>0</v>
      </c>
      <c r="Q38" s="104">
        <f t="shared" si="3"/>
        <v>0</v>
      </c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</row>
    <row r="39" spans="1:74" s="106" customFormat="1" ht="31.5" x14ac:dyDescent="0.2">
      <c r="A39" s="77" t="s">
        <v>415</v>
      </c>
      <c r="B39" s="75" t="s">
        <v>416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5">
        <v>673000000</v>
      </c>
      <c r="O39" s="136">
        <f t="shared" si="2"/>
        <v>673000000</v>
      </c>
      <c r="P39" s="105">
        <v>0</v>
      </c>
      <c r="Q39" s="104">
        <f t="shared" si="3"/>
        <v>-673000000</v>
      </c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</row>
    <row r="40" spans="1:74" s="106" customFormat="1" ht="28.5" x14ac:dyDescent="0.2">
      <c r="A40" s="72" t="s">
        <v>417</v>
      </c>
      <c r="B40" s="144" t="s">
        <v>125</v>
      </c>
      <c r="C40" s="39">
        <f t="shared" ref="C40:M40" si="28">+C39*69.7845456%</f>
        <v>0</v>
      </c>
      <c r="D40" s="39">
        <f t="shared" si="28"/>
        <v>0</v>
      </c>
      <c r="E40" s="39">
        <f t="shared" si="28"/>
        <v>0</v>
      </c>
      <c r="F40" s="39">
        <f t="shared" si="28"/>
        <v>0</v>
      </c>
      <c r="G40" s="39">
        <f t="shared" si="28"/>
        <v>0</v>
      </c>
      <c r="H40" s="39">
        <f t="shared" si="28"/>
        <v>0</v>
      </c>
      <c r="I40" s="39">
        <f t="shared" si="28"/>
        <v>0</v>
      </c>
      <c r="J40" s="39">
        <f t="shared" si="28"/>
        <v>0</v>
      </c>
      <c r="K40" s="39">
        <f t="shared" si="28"/>
        <v>0</v>
      </c>
      <c r="L40" s="39">
        <f t="shared" si="28"/>
        <v>0</v>
      </c>
      <c r="M40" s="39">
        <f t="shared" si="28"/>
        <v>0</v>
      </c>
      <c r="N40" s="39">
        <f>+N39*69.7845456%</f>
        <v>469649991.88800001</v>
      </c>
      <c r="O40" s="136">
        <f t="shared" si="2"/>
        <v>469649991.88800001</v>
      </c>
      <c r="P40" s="105">
        <v>0</v>
      </c>
      <c r="Q40" s="104">
        <f t="shared" si="3"/>
        <v>-469649991.88800001</v>
      </c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</row>
    <row r="41" spans="1:74" s="106" customFormat="1" ht="28.5" x14ac:dyDescent="0.2">
      <c r="A41" s="72" t="s">
        <v>418</v>
      </c>
      <c r="B41" s="73" t="s">
        <v>126</v>
      </c>
      <c r="C41" s="39">
        <f t="shared" ref="C41:M41" si="29">+C39*7.992%</f>
        <v>0</v>
      </c>
      <c r="D41" s="39">
        <f t="shared" si="29"/>
        <v>0</v>
      </c>
      <c r="E41" s="39">
        <f t="shared" si="29"/>
        <v>0</v>
      </c>
      <c r="F41" s="39">
        <f t="shared" si="29"/>
        <v>0</v>
      </c>
      <c r="G41" s="39">
        <f t="shared" si="29"/>
        <v>0</v>
      </c>
      <c r="H41" s="39">
        <f t="shared" si="29"/>
        <v>0</v>
      </c>
      <c r="I41" s="39">
        <f t="shared" si="29"/>
        <v>0</v>
      </c>
      <c r="J41" s="39">
        <f t="shared" si="29"/>
        <v>0</v>
      </c>
      <c r="K41" s="39">
        <f t="shared" si="29"/>
        <v>0</v>
      </c>
      <c r="L41" s="39">
        <f t="shared" si="29"/>
        <v>0</v>
      </c>
      <c r="M41" s="39">
        <f t="shared" si="29"/>
        <v>0</v>
      </c>
      <c r="N41" s="39">
        <f>+N39*7.992%</f>
        <v>53786160</v>
      </c>
      <c r="O41" s="136">
        <f t="shared" si="2"/>
        <v>53786160</v>
      </c>
      <c r="P41" s="105">
        <v>0</v>
      </c>
      <c r="Q41" s="104">
        <f t="shared" si="3"/>
        <v>-53786160</v>
      </c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</row>
    <row r="42" spans="1:74" s="106" customFormat="1" ht="28.5" x14ac:dyDescent="0.2">
      <c r="A42" s="72" t="s">
        <v>419</v>
      </c>
      <c r="B42" s="73" t="s">
        <v>127</v>
      </c>
      <c r="C42" s="39">
        <f t="shared" ref="C42:M42" si="30">+C39*20%</f>
        <v>0</v>
      </c>
      <c r="D42" s="39">
        <f t="shared" si="30"/>
        <v>0</v>
      </c>
      <c r="E42" s="39">
        <f t="shared" si="30"/>
        <v>0</v>
      </c>
      <c r="F42" s="39">
        <f t="shared" si="30"/>
        <v>0</v>
      </c>
      <c r="G42" s="39">
        <f t="shared" si="30"/>
        <v>0</v>
      </c>
      <c r="H42" s="39">
        <f t="shared" si="30"/>
        <v>0</v>
      </c>
      <c r="I42" s="39">
        <f t="shared" si="30"/>
        <v>0</v>
      </c>
      <c r="J42" s="39">
        <f t="shared" si="30"/>
        <v>0</v>
      </c>
      <c r="K42" s="39">
        <f t="shared" si="30"/>
        <v>0</v>
      </c>
      <c r="L42" s="39">
        <f t="shared" si="30"/>
        <v>0</v>
      </c>
      <c r="M42" s="39">
        <f t="shared" si="30"/>
        <v>0</v>
      </c>
      <c r="N42" s="39">
        <f>+N39*20%</f>
        <v>134600000</v>
      </c>
      <c r="O42" s="136">
        <f t="shared" si="2"/>
        <v>134600000</v>
      </c>
      <c r="P42" s="105">
        <v>0</v>
      </c>
      <c r="Q42" s="104">
        <f t="shared" si="3"/>
        <v>-134600000</v>
      </c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</row>
    <row r="43" spans="1:74" s="83" customFormat="1" ht="14.25" x14ac:dyDescent="0.2">
      <c r="A43" s="72" t="s">
        <v>420</v>
      </c>
      <c r="B43" s="73" t="s">
        <v>128</v>
      </c>
      <c r="C43" s="39">
        <f t="shared" ref="C43:M43" si="31">+C39*0.08%</f>
        <v>0</v>
      </c>
      <c r="D43" s="39">
        <f t="shared" si="31"/>
        <v>0</v>
      </c>
      <c r="E43" s="39">
        <f t="shared" si="31"/>
        <v>0</v>
      </c>
      <c r="F43" s="39">
        <f t="shared" si="31"/>
        <v>0</v>
      </c>
      <c r="G43" s="39">
        <f t="shared" si="31"/>
        <v>0</v>
      </c>
      <c r="H43" s="39">
        <f t="shared" si="31"/>
        <v>0</v>
      </c>
      <c r="I43" s="39">
        <f t="shared" si="31"/>
        <v>0</v>
      </c>
      <c r="J43" s="39">
        <f t="shared" si="31"/>
        <v>0</v>
      </c>
      <c r="K43" s="39">
        <f t="shared" si="31"/>
        <v>0</v>
      </c>
      <c r="L43" s="39">
        <f t="shared" si="31"/>
        <v>0</v>
      </c>
      <c r="M43" s="39">
        <f t="shared" si="31"/>
        <v>0</v>
      </c>
      <c r="N43" s="39">
        <f>+N39*0.08%</f>
        <v>538400</v>
      </c>
      <c r="O43" s="136">
        <f t="shared" si="2"/>
        <v>538400</v>
      </c>
      <c r="P43" s="82">
        <v>0</v>
      </c>
      <c r="Q43" s="104">
        <f t="shared" si="3"/>
        <v>-538400</v>
      </c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</row>
    <row r="44" spans="1:74" s="83" customFormat="1" ht="28.5" x14ac:dyDescent="0.2">
      <c r="A44" s="72" t="s">
        <v>421</v>
      </c>
      <c r="B44" s="73" t="s">
        <v>129</v>
      </c>
      <c r="C44" s="39">
        <f t="shared" ref="C44:M44" si="32">+C39*1.43856%</f>
        <v>0</v>
      </c>
      <c r="D44" s="39">
        <f t="shared" si="32"/>
        <v>0</v>
      </c>
      <c r="E44" s="39">
        <f t="shared" si="32"/>
        <v>0</v>
      </c>
      <c r="F44" s="39">
        <f t="shared" si="32"/>
        <v>0</v>
      </c>
      <c r="G44" s="39">
        <f t="shared" si="32"/>
        <v>0</v>
      </c>
      <c r="H44" s="39">
        <f t="shared" si="32"/>
        <v>0</v>
      </c>
      <c r="I44" s="39">
        <f t="shared" si="32"/>
        <v>0</v>
      </c>
      <c r="J44" s="39">
        <f t="shared" si="32"/>
        <v>0</v>
      </c>
      <c r="K44" s="39">
        <f t="shared" si="32"/>
        <v>0</v>
      </c>
      <c r="L44" s="39">
        <f t="shared" si="32"/>
        <v>0</v>
      </c>
      <c r="M44" s="39">
        <f t="shared" si="32"/>
        <v>0</v>
      </c>
      <c r="N44" s="39">
        <f>+N39*1.43856%</f>
        <v>9681508.8000000007</v>
      </c>
      <c r="O44" s="136">
        <f t="shared" si="2"/>
        <v>9681508.8000000007</v>
      </c>
      <c r="P44" s="82">
        <v>0</v>
      </c>
      <c r="Q44" s="104">
        <f t="shared" si="3"/>
        <v>-9681508.8000000007</v>
      </c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</row>
    <row r="45" spans="1:74" s="83" customFormat="1" ht="42.75" x14ac:dyDescent="0.2">
      <c r="A45" s="72" t="s">
        <v>422</v>
      </c>
      <c r="B45" s="73" t="s">
        <v>130</v>
      </c>
      <c r="C45" s="39">
        <f t="shared" ref="C45:M45" si="33">+C39*0.7048944%</f>
        <v>0</v>
      </c>
      <c r="D45" s="39">
        <f t="shared" si="33"/>
        <v>0</v>
      </c>
      <c r="E45" s="39">
        <f t="shared" si="33"/>
        <v>0</v>
      </c>
      <c r="F45" s="39">
        <f t="shared" si="33"/>
        <v>0</v>
      </c>
      <c r="G45" s="39">
        <f t="shared" si="33"/>
        <v>0</v>
      </c>
      <c r="H45" s="39">
        <f t="shared" si="33"/>
        <v>0</v>
      </c>
      <c r="I45" s="39">
        <f t="shared" si="33"/>
        <v>0</v>
      </c>
      <c r="J45" s="39">
        <f t="shared" si="33"/>
        <v>0</v>
      </c>
      <c r="K45" s="39">
        <f t="shared" si="33"/>
        <v>0</v>
      </c>
      <c r="L45" s="39">
        <f t="shared" si="33"/>
        <v>0</v>
      </c>
      <c r="M45" s="39">
        <f t="shared" si="33"/>
        <v>0</v>
      </c>
      <c r="N45" s="39">
        <f>+N39*0.7048944%</f>
        <v>4743939.3119999999</v>
      </c>
      <c r="O45" s="136">
        <f t="shared" si="2"/>
        <v>4743939.3119999999</v>
      </c>
      <c r="P45" s="82">
        <v>0</v>
      </c>
      <c r="Q45" s="104">
        <f t="shared" si="3"/>
        <v>-4743939.3119999999</v>
      </c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</row>
    <row r="46" spans="1:74" s="106" customFormat="1" ht="30" x14ac:dyDescent="0.2">
      <c r="A46" s="172" t="s">
        <v>423</v>
      </c>
      <c r="B46" s="173" t="s">
        <v>424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395">
        <v>1592400000</v>
      </c>
      <c r="O46" s="136">
        <f t="shared" si="2"/>
        <v>1592400000</v>
      </c>
      <c r="P46" s="105">
        <v>0</v>
      </c>
      <c r="Q46" s="104">
        <f t="shared" si="3"/>
        <v>-1592400000</v>
      </c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</row>
    <row r="47" spans="1:74" s="106" customFormat="1" ht="28.5" x14ac:dyDescent="0.2">
      <c r="A47" s="72" t="s">
        <v>425</v>
      </c>
      <c r="B47" s="73" t="s">
        <v>181</v>
      </c>
      <c r="C47" s="39">
        <f t="shared" ref="C47:N47" si="34">+C46*87.230682%</f>
        <v>0</v>
      </c>
      <c r="D47" s="39">
        <f t="shared" si="34"/>
        <v>0</v>
      </c>
      <c r="E47" s="39">
        <f t="shared" si="34"/>
        <v>0</v>
      </c>
      <c r="F47" s="39">
        <f t="shared" si="34"/>
        <v>0</v>
      </c>
      <c r="G47" s="39">
        <f t="shared" si="34"/>
        <v>0</v>
      </c>
      <c r="H47" s="39">
        <f t="shared" si="34"/>
        <v>0</v>
      </c>
      <c r="I47" s="39">
        <f t="shared" si="34"/>
        <v>0</v>
      </c>
      <c r="J47" s="39">
        <f t="shared" si="34"/>
        <v>0</v>
      </c>
      <c r="K47" s="39">
        <f t="shared" si="34"/>
        <v>0</v>
      </c>
      <c r="L47" s="39">
        <f t="shared" si="34"/>
        <v>0</v>
      </c>
      <c r="M47" s="39">
        <f t="shared" si="34"/>
        <v>0</v>
      </c>
      <c r="N47" s="39">
        <f t="shared" si="34"/>
        <v>1389061380.168</v>
      </c>
      <c r="O47" s="136">
        <f t="shared" si="2"/>
        <v>1389061380.168</v>
      </c>
      <c r="P47" s="105">
        <v>0</v>
      </c>
      <c r="Q47" s="104">
        <f t="shared" si="3"/>
        <v>-1389061380.168</v>
      </c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</row>
    <row r="48" spans="1:74" s="106" customFormat="1" ht="28.5" x14ac:dyDescent="0.2">
      <c r="A48" s="72" t="s">
        <v>426</v>
      </c>
      <c r="B48" s="73" t="s">
        <v>182</v>
      </c>
      <c r="C48" s="39">
        <f t="shared" ref="C48:N48" si="35">+C46*0.1%</f>
        <v>0</v>
      </c>
      <c r="D48" s="39">
        <f t="shared" si="35"/>
        <v>0</v>
      </c>
      <c r="E48" s="39">
        <f t="shared" si="35"/>
        <v>0</v>
      </c>
      <c r="F48" s="39">
        <f t="shared" si="35"/>
        <v>0</v>
      </c>
      <c r="G48" s="39">
        <f t="shared" si="35"/>
        <v>0</v>
      </c>
      <c r="H48" s="39">
        <f t="shared" si="35"/>
        <v>0</v>
      </c>
      <c r="I48" s="39">
        <f t="shared" si="35"/>
        <v>0</v>
      </c>
      <c r="J48" s="39">
        <f t="shared" si="35"/>
        <v>0</v>
      </c>
      <c r="K48" s="39">
        <f t="shared" si="35"/>
        <v>0</v>
      </c>
      <c r="L48" s="39">
        <f t="shared" si="35"/>
        <v>0</v>
      </c>
      <c r="M48" s="39">
        <f t="shared" si="35"/>
        <v>0</v>
      </c>
      <c r="N48" s="39">
        <f t="shared" si="35"/>
        <v>1592400</v>
      </c>
      <c r="O48" s="136">
        <f t="shared" si="2"/>
        <v>1592400</v>
      </c>
      <c r="P48" s="105">
        <v>0</v>
      </c>
      <c r="Q48" s="104">
        <f t="shared" si="3"/>
        <v>-1592400</v>
      </c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</row>
    <row r="49" spans="1:74" s="106" customFormat="1" ht="28.5" x14ac:dyDescent="0.2">
      <c r="A49" s="72" t="s">
        <v>427</v>
      </c>
      <c r="B49" s="144" t="s">
        <v>183</v>
      </c>
      <c r="C49" s="39">
        <f t="shared" ref="C49:N49" si="36">+C46*9.99%</f>
        <v>0</v>
      </c>
      <c r="D49" s="39">
        <f t="shared" si="36"/>
        <v>0</v>
      </c>
      <c r="E49" s="39">
        <f t="shared" si="36"/>
        <v>0</v>
      </c>
      <c r="F49" s="39">
        <f t="shared" si="36"/>
        <v>0</v>
      </c>
      <c r="G49" s="39">
        <f t="shared" si="36"/>
        <v>0</v>
      </c>
      <c r="H49" s="39">
        <f t="shared" si="36"/>
        <v>0</v>
      </c>
      <c r="I49" s="39">
        <f t="shared" si="36"/>
        <v>0</v>
      </c>
      <c r="J49" s="39">
        <f t="shared" si="36"/>
        <v>0</v>
      </c>
      <c r="K49" s="39">
        <f t="shared" si="36"/>
        <v>0</v>
      </c>
      <c r="L49" s="39">
        <f t="shared" si="36"/>
        <v>0</v>
      </c>
      <c r="M49" s="39">
        <f t="shared" si="36"/>
        <v>0</v>
      </c>
      <c r="N49" s="39">
        <f t="shared" si="36"/>
        <v>159080760</v>
      </c>
      <c r="O49" s="136">
        <f t="shared" si="2"/>
        <v>159080760</v>
      </c>
      <c r="P49" s="105">
        <v>0</v>
      </c>
      <c r="Q49" s="104">
        <f t="shared" si="3"/>
        <v>-159080760</v>
      </c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</row>
    <row r="50" spans="1:74" s="106" customFormat="1" ht="28.5" x14ac:dyDescent="0.2">
      <c r="A50" s="72" t="s">
        <v>428</v>
      </c>
      <c r="B50" s="73" t="s">
        <v>184</v>
      </c>
      <c r="C50" s="39">
        <f t="shared" ref="C50:N50" si="37">+C46*1.7982%</f>
        <v>0</v>
      </c>
      <c r="D50" s="39">
        <f t="shared" si="37"/>
        <v>0</v>
      </c>
      <c r="E50" s="39">
        <f t="shared" si="37"/>
        <v>0</v>
      </c>
      <c r="F50" s="39">
        <f t="shared" si="37"/>
        <v>0</v>
      </c>
      <c r="G50" s="39">
        <f t="shared" si="37"/>
        <v>0</v>
      </c>
      <c r="H50" s="39">
        <f t="shared" si="37"/>
        <v>0</v>
      </c>
      <c r="I50" s="39">
        <f t="shared" si="37"/>
        <v>0</v>
      </c>
      <c r="J50" s="39">
        <f t="shared" si="37"/>
        <v>0</v>
      </c>
      <c r="K50" s="39">
        <f t="shared" si="37"/>
        <v>0</v>
      </c>
      <c r="L50" s="39">
        <f t="shared" si="37"/>
        <v>0</v>
      </c>
      <c r="M50" s="39">
        <f t="shared" si="37"/>
        <v>0</v>
      </c>
      <c r="N50" s="39">
        <f t="shared" si="37"/>
        <v>28634536.800000001</v>
      </c>
      <c r="O50" s="136">
        <f t="shared" si="2"/>
        <v>28634536.800000001</v>
      </c>
      <c r="P50" s="105">
        <v>0</v>
      </c>
      <c r="Q50" s="104">
        <f t="shared" si="3"/>
        <v>-28634536.800000001</v>
      </c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</row>
    <row r="51" spans="1:74" s="106" customFormat="1" ht="42.75" x14ac:dyDescent="0.2">
      <c r="A51" s="72" t="s">
        <v>429</v>
      </c>
      <c r="B51" s="73" t="s">
        <v>185</v>
      </c>
      <c r="C51" s="39">
        <f t="shared" ref="C51:N51" si="38">+C46*0.881118%</f>
        <v>0</v>
      </c>
      <c r="D51" s="39">
        <f t="shared" si="38"/>
        <v>0</v>
      </c>
      <c r="E51" s="39">
        <f t="shared" si="38"/>
        <v>0</v>
      </c>
      <c r="F51" s="39">
        <f t="shared" si="38"/>
        <v>0</v>
      </c>
      <c r="G51" s="39">
        <f t="shared" si="38"/>
        <v>0</v>
      </c>
      <c r="H51" s="39">
        <f t="shared" si="38"/>
        <v>0</v>
      </c>
      <c r="I51" s="39">
        <f t="shared" si="38"/>
        <v>0</v>
      </c>
      <c r="J51" s="39">
        <f t="shared" si="38"/>
        <v>0</v>
      </c>
      <c r="K51" s="39">
        <f t="shared" si="38"/>
        <v>0</v>
      </c>
      <c r="L51" s="39">
        <f t="shared" si="38"/>
        <v>0</v>
      </c>
      <c r="M51" s="39">
        <f t="shared" si="38"/>
        <v>0</v>
      </c>
      <c r="N51" s="39">
        <f t="shared" si="38"/>
        <v>14030923.032</v>
      </c>
      <c r="O51" s="136">
        <f t="shared" si="2"/>
        <v>14030923.032</v>
      </c>
      <c r="P51" s="105">
        <v>0</v>
      </c>
      <c r="Q51" s="104">
        <f t="shared" si="3"/>
        <v>-14030923.032</v>
      </c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</row>
    <row r="52" spans="1:74" s="83" customFormat="1" ht="47.25" x14ac:dyDescent="0.2">
      <c r="A52" s="77" t="s">
        <v>430</v>
      </c>
      <c r="B52" s="75" t="s">
        <v>431</v>
      </c>
      <c r="C52" s="207">
        <f t="shared" ref="C52:N52" si="39">+C53+C66</f>
        <v>0</v>
      </c>
      <c r="D52" s="207">
        <f t="shared" si="39"/>
        <v>0</v>
      </c>
      <c r="E52" s="207">
        <f t="shared" si="39"/>
        <v>0</v>
      </c>
      <c r="F52" s="207">
        <f t="shared" si="39"/>
        <v>0</v>
      </c>
      <c r="G52" s="207">
        <f t="shared" si="39"/>
        <v>0</v>
      </c>
      <c r="H52" s="207">
        <f t="shared" si="39"/>
        <v>0</v>
      </c>
      <c r="I52" s="207">
        <f t="shared" si="39"/>
        <v>0</v>
      </c>
      <c r="J52" s="207">
        <f t="shared" si="39"/>
        <v>0</v>
      </c>
      <c r="K52" s="207">
        <f t="shared" si="39"/>
        <v>0</v>
      </c>
      <c r="L52" s="207">
        <f t="shared" si="39"/>
        <v>0</v>
      </c>
      <c r="M52" s="207">
        <f t="shared" si="39"/>
        <v>0</v>
      </c>
      <c r="N52" s="207">
        <f t="shared" si="39"/>
        <v>7806000000</v>
      </c>
      <c r="O52" s="136">
        <f t="shared" si="2"/>
        <v>7806000000</v>
      </c>
      <c r="P52" s="82">
        <v>0</v>
      </c>
      <c r="Q52" s="104">
        <f t="shared" si="3"/>
        <v>-7806000000</v>
      </c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</row>
    <row r="53" spans="1:74" s="106" customFormat="1" ht="31.5" x14ac:dyDescent="0.2">
      <c r="A53" s="77" t="s">
        <v>432</v>
      </c>
      <c r="B53" s="75" t="s">
        <v>433</v>
      </c>
      <c r="C53" s="207">
        <f t="shared" ref="C53:N53" si="40">+C54+C60</f>
        <v>0</v>
      </c>
      <c r="D53" s="207">
        <f t="shared" si="40"/>
        <v>0</v>
      </c>
      <c r="E53" s="207">
        <f t="shared" si="40"/>
        <v>0</v>
      </c>
      <c r="F53" s="207">
        <f t="shared" si="40"/>
        <v>0</v>
      </c>
      <c r="G53" s="207">
        <f t="shared" si="40"/>
        <v>0</v>
      </c>
      <c r="H53" s="207">
        <f t="shared" si="40"/>
        <v>0</v>
      </c>
      <c r="I53" s="207">
        <f t="shared" si="40"/>
        <v>0</v>
      </c>
      <c r="J53" s="207">
        <f t="shared" si="40"/>
        <v>0</v>
      </c>
      <c r="K53" s="207">
        <f t="shared" si="40"/>
        <v>0</v>
      </c>
      <c r="L53" s="207">
        <f t="shared" si="40"/>
        <v>0</v>
      </c>
      <c r="M53" s="207">
        <f t="shared" si="40"/>
        <v>0</v>
      </c>
      <c r="N53" s="207">
        <f t="shared" si="40"/>
        <v>3850000000</v>
      </c>
      <c r="O53" s="136">
        <f t="shared" si="2"/>
        <v>3850000000</v>
      </c>
      <c r="P53" s="105">
        <v>0</v>
      </c>
      <c r="Q53" s="104">
        <f t="shared" si="3"/>
        <v>-3850000000</v>
      </c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</row>
    <row r="54" spans="1:74" s="106" customFormat="1" ht="31.5" x14ac:dyDescent="0.2">
      <c r="A54" s="77" t="s">
        <v>434</v>
      </c>
      <c r="B54" s="75" t="s">
        <v>435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36">
        <f t="shared" si="2"/>
        <v>0</v>
      </c>
      <c r="P54" s="105">
        <v>0</v>
      </c>
      <c r="Q54" s="104">
        <f t="shared" si="3"/>
        <v>0</v>
      </c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</row>
    <row r="55" spans="1:74" s="106" customFormat="1" ht="42.75" x14ac:dyDescent="0.2">
      <c r="A55" s="72" t="s">
        <v>436</v>
      </c>
      <c r="B55" s="73" t="s">
        <v>131</v>
      </c>
      <c r="C55" s="39">
        <f t="shared" ref="C55:N55" si="41">+C54*87.230682%</f>
        <v>0</v>
      </c>
      <c r="D55" s="39">
        <f t="shared" si="41"/>
        <v>0</v>
      </c>
      <c r="E55" s="39">
        <f t="shared" si="41"/>
        <v>0</v>
      </c>
      <c r="F55" s="39">
        <f t="shared" si="41"/>
        <v>0</v>
      </c>
      <c r="G55" s="39">
        <f t="shared" si="41"/>
        <v>0</v>
      </c>
      <c r="H55" s="39">
        <f t="shared" si="41"/>
        <v>0</v>
      </c>
      <c r="I55" s="39">
        <f t="shared" si="41"/>
        <v>0</v>
      </c>
      <c r="J55" s="39">
        <f t="shared" si="41"/>
        <v>0</v>
      </c>
      <c r="K55" s="39">
        <f t="shared" si="41"/>
        <v>0</v>
      </c>
      <c r="L55" s="39">
        <f t="shared" si="41"/>
        <v>0</v>
      </c>
      <c r="M55" s="39">
        <f t="shared" si="41"/>
        <v>0</v>
      </c>
      <c r="N55" s="39">
        <f t="shared" si="41"/>
        <v>0</v>
      </c>
      <c r="O55" s="136">
        <f t="shared" si="2"/>
        <v>0</v>
      </c>
      <c r="P55" s="105">
        <v>0</v>
      </c>
      <c r="Q55" s="104">
        <f t="shared" si="3"/>
        <v>0</v>
      </c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</row>
    <row r="56" spans="1:74" s="106" customFormat="1" ht="28.5" x14ac:dyDescent="0.2">
      <c r="A56" s="72" t="s">
        <v>437</v>
      </c>
      <c r="B56" s="144" t="s">
        <v>132</v>
      </c>
      <c r="C56" s="39">
        <f t="shared" ref="C56:N56" si="42">+C54*0.1%</f>
        <v>0</v>
      </c>
      <c r="D56" s="39">
        <f t="shared" si="42"/>
        <v>0</v>
      </c>
      <c r="E56" s="39">
        <f t="shared" si="42"/>
        <v>0</v>
      </c>
      <c r="F56" s="39">
        <f t="shared" si="42"/>
        <v>0</v>
      </c>
      <c r="G56" s="39">
        <f t="shared" si="42"/>
        <v>0</v>
      </c>
      <c r="H56" s="39">
        <f t="shared" si="42"/>
        <v>0</v>
      </c>
      <c r="I56" s="39">
        <f t="shared" si="42"/>
        <v>0</v>
      </c>
      <c r="J56" s="39">
        <f t="shared" si="42"/>
        <v>0</v>
      </c>
      <c r="K56" s="39">
        <f t="shared" si="42"/>
        <v>0</v>
      </c>
      <c r="L56" s="39">
        <f t="shared" si="42"/>
        <v>0</v>
      </c>
      <c r="M56" s="39">
        <f t="shared" si="42"/>
        <v>0</v>
      </c>
      <c r="N56" s="39">
        <f t="shared" si="42"/>
        <v>0</v>
      </c>
      <c r="O56" s="136">
        <f t="shared" si="2"/>
        <v>0</v>
      </c>
      <c r="P56" s="105">
        <v>0</v>
      </c>
      <c r="Q56" s="104">
        <f t="shared" si="3"/>
        <v>0</v>
      </c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</row>
    <row r="57" spans="1:74" s="106" customFormat="1" ht="28.5" x14ac:dyDescent="0.2">
      <c r="A57" s="72" t="s">
        <v>438</v>
      </c>
      <c r="B57" s="73" t="s">
        <v>133</v>
      </c>
      <c r="C57" s="39">
        <f t="shared" ref="C57:N57" si="43">+C54*9.99%</f>
        <v>0</v>
      </c>
      <c r="D57" s="39">
        <f t="shared" si="43"/>
        <v>0</v>
      </c>
      <c r="E57" s="39">
        <f t="shared" si="43"/>
        <v>0</v>
      </c>
      <c r="F57" s="39">
        <f t="shared" si="43"/>
        <v>0</v>
      </c>
      <c r="G57" s="39">
        <f t="shared" si="43"/>
        <v>0</v>
      </c>
      <c r="H57" s="39">
        <f t="shared" si="43"/>
        <v>0</v>
      </c>
      <c r="I57" s="39">
        <f t="shared" si="43"/>
        <v>0</v>
      </c>
      <c r="J57" s="39">
        <f t="shared" si="43"/>
        <v>0</v>
      </c>
      <c r="K57" s="39">
        <f t="shared" si="43"/>
        <v>0</v>
      </c>
      <c r="L57" s="39">
        <f t="shared" si="43"/>
        <v>0</v>
      </c>
      <c r="M57" s="39">
        <f t="shared" si="43"/>
        <v>0</v>
      </c>
      <c r="N57" s="39">
        <f t="shared" si="43"/>
        <v>0</v>
      </c>
      <c r="O57" s="136">
        <f t="shared" si="2"/>
        <v>0</v>
      </c>
      <c r="P57" s="105">
        <v>0</v>
      </c>
      <c r="Q57" s="104">
        <f t="shared" si="3"/>
        <v>0</v>
      </c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</row>
    <row r="58" spans="1:74" s="106" customFormat="1" ht="28.5" x14ac:dyDescent="0.2">
      <c r="A58" s="72" t="s">
        <v>439</v>
      </c>
      <c r="B58" s="73" t="s">
        <v>134</v>
      </c>
      <c r="C58" s="39">
        <f t="shared" ref="C58:N58" si="44">+C54*1.7982%</f>
        <v>0</v>
      </c>
      <c r="D58" s="39">
        <f t="shared" si="44"/>
        <v>0</v>
      </c>
      <c r="E58" s="39">
        <f t="shared" si="44"/>
        <v>0</v>
      </c>
      <c r="F58" s="39">
        <f t="shared" si="44"/>
        <v>0</v>
      </c>
      <c r="G58" s="39">
        <f t="shared" si="44"/>
        <v>0</v>
      </c>
      <c r="H58" s="39">
        <f t="shared" si="44"/>
        <v>0</v>
      </c>
      <c r="I58" s="39">
        <f t="shared" si="44"/>
        <v>0</v>
      </c>
      <c r="J58" s="39">
        <f t="shared" si="44"/>
        <v>0</v>
      </c>
      <c r="K58" s="39">
        <f t="shared" si="44"/>
        <v>0</v>
      </c>
      <c r="L58" s="39">
        <f t="shared" si="44"/>
        <v>0</v>
      </c>
      <c r="M58" s="39">
        <f t="shared" si="44"/>
        <v>0</v>
      </c>
      <c r="N58" s="39">
        <f t="shared" si="44"/>
        <v>0</v>
      </c>
      <c r="O58" s="136">
        <f t="shared" si="2"/>
        <v>0</v>
      </c>
      <c r="P58" s="105">
        <v>0</v>
      </c>
      <c r="Q58" s="104">
        <f t="shared" si="3"/>
        <v>0</v>
      </c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</row>
    <row r="59" spans="1:74" s="83" customFormat="1" ht="57" x14ac:dyDescent="0.2">
      <c r="A59" s="72" t="s">
        <v>440</v>
      </c>
      <c r="B59" s="73" t="s">
        <v>135</v>
      </c>
      <c r="C59" s="39">
        <f t="shared" ref="C59:N59" si="45">+C54*0.881118%</f>
        <v>0</v>
      </c>
      <c r="D59" s="39">
        <f t="shared" si="45"/>
        <v>0</v>
      </c>
      <c r="E59" s="39">
        <f t="shared" si="45"/>
        <v>0</v>
      </c>
      <c r="F59" s="39">
        <f t="shared" si="45"/>
        <v>0</v>
      </c>
      <c r="G59" s="39">
        <f t="shared" si="45"/>
        <v>0</v>
      </c>
      <c r="H59" s="39">
        <f t="shared" si="45"/>
        <v>0</v>
      </c>
      <c r="I59" s="39">
        <f t="shared" si="45"/>
        <v>0</v>
      </c>
      <c r="J59" s="39">
        <f t="shared" si="45"/>
        <v>0</v>
      </c>
      <c r="K59" s="39">
        <f t="shared" si="45"/>
        <v>0</v>
      </c>
      <c r="L59" s="39">
        <f t="shared" si="45"/>
        <v>0</v>
      </c>
      <c r="M59" s="39">
        <f t="shared" si="45"/>
        <v>0</v>
      </c>
      <c r="N59" s="39">
        <f t="shared" si="45"/>
        <v>0</v>
      </c>
      <c r="O59" s="136">
        <f t="shared" si="2"/>
        <v>0</v>
      </c>
      <c r="P59" s="82">
        <v>0</v>
      </c>
      <c r="Q59" s="104">
        <f t="shared" si="3"/>
        <v>0</v>
      </c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</row>
    <row r="60" spans="1:74" s="83" customFormat="1" ht="37.5" x14ac:dyDescent="0.2">
      <c r="A60" s="179" t="s">
        <v>441</v>
      </c>
      <c r="B60" s="180" t="s">
        <v>442</v>
      </c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207">
        <v>3850000000</v>
      </c>
      <c r="O60" s="136">
        <f t="shared" si="2"/>
        <v>3850000000</v>
      </c>
      <c r="P60" s="82">
        <v>0</v>
      </c>
      <c r="Q60" s="104">
        <f t="shared" si="3"/>
        <v>-3850000000</v>
      </c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</row>
    <row r="61" spans="1:74" s="106" customFormat="1" ht="42.75" x14ac:dyDescent="0.2">
      <c r="A61" s="72" t="s">
        <v>443</v>
      </c>
      <c r="B61" s="73" t="s">
        <v>136</v>
      </c>
      <c r="C61" s="39">
        <f t="shared" ref="C61:N61" si="46">+C60*87.230682%</f>
        <v>0</v>
      </c>
      <c r="D61" s="39">
        <f t="shared" si="46"/>
        <v>0</v>
      </c>
      <c r="E61" s="39">
        <f t="shared" si="46"/>
        <v>0</v>
      </c>
      <c r="F61" s="39">
        <f t="shared" si="46"/>
        <v>0</v>
      </c>
      <c r="G61" s="39">
        <f t="shared" si="46"/>
        <v>0</v>
      </c>
      <c r="H61" s="39">
        <f t="shared" si="46"/>
        <v>0</v>
      </c>
      <c r="I61" s="39">
        <f t="shared" si="46"/>
        <v>0</v>
      </c>
      <c r="J61" s="39">
        <f t="shared" si="46"/>
        <v>0</v>
      </c>
      <c r="K61" s="39">
        <f t="shared" si="46"/>
        <v>0</v>
      </c>
      <c r="L61" s="39">
        <f t="shared" si="46"/>
        <v>0</v>
      </c>
      <c r="M61" s="39">
        <f t="shared" si="46"/>
        <v>0</v>
      </c>
      <c r="N61" s="39">
        <f t="shared" si="46"/>
        <v>3358381257</v>
      </c>
      <c r="O61" s="136">
        <f t="shared" si="2"/>
        <v>3358381257</v>
      </c>
      <c r="P61" s="105">
        <v>0</v>
      </c>
      <c r="Q61" s="104">
        <f t="shared" si="3"/>
        <v>-3358381257</v>
      </c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</row>
    <row r="62" spans="1:74" s="106" customFormat="1" ht="28.5" x14ac:dyDescent="0.2">
      <c r="A62" s="72" t="s">
        <v>444</v>
      </c>
      <c r="B62" s="73" t="s">
        <v>137</v>
      </c>
      <c r="C62" s="39">
        <f t="shared" ref="C62:N62" si="47">+C60*0.1%</f>
        <v>0</v>
      </c>
      <c r="D62" s="39">
        <f t="shared" si="47"/>
        <v>0</v>
      </c>
      <c r="E62" s="39">
        <f t="shared" si="47"/>
        <v>0</v>
      </c>
      <c r="F62" s="39">
        <f t="shared" si="47"/>
        <v>0</v>
      </c>
      <c r="G62" s="39">
        <f t="shared" si="47"/>
        <v>0</v>
      </c>
      <c r="H62" s="39">
        <f t="shared" si="47"/>
        <v>0</v>
      </c>
      <c r="I62" s="39">
        <f t="shared" si="47"/>
        <v>0</v>
      </c>
      <c r="J62" s="39">
        <f t="shared" si="47"/>
        <v>0</v>
      </c>
      <c r="K62" s="39">
        <f t="shared" si="47"/>
        <v>0</v>
      </c>
      <c r="L62" s="39">
        <f t="shared" si="47"/>
        <v>0</v>
      </c>
      <c r="M62" s="39">
        <f t="shared" si="47"/>
        <v>0</v>
      </c>
      <c r="N62" s="39">
        <f t="shared" si="47"/>
        <v>3850000</v>
      </c>
      <c r="O62" s="136">
        <f t="shared" si="2"/>
        <v>3850000</v>
      </c>
      <c r="P62" s="105">
        <v>0</v>
      </c>
      <c r="Q62" s="104">
        <f t="shared" si="3"/>
        <v>-3850000</v>
      </c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</row>
    <row r="63" spans="1:74" s="83" customFormat="1" ht="28.5" x14ac:dyDescent="0.2">
      <c r="A63" s="72" t="s">
        <v>445</v>
      </c>
      <c r="B63" s="73" t="s">
        <v>138</v>
      </c>
      <c r="C63" s="39">
        <f t="shared" ref="C63:N63" si="48">+C60*9.99%</f>
        <v>0</v>
      </c>
      <c r="D63" s="39">
        <f t="shared" si="48"/>
        <v>0</v>
      </c>
      <c r="E63" s="39">
        <f t="shared" si="48"/>
        <v>0</v>
      </c>
      <c r="F63" s="39">
        <f t="shared" si="48"/>
        <v>0</v>
      </c>
      <c r="G63" s="39">
        <f t="shared" si="48"/>
        <v>0</v>
      </c>
      <c r="H63" s="39">
        <f t="shared" si="48"/>
        <v>0</v>
      </c>
      <c r="I63" s="39">
        <f t="shared" si="48"/>
        <v>0</v>
      </c>
      <c r="J63" s="39">
        <f t="shared" si="48"/>
        <v>0</v>
      </c>
      <c r="K63" s="39">
        <f t="shared" si="48"/>
        <v>0</v>
      </c>
      <c r="L63" s="39">
        <f t="shared" si="48"/>
        <v>0</v>
      </c>
      <c r="M63" s="39">
        <f t="shared" si="48"/>
        <v>0</v>
      </c>
      <c r="N63" s="39">
        <f t="shared" si="48"/>
        <v>384615000</v>
      </c>
      <c r="O63" s="136">
        <f t="shared" si="2"/>
        <v>384615000</v>
      </c>
      <c r="P63" s="105">
        <v>0</v>
      </c>
      <c r="Q63" s="104">
        <f t="shared" si="3"/>
        <v>-384615000</v>
      </c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</row>
    <row r="64" spans="1:74" s="106" customFormat="1" ht="28.5" x14ac:dyDescent="0.2">
      <c r="A64" s="72" t="s">
        <v>446</v>
      </c>
      <c r="B64" s="144" t="s">
        <v>139</v>
      </c>
      <c r="C64" s="39">
        <f t="shared" ref="C64:N64" si="49">+C60*1.7982%</f>
        <v>0</v>
      </c>
      <c r="D64" s="39">
        <f t="shared" si="49"/>
        <v>0</v>
      </c>
      <c r="E64" s="39">
        <f t="shared" si="49"/>
        <v>0</v>
      </c>
      <c r="F64" s="39">
        <f t="shared" si="49"/>
        <v>0</v>
      </c>
      <c r="G64" s="39">
        <f t="shared" si="49"/>
        <v>0</v>
      </c>
      <c r="H64" s="39">
        <f t="shared" si="49"/>
        <v>0</v>
      </c>
      <c r="I64" s="39">
        <f t="shared" si="49"/>
        <v>0</v>
      </c>
      <c r="J64" s="39">
        <f t="shared" si="49"/>
        <v>0</v>
      </c>
      <c r="K64" s="39">
        <f t="shared" si="49"/>
        <v>0</v>
      </c>
      <c r="L64" s="39">
        <f t="shared" si="49"/>
        <v>0</v>
      </c>
      <c r="M64" s="39">
        <f t="shared" si="49"/>
        <v>0</v>
      </c>
      <c r="N64" s="39">
        <f t="shared" si="49"/>
        <v>69230700</v>
      </c>
      <c r="O64" s="136">
        <f t="shared" si="2"/>
        <v>69230700</v>
      </c>
      <c r="P64" s="105">
        <v>0</v>
      </c>
      <c r="Q64" s="104">
        <f t="shared" si="3"/>
        <v>-69230700</v>
      </c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</row>
    <row r="65" spans="1:74" s="106" customFormat="1" ht="57" x14ac:dyDescent="0.2">
      <c r="A65" s="72" t="s">
        <v>447</v>
      </c>
      <c r="B65" s="73" t="s">
        <v>140</v>
      </c>
      <c r="C65" s="39">
        <f t="shared" ref="C65:N65" si="50">+C60*0.881118%</f>
        <v>0</v>
      </c>
      <c r="D65" s="39">
        <f t="shared" si="50"/>
        <v>0</v>
      </c>
      <c r="E65" s="39">
        <f t="shared" si="50"/>
        <v>0</v>
      </c>
      <c r="F65" s="39">
        <f t="shared" si="50"/>
        <v>0</v>
      </c>
      <c r="G65" s="39">
        <f t="shared" si="50"/>
        <v>0</v>
      </c>
      <c r="H65" s="39">
        <f t="shared" si="50"/>
        <v>0</v>
      </c>
      <c r="I65" s="39">
        <f t="shared" si="50"/>
        <v>0</v>
      </c>
      <c r="J65" s="39">
        <f t="shared" si="50"/>
        <v>0</v>
      </c>
      <c r="K65" s="39">
        <f t="shared" si="50"/>
        <v>0</v>
      </c>
      <c r="L65" s="39">
        <f t="shared" si="50"/>
        <v>0</v>
      </c>
      <c r="M65" s="39">
        <f t="shared" si="50"/>
        <v>0</v>
      </c>
      <c r="N65" s="39">
        <f t="shared" si="50"/>
        <v>33923043</v>
      </c>
      <c r="O65" s="136">
        <f t="shared" si="2"/>
        <v>33923043</v>
      </c>
      <c r="P65" s="105">
        <v>0</v>
      </c>
      <c r="Q65" s="104">
        <f t="shared" si="3"/>
        <v>-33923043</v>
      </c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  <c r="BV65" s="105"/>
    </row>
    <row r="66" spans="1:74" s="106" customFormat="1" ht="31.5" x14ac:dyDescent="0.2">
      <c r="A66" s="77" t="s">
        <v>448</v>
      </c>
      <c r="B66" s="75" t="s">
        <v>449</v>
      </c>
      <c r="C66" s="207">
        <f>+C67+C73</f>
        <v>0</v>
      </c>
      <c r="D66" s="207">
        <f t="shared" ref="D66:N66" si="51">+D67+D73</f>
        <v>0</v>
      </c>
      <c r="E66" s="207">
        <f t="shared" si="51"/>
        <v>0</v>
      </c>
      <c r="F66" s="207">
        <f t="shared" si="51"/>
        <v>0</v>
      </c>
      <c r="G66" s="207">
        <f t="shared" si="51"/>
        <v>0</v>
      </c>
      <c r="H66" s="207">
        <f t="shared" si="51"/>
        <v>0</v>
      </c>
      <c r="I66" s="207">
        <f t="shared" si="51"/>
        <v>0</v>
      </c>
      <c r="J66" s="207">
        <f t="shared" si="51"/>
        <v>0</v>
      </c>
      <c r="K66" s="207">
        <f t="shared" si="51"/>
        <v>0</v>
      </c>
      <c r="L66" s="207">
        <f t="shared" si="51"/>
        <v>0</v>
      </c>
      <c r="M66" s="207">
        <f t="shared" si="51"/>
        <v>0</v>
      </c>
      <c r="N66" s="207">
        <f t="shared" si="51"/>
        <v>3956000000</v>
      </c>
      <c r="O66" s="136">
        <f t="shared" si="2"/>
        <v>3956000000</v>
      </c>
      <c r="P66" s="105">
        <v>0</v>
      </c>
      <c r="Q66" s="104">
        <f t="shared" si="3"/>
        <v>-3956000000</v>
      </c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</row>
    <row r="67" spans="1:74" s="83" customFormat="1" ht="47.25" x14ac:dyDescent="0.2">
      <c r="A67" s="77" t="s">
        <v>450</v>
      </c>
      <c r="B67" s="75" t="s">
        <v>451</v>
      </c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207">
        <v>2066000000</v>
      </c>
      <c r="O67" s="136">
        <f t="shared" si="2"/>
        <v>2066000000</v>
      </c>
      <c r="P67" s="82">
        <v>0</v>
      </c>
      <c r="Q67" s="104">
        <f t="shared" si="3"/>
        <v>-2066000000</v>
      </c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</row>
    <row r="68" spans="1:74" s="106" customFormat="1" ht="57" x14ac:dyDescent="0.2">
      <c r="A68" s="72" t="s">
        <v>452</v>
      </c>
      <c r="B68" s="73" t="s">
        <v>141</v>
      </c>
      <c r="C68" s="39">
        <f>+C67*87.230682%</f>
        <v>0</v>
      </c>
      <c r="D68" s="39">
        <f t="shared" ref="D68:N68" si="52">+D67*87.230682%</f>
        <v>0</v>
      </c>
      <c r="E68" s="39">
        <f t="shared" si="52"/>
        <v>0</v>
      </c>
      <c r="F68" s="39">
        <f t="shared" si="52"/>
        <v>0</v>
      </c>
      <c r="G68" s="39">
        <f t="shared" si="52"/>
        <v>0</v>
      </c>
      <c r="H68" s="39">
        <f t="shared" si="52"/>
        <v>0</v>
      </c>
      <c r="I68" s="39">
        <f t="shared" si="52"/>
        <v>0</v>
      </c>
      <c r="J68" s="39">
        <f t="shared" si="52"/>
        <v>0</v>
      </c>
      <c r="K68" s="39">
        <f t="shared" si="52"/>
        <v>0</v>
      </c>
      <c r="L68" s="39">
        <f t="shared" si="52"/>
        <v>0</v>
      </c>
      <c r="M68" s="39">
        <f t="shared" si="52"/>
        <v>0</v>
      </c>
      <c r="N68" s="39">
        <f t="shared" si="52"/>
        <v>1802185890.1200001</v>
      </c>
      <c r="O68" s="136">
        <f t="shared" si="2"/>
        <v>1802185890.1200001</v>
      </c>
      <c r="P68" s="105">
        <v>0</v>
      </c>
      <c r="Q68" s="104">
        <f t="shared" si="3"/>
        <v>-1802185890.1200001</v>
      </c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</row>
    <row r="69" spans="1:74" s="106" customFormat="1" ht="42.75" x14ac:dyDescent="0.2">
      <c r="A69" s="72" t="s">
        <v>453</v>
      </c>
      <c r="B69" s="73" t="s">
        <v>142</v>
      </c>
      <c r="C69" s="39">
        <f>+C67*0.1%</f>
        <v>0</v>
      </c>
      <c r="D69" s="39">
        <f t="shared" ref="D69:N69" si="53">+D67*0.1%</f>
        <v>0</v>
      </c>
      <c r="E69" s="39">
        <f t="shared" si="53"/>
        <v>0</v>
      </c>
      <c r="F69" s="39">
        <f t="shared" si="53"/>
        <v>0</v>
      </c>
      <c r="G69" s="39">
        <f t="shared" si="53"/>
        <v>0</v>
      </c>
      <c r="H69" s="39">
        <f t="shared" si="53"/>
        <v>0</v>
      </c>
      <c r="I69" s="39">
        <f t="shared" si="53"/>
        <v>0</v>
      </c>
      <c r="J69" s="39">
        <f t="shared" si="53"/>
        <v>0</v>
      </c>
      <c r="K69" s="39">
        <f t="shared" si="53"/>
        <v>0</v>
      </c>
      <c r="L69" s="39">
        <f t="shared" si="53"/>
        <v>0</v>
      </c>
      <c r="M69" s="39">
        <f t="shared" si="53"/>
        <v>0</v>
      </c>
      <c r="N69" s="39">
        <f t="shared" si="53"/>
        <v>2066000</v>
      </c>
      <c r="O69" s="136">
        <f t="shared" si="2"/>
        <v>2066000</v>
      </c>
      <c r="P69" s="105">
        <v>0</v>
      </c>
      <c r="Q69" s="104">
        <f t="shared" si="3"/>
        <v>-2066000</v>
      </c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</row>
    <row r="70" spans="1:74" s="106" customFormat="1" ht="42.75" x14ac:dyDescent="0.2">
      <c r="A70" s="72" t="s">
        <v>454</v>
      </c>
      <c r="B70" s="73" t="s">
        <v>143</v>
      </c>
      <c r="C70" s="39">
        <f>+C67*9.99%</f>
        <v>0</v>
      </c>
      <c r="D70" s="39">
        <f t="shared" ref="D70:N70" si="54">+D67*9.99%</f>
        <v>0</v>
      </c>
      <c r="E70" s="39">
        <f t="shared" si="54"/>
        <v>0</v>
      </c>
      <c r="F70" s="39">
        <f t="shared" si="54"/>
        <v>0</v>
      </c>
      <c r="G70" s="39">
        <f t="shared" si="54"/>
        <v>0</v>
      </c>
      <c r="H70" s="39">
        <f t="shared" si="54"/>
        <v>0</v>
      </c>
      <c r="I70" s="39">
        <f t="shared" si="54"/>
        <v>0</v>
      </c>
      <c r="J70" s="39">
        <f t="shared" si="54"/>
        <v>0</v>
      </c>
      <c r="K70" s="39">
        <f t="shared" si="54"/>
        <v>0</v>
      </c>
      <c r="L70" s="39">
        <f t="shared" si="54"/>
        <v>0</v>
      </c>
      <c r="M70" s="39">
        <f t="shared" si="54"/>
        <v>0</v>
      </c>
      <c r="N70" s="39">
        <f t="shared" si="54"/>
        <v>206393400</v>
      </c>
      <c r="O70" s="136">
        <f t="shared" si="2"/>
        <v>206393400</v>
      </c>
      <c r="P70" s="105">
        <v>0</v>
      </c>
      <c r="Q70" s="104">
        <f t="shared" si="3"/>
        <v>-206393400</v>
      </c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</row>
    <row r="71" spans="1:74" s="106" customFormat="1" ht="42.75" x14ac:dyDescent="0.2">
      <c r="A71" s="72" t="s">
        <v>455</v>
      </c>
      <c r="B71" s="144" t="s">
        <v>144</v>
      </c>
      <c r="C71" s="39">
        <f t="shared" ref="C71:N71" si="55">+C67*1.7982%</f>
        <v>0</v>
      </c>
      <c r="D71" s="39">
        <f t="shared" si="55"/>
        <v>0</v>
      </c>
      <c r="E71" s="39">
        <f t="shared" si="55"/>
        <v>0</v>
      </c>
      <c r="F71" s="39">
        <f t="shared" si="55"/>
        <v>0</v>
      </c>
      <c r="G71" s="39">
        <f t="shared" si="55"/>
        <v>0</v>
      </c>
      <c r="H71" s="39">
        <f t="shared" si="55"/>
        <v>0</v>
      </c>
      <c r="I71" s="39">
        <f t="shared" si="55"/>
        <v>0</v>
      </c>
      <c r="J71" s="39">
        <f t="shared" si="55"/>
        <v>0</v>
      </c>
      <c r="K71" s="39">
        <f t="shared" si="55"/>
        <v>0</v>
      </c>
      <c r="L71" s="39">
        <f t="shared" si="55"/>
        <v>0</v>
      </c>
      <c r="M71" s="39">
        <f t="shared" si="55"/>
        <v>0</v>
      </c>
      <c r="N71" s="39">
        <f t="shared" si="55"/>
        <v>37150812</v>
      </c>
      <c r="O71" s="136">
        <f t="shared" si="2"/>
        <v>37150812</v>
      </c>
      <c r="P71" s="105">
        <v>0</v>
      </c>
      <c r="Q71" s="104">
        <f t="shared" si="3"/>
        <v>-37150812</v>
      </c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</row>
    <row r="72" spans="1:74" s="106" customFormat="1" ht="57" x14ac:dyDescent="0.2">
      <c r="A72" s="72" t="s">
        <v>456</v>
      </c>
      <c r="B72" s="73" t="s">
        <v>145</v>
      </c>
      <c r="C72" s="39">
        <f t="shared" ref="C72:N72" si="56">+C67*0.881118%</f>
        <v>0</v>
      </c>
      <c r="D72" s="39">
        <f t="shared" si="56"/>
        <v>0</v>
      </c>
      <c r="E72" s="39">
        <f t="shared" si="56"/>
        <v>0</v>
      </c>
      <c r="F72" s="39">
        <f t="shared" si="56"/>
        <v>0</v>
      </c>
      <c r="G72" s="39">
        <f t="shared" si="56"/>
        <v>0</v>
      </c>
      <c r="H72" s="39">
        <f t="shared" si="56"/>
        <v>0</v>
      </c>
      <c r="I72" s="39">
        <f t="shared" si="56"/>
        <v>0</v>
      </c>
      <c r="J72" s="39">
        <f t="shared" si="56"/>
        <v>0</v>
      </c>
      <c r="K72" s="39">
        <f t="shared" si="56"/>
        <v>0</v>
      </c>
      <c r="L72" s="39">
        <f t="shared" si="56"/>
        <v>0</v>
      </c>
      <c r="M72" s="39">
        <f t="shared" si="56"/>
        <v>0</v>
      </c>
      <c r="N72" s="39">
        <f t="shared" si="56"/>
        <v>18203897.879999999</v>
      </c>
      <c r="O72" s="136">
        <f t="shared" si="2"/>
        <v>18203897.879999999</v>
      </c>
      <c r="P72" s="105">
        <v>0</v>
      </c>
      <c r="Q72" s="104">
        <f t="shared" si="3"/>
        <v>-18203897.879999999</v>
      </c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</row>
    <row r="73" spans="1:74" s="106" customFormat="1" ht="47.25" x14ac:dyDescent="0.2">
      <c r="A73" s="77" t="s">
        <v>457</v>
      </c>
      <c r="B73" s="75" t="s">
        <v>458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>
        <v>1890000000</v>
      </c>
      <c r="O73" s="136">
        <f t="shared" si="2"/>
        <v>1890000000</v>
      </c>
      <c r="P73" s="105">
        <v>0</v>
      </c>
      <c r="Q73" s="104">
        <f t="shared" si="3"/>
        <v>-1890000000</v>
      </c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</row>
    <row r="74" spans="1:74" s="83" customFormat="1" ht="57" x14ac:dyDescent="0.2">
      <c r="A74" s="72" t="s">
        <v>459</v>
      </c>
      <c r="B74" s="73" t="s">
        <v>146</v>
      </c>
      <c r="C74" s="39">
        <f t="shared" ref="C74:M74" si="57">+C73*87.230682%</f>
        <v>0</v>
      </c>
      <c r="D74" s="39">
        <f t="shared" si="57"/>
        <v>0</v>
      </c>
      <c r="E74" s="39">
        <f t="shared" si="57"/>
        <v>0</v>
      </c>
      <c r="F74" s="39">
        <f t="shared" si="57"/>
        <v>0</v>
      </c>
      <c r="G74" s="39">
        <f t="shared" si="57"/>
        <v>0</v>
      </c>
      <c r="H74" s="39">
        <f t="shared" si="57"/>
        <v>0</v>
      </c>
      <c r="I74" s="39">
        <f t="shared" si="57"/>
        <v>0</v>
      </c>
      <c r="J74" s="39">
        <f t="shared" si="57"/>
        <v>0</v>
      </c>
      <c r="K74" s="39">
        <f t="shared" si="57"/>
        <v>0</v>
      </c>
      <c r="L74" s="39">
        <f t="shared" si="57"/>
        <v>0</v>
      </c>
      <c r="M74" s="39">
        <f t="shared" si="57"/>
        <v>0</v>
      </c>
      <c r="N74" s="39">
        <f>+M73+1500000000</f>
        <v>1500000000</v>
      </c>
      <c r="O74" s="136">
        <f t="shared" si="2"/>
        <v>1500000000</v>
      </c>
      <c r="P74" s="82">
        <v>0</v>
      </c>
      <c r="Q74" s="104">
        <f t="shared" si="3"/>
        <v>-1500000000</v>
      </c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</row>
    <row r="75" spans="1:74" s="83" customFormat="1" ht="42.75" x14ac:dyDescent="0.2">
      <c r="A75" s="72" t="s">
        <v>460</v>
      </c>
      <c r="B75" s="73" t="s">
        <v>147</v>
      </c>
      <c r="C75" s="39">
        <f t="shared" ref="C75:N75" si="58">+C73*0.1%</f>
        <v>0</v>
      </c>
      <c r="D75" s="39">
        <f t="shared" si="58"/>
        <v>0</v>
      </c>
      <c r="E75" s="39">
        <f t="shared" si="58"/>
        <v>0</v>
      </c>
      <c r="F75" s="39">
        <f t="shared" si="58"/>
        <v>0</v>
      </c>
      <c r="G75" s="39">
        <f t="shared" si="58"/>
        <v>0</v>
      </c>
      <c r="H75" s="39">
        <f t="shared" si="58"/>
        <v>0</v>
      </c>
      <c r="I75" s="39">
        <f t="shared" si="58"/>
        <v>0</v>
      </c>
      <c r="J75" s="39">
        <f t="shared" si="58"/>
        <v>0</v>
      </c>
      <c r="K75" s="39">
        <f t="shared" si="58"/>
        <v>0</v>
      </c>
      <c r="L75" s="39">
        <f t="shared" si="58"/>
        <v>0</v>
      </c>
      <c r="M75" s="39">
        <f t="shared" si="58"/>
        <v>0</v>
      </c>
      <c r="N75" s="39">
        <f t="shared" si="58"/>
        <v>1890000</v>
      </c>
      <c r="O75" s="136">
        <f t="shared" si="2"/>
        <v>1890000</v>
      </c>
      <c r="P75" s="82">
        <v>0</v>
      </c>
      <c r="Q75" s="104">
        <f t="shared" si="3"/>
        <v>-1890000</v>
      </c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</row>
    <row r="76" spans="1:74" s="83" customFormat="1" ht="42.75" x14ac:dyDescent="0.2">
      <c r="A76" s="72" t="s">
        <v>461</v>
      </c>
      <c r="B76" s="73" t="s">
        <v>148</v>
      </c>
      <c r="C76" s="39">
        <f t="shared" ref="C76:N76" si="59">+C73*9.99%</f>
        <v>0</v>
      </c>
      <c r="D76" s="39">
        <f t="shared" si="59"/>
        <v>0</v>
      </c>
      <c r="E76" s="39">
        <f t="shared" si="59"/>
        <v>0</v>
      </c>
      <c r="F76" s="39">
        <f t="shared" si="59"/>
        <v>0</v>
      </c>
      <c r="G76" s="39">
        <f t="shared" si="59"/>
        <v>0</v>
      </c>
      <c r="H76" s="39">
        <f t="shared" si="59"/>
        <v>0</v>
      </c>
      <c r="I76" s="39">
        <f t="shared" si="59"/>
        <v>0</v>
      </c>
      <c r="J76" s="39">
        <f t="shared" si="59"/>
        <v>0</v>
      </c>
      <c r="K76" s="39">
        <f t="shared" si="59"/>
        <v>0</v>
      </c>
      <c r="L76" s="39">
        <f t="shared" si="59"/>
        <v>0</v>
      </c>
      <c r="M76" s="39">
        <f t="shared" si="59"/>
        <v>0</v>
      </c>
      <c r="N76" s="39">
        <f t="shared" si="59"/>
        <v>188811000</v>
      </c>
      <c r="O76" s="136">
        <f t="shared" ref="O76:O140" si="60">SUM(C76:N76)</f>
        <v>188811000</v>
      </c>
      <c r="P76" s="82">
        <v>0</v>
      </c>
      <c r="Q76" s="104">
        <f t="shared" ref="Q76:Q139" si="61">+P76-O76</f>
        <v>-188811000</v>
      </c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</row>
    <row r="77" spans="1:74" s="106" customFormat="1" ht="42.75" x14ac:dyDescent="0.2">
      <c r="A77" s="72" t="s">
        <v>462</v>
      </c>
      <c r="B77" s="73" t="s">
        <v>149</v>
      </c>
      <c r="C77" s="39">
        <f t="shared" ref="C77:N77" si="62">+C73*1.7982%</f>
        <v>0</v>
      </c>
      <c r="D77" s="39">
        <f t="shared" si="62"/>
        <v>0</v>
      </c>
      <c r="E77" s="39">
        <f t="shared" si="62"/>
        <v>0</v>
      </c>
      <c r="F77" s="39">
        <f t="shared" si="62"/>
        <v>0</v>
      </c>
      <c r="G77" s="39">
        <f t="shared" si="62"/>
        <v>0</v>
      </c>
      <c r="H77" s="39">
        <f t="shared" si="62"/>
        <v>0</v>
      </c>
      <c r="I77" s="39">
        <f t="shared" si="62"/>
        <v>0</v>
      </c>
      <c r="J77" s="39">
        <f t="shared" si="62"/>
        <v>0</v>
      </c>
      <c r="K77" s="39">
        <f t="shared" si="62"/>
        <v>0</v>
      </c>
      <c r="L77" s="39">
        <f t="shared" si="62"/>
        <v>0</v>
      </c>
      <c r="M77" s="39">
        <f t="shared" si="62"/>
        <v>0</v>
      </c>
      <c r="N77" s="39">
        <f t="shared" si="62"/>
        <v>33985980</v>
      </c>
      <c r="O77" s="136">
        <f t="shared" si="60"/>
        <v>33985980</v>
      </c>
      <c r="P77" s="105">
        <v>0</v>
      </c>
      <c r="Q77" s="104">
        <f t="shared" si="61"/>
        <v>-33985980</v>
      </c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</row>
    <row r="78" spans="1:74" s="106" customFormat="1" ht="57" x14ac:dyDescent="0.2">
      <c r="A78" s="72" t="s">
        <v>463</v>
      </c>
      <c r="B78" s="73" t="s">
        <v>150</v>
      </c>
      <c r="C78" s="39">
        <f t="shared" ref="C78:N78" si="63">+C73*0.881118%</f>
        <v>0</v>
      </c>
      <c r="D78" s="39">
        <f t="shared" si="63"/>
        <v>0</v>
      </c>
      <c r="E78" s="39">
        <f t="shared" si="63"/>
        <v>0</v>
      </c>
      <c r="F78" s="39">
        <f t="shared" si="63"/>
        <v>0</v>
      </c>
      <c r="G78" s="39">
        <f t="shared" si="63"/>
        <v>0</v>
      </c>
      <c r="H78" s="39">
        <f t="shared" si="63"/>
        <v>0</v>
      </c>
      <c r="I78" s="39">
        <f t="shared" si="63"/>
        <v>0</v>
      </c>
      <c r="J78" s="39">
        <f t="shared" si="63"/>
        <v>0</v>
      </c>
      <c r="K78" s="39">
        <f t="shared" si="63"/>
        <v>0</v>
      </c>
      <c r="L78" s="39">
        <f t="shared" si="63"/>
        <v>0</v>
      </c>
      <c r="M78" s="39">
        <f t="shared" si="63"/>
        <v>0</v>
      </c>
      <c r="N78" s="39">
        <f t="shared" si="63"/>
        <v>16653130.199999999</v>
      </c>
      <c r="O78" s="136">
        <f t="shared" si="60"/>
        <v>16653130.199999999</v>
      </c>
      <c r="P78" s="105">
        <v>0</v>
      </c>
      <c r="Q78" s="104">
        <f t="shared" si="61"/>
        <v>-16653130.199999999</v>
      </c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</row>
    <row r="79" spans="1:74" s="106" customFormat="1" ht="47.25" x14ac:dyDescent="0.2">
      <c r="A79" s="77" t="s">
        <v>464</v>
      </c>
      <c r="B79" s="75" t="s">
        <v>465</v>
      </c>
      <c r="C79" s="188">
        <f>+C80+C87</f>
        <v>0</v>
      </c>
      <c r="D79" s="188">
        <f t="shared" ref="D79:N79" si="64">+D80+D87</f>
        <v>0</v>
      </c>
      <c r="E79" s="188">
        <f t="shared" si="64"/>
        <v>0</v>
      </c>
      <c r="F79" s="188">
        <f t="shared" si="64"/>
        <v>0</v>
      </c>
      <c r="G79" s="188">
        <f t="shared" si="64"/>
        <v>0</v>
      </c>
      <c r="H79" s="188">
        <f t="shared" si="64"/>
        <v>0</v>
      </c>
      <c r="I79" s="188">
        <f t="shared" si="64"/>
        <v>0</v>
      </c>
      <c r="J79" s="188">
        <f t="shared" si="64"/>
        <v>0</v>
      </c>
      <c r="K79" s="188">
        <f t="shared" si="64"/>
        <v>0</v>
      </c>
      <c r="L79" s="188">
        <f t="shared" si="64"/>
        <v>0</v>
      </c>
      <c r="M79" s="188">
        <f t="shared" si="64"/>
        <v>0</v>
      </c>
      <c r="N79" s="188">
        <f t="shared" si="64"/>
        <v>2355000000</v>
      </c>
      <c r="O79" s="136">
        <f t="shared" si="60"/>
        <v>2355000000</v>
      </c>
      <c r="P79" s="105">
        <v>0</v>
      </c>
      <c r="Q79" s="104">
        <f t="shared" si="61"/>
        <v>-2355000000</v>
      </c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</row>
    <row r="80" spans="1:74" s="397" customFormat="1" ht="47.25" x14ac:dyDescent="0.2">
      <c r="A80" s="235" t="s">
        <v>952</v>
      </c>
      <c r="B80" s="247" t="s">
        <v>953</v>
      </c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  <c r="N80" s="246">
        <f>SUM(N81:N86)</f>
        <v>2355000000</v>
      </c>
      <c r="O80" s="396">
        <f t="shared" si="60"/>
        <v>2355000000</v>
      </c>
      <c r="P80" s="143">
        <v>0</v>
      </c>
      <c r="Q80" s="240">
        <f t="shared" si="61"/>
        <v>-2355000000</v>
      </c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3"/>
      <c r="BD80" s="143"/>
      <c r="BE80" s="143"/>
      <c r="BF80" s="143"/>
      <c r="BG80" s="143"/>
      <c r="BH80" s="143"/>
      <c r="BI80" s="143"/>
      <c r="BJ80" s="143"/>
      <c r="BK80" s="143"/>
      <c r="BL80" s="143"/>
      <c r="BM80" s="143"/>
      <c r="BN80" s="143"/>
      <c r="BO80" s="143"/>
      <c r="BP80" s="143"/>
      <c r="BQ80" s="143"/>
      <c r="BR80" s="143"/>
      <c r="BS80" s="143"/>
      <c r="BT80" s="143"/>
      <c r="BU80" s="143"/>
      <c r="BV80" s="143"/>
    </row>
    <row r="81" spans="1:74" s="83" customFormat="1" ht="42.75" x14ac:dyDescent="0.2">
      <c r="A81" s="72" t="s">
        <v>954</v>
      </c>
      <c r="B81" s="73" t="s">
        <v>955</v>
      </c>
      <c r="C81" s="39">
        <f>+C80*81.390042%</f>
        <v>0</v>
      </c>
      <c r="D81" s="39">
        <f t="shared" ref="D81:M81" si="65">+D80*81.390042%</f>
        <v>0</v>
      </c>
      <c r="E81" s="39">
        <f t="shared" si="65"/>
        <v>0</v>
      </c>
      <c r="F81" s="39">
        <f t="shared" si="65"/>
        <v>0</v>
      </c>
      <c r="G81" s="39">
        <f t="shared" si="65"/>
        <v>0</v>
      </c>
      <c r="H81" s="39">
        <f t="shared" si="65"/>
        <v>0</v>
      </c>
      <c r="I81" s="39">
        <f t="shared" si="65"/>
        <v>0</v>
      </c>
      <c r="J81" s="39">
        <f t="shared" si="65"/>
        <v>0</v>
      </c>
      <c r="K81" s="39">
        <f t="shared" si="65"/>
        <v>0</v>
      </c>
      <c r="L81" s="39">
        <f t="shared" si="65"/>
        <v>0</v>
      </c>
      <c r="M81" s="39">
        <f t="shared" si="65"/>
        <v>0</v>
      </c>
      <c r="N81" s="39">
        <v>1862742791.0999999</v>
      </c>
      <c r="O81" s="136">
        <f t="shared" si="60"/>
        <v>1862742791.0999999</v>
      </c>
      <c r="P81" s="105">
        <v>0</v>
      </c>
      <c r="Q81" s="104">
        <f t="shared" si="61"/>
        <v>-1862742791.0999999</v>
      </c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</row>
    <row r="82" spans="1:74" s="83" customFormat="1" ht="42.75" x14ac:dyDescent="0.2">
      <c r="A82" s="72" t="s">
        <v>954</v>
      </c>
      <c r="B82" s="73" t="s">
        <v>955</v>
      </c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136">
        <f t="shared" si="60"/>
        <v>0</v>
      </c>
      <c r="P82" s="105">
        <v>0</v>
      </c>
      <c r="Q82" s="104">
        <f t="shared" si="61"/>
        <v>0</v>
      </c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</row>
    <row r="83" spans="1:74" s="83" customFormat="1" ht="28.5" x14ac:dyDescent="0.2">
      <c r="A83" s="72" t="s">
        <v>956</v>
      </c>
      <c r="B83" s="73" t="s">
        <v>957</v>
      </c>
      <c r="C83" s="39">
        <f t="shared" ref="C83:M83" si="66">+C80*0.1%</f>
        <v>0</v>
      </c>
      <c r="D83" s="39">
        <f t="shared" si="66"/>
        <v>0</v>
      </c>
      <c r="E83" s="39">
        <f t="shared" si="66"/>
        <v>0</v>
      </c>
      <c r="F83" s="39">
        <f t="shared" si="66"/>
        <v>0</v>
      </c>
      <c r="G83" s="39">
        <f t="shared" si="66"/>
        <v>0</v>
      </c>
      <c r="H83" s="39">
        <f t="shared" si="66"/>
        <v>0</v>
      </c>
      <c r="I83" s="39">
        <f t="shared" si="66"/>
        <v>0</v>
      </c>
      <c r="J83" s="39">
        <f t="shared" si="66"/>
        <v>0</v>
      </c>
      <c r="K83" s="39">
        <f t="shared" si="66"/>
        <v>0</v>
      </c>
      <c r="L83" s="39">
        <f t="shared" si="66"/>
        <v>0</v>
      </c>
      <c r="M83" s="39">
        <f t="shared" si="66"/>
        <v>0</v>
      </c>
      <c r="N83" s="39">
        <v>3855000</v>
      </c>
      <c r="O83" s="136">
        <f t="shared" si="60"/>
        <v>3855000</v>
      </c>
      <c r="P83" s="105">
        <v>0</v>
      </c>
      <c r="Q83" s="104">
        <f t="shared" si="61"/>
        <v>-3855000</v>
      </c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</row>
    <row r="84" spans="1:74" s="83" customFormat="1" ht="28.5" x14ac:dyDescent="0.2">
      <c r="A84" s="72" t="s">
        <v>958</v>
      </c>
      <c r="B84" s="73" t="s">
        <v>959</v>
      </c>
      <c r="C84" s="39">
        <f t="shared" ref="C84:M84" si="67">+C80*9.99%</f>
        <v>0</v>
      </c>
      <c r="D84" s="39">
        <f t="shared" si="67"/>
        <v>0</v>
      </c>
      <c r="E84" s="39">
        <f t="shared" si="67"/>
        <v>0</v>
      </c>
      <c r="F84" s="39">
        <f t="shared" si="67"/>
        <v>0</v>
      </c>
      <c r="G84" s="39">
        <f t="shared" si="67"/>
        <v>0</v>
      </c>
      <c r="H84" s="39">
        <f t="shared" si="67"/>
        <v>0</v>
      </c>
      <c r="I84" s="39">
        <f t="shared" si="67"/>
        <v>0</v>
      </c>
      <c r="J84" s="39">
        <f t="shared" si="67"/>
        <v>0</v>
      </c>
      <c r="K84" s="39">
        <f t="shared" si="67"/>
        <v>0</v>
      </c>
      <c r="L84" s="39">
        <f t="shared" si="67"/>
        <v>0</v>
      </c>
      <c r="M84" s="39">
        <f t="shared" si="67"/>
        <v>0</v>
      </c>
      <c r="N84" s="39">
        <v>385114500</v>
      </c>
      <c r="O84" s="136">
        <f t="shared" si="60"/>
        <v>385114500</v>
      </c>
      <c r="P84" s="105">
        <v>0</v>
      </c>
      <c r="Q84" s="104">
        <f t="shared" si="61"/>
        <v>-385114500</v>
      </c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</row>
    <row r="85" spans="1:74" s="83" customFormat="1" ht="28.5" x14ac:dyDescent="0.2">
      <c r="A85" s="72" t="s">
        <v>960</v>
      </c>
      <c r="B85" s="73" t="s">
        <v>961</v>
      </c>
      <c r="C85" s="39">
        <f t="shared" ref="C85:M85" si="68">+C80*1.7982%</f>
        <v>0</v>
      </c>
      <c r="D85" s="39">
        <f t="shared" si="68"/>
        <v>0</v>
      </c>
      <c r="E85" s="39">
        <f t="shared" si="68"/>
        <v>0</v>
      </c>
      <c r="F85" s="39">
        <f t="shared" si="68"/>
        <v>0</v>
      </c>
      <c r="G85" s="39">
        <f t="shared" si="68"/>
        <v>0</v>
      </c>
      <c r="H85" s="39">
        <f t="shared" si="68"/>
        <v>0</v>
      </c>
      <c r="I85" s="39">
        <f t="shared" si="68"/>
        <v>0</v>
      </c>
      <c r="J85" s="39">
        <f t="shared" si="68"/>
        <v>0</v>
      </c>
      <c r="K85" s="39">
        <f t="shared" si="68"/>
        <v>0</v>
      </c>
      <c r="L85" s="39">
        <f t="shared" si="68"/>
        <v>0</v>
      </c>
      <c r="M85" s="39">
        <f t="shared" si="68"/>
        <v>0</v>
      </c>
      <c r="N85" s="39">
        <v>69320610</v>
      </c>
      <c r="O85" s="136">
        <f t="shared" si="60"/>
        <v>69320610</v>
      </c>
      <c r="P85" s="105">
        <v>0</v>
      </c>
      <c r="Q85" s="104">
        <f t="shared" si="61"/>
        <v>-69320610</v>
      </c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</row>
    <row r="86" spans="1:74" s="83" customFormat="1" ht="57" x14ac:dyDescent="0.2">
      <c r="A86" s="72" t="s">
        <v>962</v>
      </c>
      <c r="B86" s="73" t="s">
        <v>963</v>
      </c>
      <c r="C86" s="39">
        <f t="shared" ref="C86:M86" si="69">+C80*0.881118%</f>
        <v>0</v>
      </c>
      <c r="D86" s="39">
        <f t="shared" si="69"/>
        <v>0</v>
      </c>
      <c r="E86" s="39">
        <f t="shared" si="69"/>
        <v>0</v>
      </c>
      <c r="F86" s="39">
        <f t="shared" si="69"/>
        <v>0</v>
      </c>
      <c r="G86" s="39">
        <f t="shared" si="69"/>
        <v>0</v>
      </c>
      <c r="H86" s="39">
        <f t="shared" si="69"/>
        <v>0</v>
      </c>
      <c r="I86" s="39">
        <f t="shared" si="69"/>
        <v>0</v>
      </c>
      <c r="J86" s="39">
        <f t="shared" si="69"/>
        <v>0</v>
      </c>
      <c r="K86" s="39">
        <f t="shared" si="69"/>
        <v>0</v>
      </c>
      <c r="L86" s="39">
        <f t="shared" si="69"/>
        <v>0</v>
      </c>
      <c r="M86" s="39">
        <f t="shared" si="69"/>
        <v>0</v>
      </c>
      <c r="N86" s="39">
        <v>33967098.899999999</v>
      </c>
      <c r="O86" s="136">
        <f t="shared" si="60"/>
        <v>33967098.899999999</v>
      </c>
      <c r="P86" s="82">
        <v>0</v>
      </c>
      <c r="Q86" s="104">
        <f t="shared" si="61"/>
        <v>-33967098.899999999</v>
      </c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</row>
    <row r="87" spans="1:74" s="106" customFormat="1" ht="47.25" x14ac:dyDescent="0.2">
      <c r="A87" s="77" t="s">
        <v>466</v>
      </c>
      <c r="B87" s="75" t="s">
        <v>467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36">
        <f t="shared" si="60"/>
        <v>0</v>
      </c>
      <c r="P87" s="105">
        <v>0</v>
      </c>
      <c r="Q87" s="104">
        <f t="shared" si="61"/>
        <v>0</v>
      </c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</row>
    <row r="88" spans="1:74" s="83" customFormat="1" ht="42.75" x14ac:dyDescent="0.2">
      <c r="A88" s="72" t="s">
        <v>468</v>
      </c>
      <c r="B88" s="73" t="s">
        <v>151</v>
      </c>
      <c r="C88" s="39">
        <f t="shared" ref="C88:N88" si="70">+C87*87.230682%</f>
        <v>0</v>
      </c>
      <c r="D88" s="39">
        <f t="shared" si="70"/>
        <v>0</v>
      </c>
      <c r="E88" s="39">
        <f t="shared" si="70"/>
        <v>0</v>
      </c>
      <c r="F88" s="39">
        <f t="shared" si="70"/>
        <v>0</v>
      </c>
      <c r="G88" s="39">
        <f t="shared" si="70"/>
        <v>0</v>
      </c>
      <c r="H88" s="39">
        <f t="shared" si="70"/>
        <v>0</v>
      </c>
      <c r="I88" s="39">
        <f t="shared" si="70"/>
        <v>0</v>
      </c>
      <c r="J88" s="39">
        <f t="shared" si="70"/>
        <v>0</v>
      </c>
      <c r="K88" s="39">
        <f t="shared" si="70"/>
        <v>0</v>
      </c>
      <c r="L88" s="39">
        <f t="shared" si="70"/>
        <v>0</v>
      </c>
      <c r="M88" s="39">
        <f t="shared" si="70"/>
        <v>0</v>
      </c>
      <c r="N88" s="39">
        <f t="shared" si="70"/>
        <v>0</v>
      </c>
      <c r="O88" s="136">
        <f t="shared" si="60"/>
        <v>0</v>
      </c>
      <c r="P88" s="105">
        <v>0</v>
      </c>
      <c r="Q88" s="104">
        <f t="shared" si="61"/>
        <v>0</v>
      </c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</row>
    <row r="89" spans="1:74" s="83" customFormat="1" ht="28.5" x14ac:dyDescent="0.2">
      <c r="A89" s="72" t="s">
        <v>469</v>
      </c>
      <c r="B89" s="73" t="s">
        <v>152</v>
      </c>
      <c r="C89" s="39">
        <f t="shared" ref="C89:N89" si="71">+C87*0.1%</f>
        <v>0</v>
      </c>
      <c r="D89" s="39">
        <f t="shared" si="71"/>
        <v>0</v>
      </c>
      <c r="E89" s="39">
        <f t="shared" si="71"/>
        <v>0</v>
      </c>
      <c r="F89" s="39">
        <f t="shared" si="71"/>
        <v>0</v>
      </c>
      <c r="G89" s="39">
        <f t="shared" si="71"/>
        <v>0</v>
      </c>
      <c r="H89" s="39">
        <f t="shared" si="71"/>
        <v>0</v>
      </c>
      <c r="I89" s="39">
        <f t="shared" si="71"/>
        <v>0</v>
      </c>
      <c r="J89" s="39">
        <f t="shared" si="71"/>
        <v>0</v>
      </c>
      <c r="K89" s="39">
        <f t="shared" si="71"/>
        <v>0</v>
      </c>
      <c r="L89" s="39">
        <f t="shared" si="71"/>
        <v>0</v>
      </c>
      <c r="M89" s="39">
        <f t="shared" si="71"/>
        <v>0</v>
      </c>
      <c r="N89" s="39">
        <f t="shared" si="71"/>
        <v>0</v>
      </c>
      <c r="O89" s="136">
        <f t="shared" si="60"/>
        <v>0</v>
      </c>
      <c r="P89" s="105">
        <v>0</v>
      </c>
      <c r="Q89" s="104">
        <f t="shared" si="61"/>
        <v>0</v>
      </c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</row>
    <row r="90" spans="1:74" s="83" customFormat="1" ht="28.5" x14ac:dyDescent="0.2">
      <c r="A90" s="72" t="s">
        <v>470</v>
      </c>
      <c r="B90" s="144" t="s">
        <v>153</v>
      </c>
      <c r="C90" s="39">
        <f t="shared" ref="C90:N90" si="72">+C87*9.99%</f>
        <v>0</v>
      </c>
      <c r="D90" s="39">
        <f t="shared" si="72"/>
        <v>0</v>
      </c>
      <c r="E90" s="39">
        <f t="shared" si="72"/>
        <v>0</v>
      </c>
      <c r="F90" s="39">
        <f t="shared" si="72"/>
        <v>0</v>
      </c>
      <c r="G90" s="39">
        <f t="shared" si="72"/>
        <v>0</v>
      </c>
      <c r="H90" s="39">
        <f t="shared" si="72"/>
        <v>0</v>
      </c>
      <c r="I90" s="39">
        <f t="shared" si="72"/>
        <v>0</v>
      </c>
      <c r="J90" s="39">
        <f t="shared" si="72"/>
        <v>0</v>
      </c>
      <c r="K90" s="39">
        <f t="shared" si="72"/>
        <v>0</v>
      </c>
      <c r="L90" s="39">
        <f t="shared" si="72"/>
        <v>0</v>
      </c>
      <c r="M90" s="39">
        <f t="shared" si="72"/>
        <v>0</v>
      </c>
      <c r="N90" s="39">
        <f t="shared" si="72"/>
        <v>0</v>
      </c>
      <c r="O90" s="136">
        <f t="shared" si="60"/>
        <v>0</v>
      </c>
      <c r="P90" s="105">
        <v>0</v>
      </c>
      <c r="Q90" s="104">
        <f t="shared" si="61"/>
        <v>0</v>
      </c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</row>
    <row r="91" spans="1:74" s="83" customFormat="1" ht="28.5" x14ac:dyDescent="0.2">
      <c r="A91" s="72" t="s">
        <v>471</v>
      </c>
      <c r="B91" s="73" t="s">
        <v>154</v>
      </c>
      <c r="C91" s="39">
        <f t="shared" ref="C91:N91" si="73">+C87*1.7982%</f>
        <v>0</v>
      </c>
      <c r="D91" s="39">
        <f t="shared" si="73"/>
        <v>0</v>
      </c>
      <c r="E91" s="39">
        <f t="shared" si="73"/>
        <v>0</v>
      </c>
      <c r="F91" s="39">
        <f t="shared" si="73"/>
        <v>0</v>
      </c>
      <c r="G91" s="39">
        <f t="shared" si="73"/>
        <v>0</v>
      </c>
      <c r="H91" s="39">
        <f t="shared" si="73"/>
        <v>0</v>
      </c>
      <c r="I91" s="39">
        <f t="shared" si="73"/>
        <v>0</v>
      </c>
      <c r="J91" s="39">
        <f t="shared" si="73"/>
        <v>0</v>
      </c>
      <c r="K91" s="39">
        <f t="shared" si="73"/>
        <v>0</v>
      </c>
      <c r="L91" s="39">
        <f t="shared" si="73"/>
        <v>0</v>
      </c>
      <c r="M91" s="39">
        <f t="shared" si="73"/>
        <v>0</v>
      </c>
      <c r="N91" s="39">
        <f t="shared" si="73"/>
        <v>0</v>
      </c>
      <c r="O91" s="136">
        <f t="shared" si="60"/>
        <v>0</v>
      </c>
      <c r="P91" s="105">
        <v>0</v>
      </c>
      <c r="Q91" s="104">
        <f t="shared" si="61"/>
        <v>0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</row>
    <row r="92" spans="1:74" s="106" customFormat="1" ht="57" x14ac:dyDescent="0.2">
      <c r="A92" s="72" t="s">
        <v>472</v>
      </c>
      <c r="B92" s="73" t="s">
        <v>155</v>
      </c>
      <c r="C92" s="39">
        <f t="shared" ref="C92:N92" si="74">+C87*0.881118%</f>
        <v>0</v>
      </c>
      <c r="D92" s="39">
        <f t="shared" si="74"/>
        <v>0</v>
      </c>
      <c r="E92" s="39">
        <f t="shared" si="74"/>
        <v>0</v>
      </c>
      <c r="F92" s="39">
        <f t="shared" si="74"/>
        <v>0</v>
      </c>
      <c r="G92" s="39">
        <f t="shared" si="74"/>
        <v>0</v>
      </c>
      <c r="H92" s="39">
        <f t="shared" si="74"/>
        <v>0</v>
      </c>
      <c r="I92" s="39">
        <f t="shared" si="74"/>
        <v>0</v>
      </c>
      <c r="J92" s="39">
        <f t="shared" si="74"/>
        <v>0</v>
      </c>
      <c r="K92" s="39">
        <f t="shared" si="74"/>
        <v>0</v>
      </c>
      <c r="L92" s="39">
        <f t="shared" si="74"/>
        <v>0</v>
      </c>
      <c r="M92" s="39">
        <f t="shared" si="74"/>
        <v>0</v>
      </c>
      <c r="N92" s="39">
        <f t="shared" si="74"/>
        <v>0</v>
      </c>
      <c r="O92" s="136">
        <f t="shared" si="60"/>
        <v>0</v>
      </c>
      <c r="P92" s="105">
        <v>0</v>
      </c>
      <c r="Q92" s="104">
        <f t="shared" si="61"/>
        <v>0</v>
      </c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</row>
    <row r="93" spans="1:74" s="106" customFormat="1" ht="31.5" x14ac:dyDescent="0.2">
      <c r="A93" s="77" t="s">
        <v>473</v>
      </c>
      <c r="B93" s="75" t="s">
        <v>474</v>
      </c>
      <c r="C93" s="188">
        <f t="shared" ref="C93:N93" si="75">+C94</f>
        <v>0</v>
      </c>
      <c r="D93" s="188">
        <f t="shared" si="75"/>
        <v>0</v>
      </c>
      <c r="E93" s="188">
        <f t="shared" si="75"/>
        <v>0</v>
      </c>
      <c r="F93" s="188">
        <f t="shared" si="75"/>
        <v>0</v>
      </c>
      <c r="G93" s="188">
        <f t="shared" si="75"/>
        <v>0</v>
      </c>
      <c r="H93" s="188">
        <f t="shared" si="75"/>
        <v>0</v>
      </c>
      <c r="I93" s="188">
        <f t="shared" si="75"/>
        <v>0</v>
      </c>
      <c r="J93" s="188">
        <f t="shared" si="75"/>
        <v>0</v>
      </c>
      <c r="K93" s="188">
        <f t="shared" si="75"/>
        <v>0</v>
      </c>
      <c r="L93" s="188">
        <f t="shared" si="75"/>
        <v>0</v>
      </c>
      <c r="M93" s="188">
        <f t="shared" si="75"/>
        <v>0</v>
      </c>
      <c r="N93" s="188">
        <f t="shared" si="75"/>
        <v>0</v>
      </c>
      <c r="O93" s="136">
        <f t="shared" si="60"/>
        <v>0</v>
      </c>
      <c r="P93" s="105">
        <v>0</v>
      </c>
      <c r="Q93" s="104">
        <f t="shared" si="61"/>
        <v>0</v>
      </c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</row>
    <row r="94" spans="1:74" s="106" customFormat="1" ht="47.25" x14ac:dyDescent="0.2">
      <c r="A94" s="77" t="s">
        <v>475</v>
      </c>
      <c r="B94" s="75" t="s">
        <v>476</v>
      </c>
      <c r="C94" s="188">
        <f t="shared" ref="C94:N94" si="76">+C95+C102</f>
        <v>0</v>
      </c>
      <c r="D94" s="188">
        <f t="shared" si="76"/>
        <v>0</v>
      </c>
      <c r="E94" s="188">
        <f t="shared" si="76"/>
        <v>0</v>
      </c>
      <c r="F94" s="188">
        <f t="shared" si="76"/>
        <v>0</v>
      </c>
      <c r="G94" s="188">
        <f t="shared" si="76"/>
        <v>0</v>
      </c>
      <c r="H94" s="188">
        <f t="shared" si="76"/>
        <v>0</v>
      </c>
      <c r="I94" s="188">
        <f t="shared" si="76"/>
        <v>0</v>
      </c>
      <c r="J94" s="188">
        <f t="shared" si="76"/>
        <v>0</v>
      </c>
      <c r="K94" s="188">
        <f t="shared" si="76"/>
        <v>0</v>
      </c>
      <c r="L94" s="188">
        <f t="shared" si="76"/>
        <v>0</v>
      </c>
      <c r="M94" s="188">
        <f t="shared" si="76"/>
        <v>0</v>
      </c>
      <c r="N94" s="188">
        <f t="shared" si="76"/>
        <v>0</v>
      </c>
      <c r="O94" s="136">
        <f t="shared" si="60"/>
        <v>0</v>
      </c>
      <c r="P94" s="105">
        <v>0</v>
      </c>
      <c r="Q94" s="104">
        <f t="shared" si="61"/>
        <v>0</v>
      </c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</row>
    <row r="95" spans="1:74" s="83" customFormat="1" ht="63" x14ac:dyDescent="0.2">
      <c r="A95" s="77" t="s">
        <v>477</v>
      </c>
      <c r="B95" s="75" t="s">
        <v>478</v>
      </c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136">
        <f t="shared" si="60"/>
        <v>0</v>
      </c>
      <c r="P95" s="82">
        <v>0</v>
      </c>
      <c r="Q95" s="104">
        <f t="shared" si="61"/>
        <v>0</v>
      </c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</row>
    <row r="96" spans="1:74" s="83" customFormat="1" ht="42.75" x14ac:dyDescent="0.2">
      <c r="A96" s="72" t="s">
        <v>479</v>
      </c>
      <c r="B96" s="73" t="s">
        <v>156</v>
      </c>
      <c r="C96" s="39">
        <f t="shared" ref="C96:N96" si="77">+C95*82.8691479%</f>
        <v>0</v>
      </c>
      <c r="D96" s="39">
        <f t="shared" si="77"/>
        <v>0</v>
      </c>
      <c r="E96" s="39">
        <f t="shared" si="77"/>
        <v>0</v>
      </c>
      <c r="F96" s="39">
        <f t="shared" si="77"/>
        <v>0</v>
      </c>
      <c r="G96" s="39">
        <f t="shared" si="77"/>
        <v>0</v>
      </c>
      <c r="H96" s="39">
        <f t="shared" si="77"/>
        <v>0</v>
      </c>
      <c r="I96" s="39">
        <f t="shared" si="77"/>
        <v>0</v>
      </c>
      <c r="J96" s="39">
        <f t="shared" si="77"/>
        <v>0</v>
      </c>
      <c r="K96" s="39">
        <f t="shared" si="77"/>
        <v>0</v>
      </c>
      <c r="L96" s="39">
        <f t="shared" si="77"/>
        <v>0</v>
      </c>
      <c r="M96" s="39">
        <f t="shared" si="77"/>
        <v>0</v>
      </c>
      <c r="N96" s="39">
        <f t="shared" si="77"/>
        <v>0</v>
      </c>
      <c r="O96" s="136">
        <f t="shared" si="60"/>
        <v>0</v>
      </c>
      <c r="P96" s="82">
        <v>0</v>
      </c>
      <c r="Q96" s="104">
        <f t="shared" si="61"/>
        <v>0</v>
      </c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</row>
    <row r="97" spans="1:74" s="106" customFormat="1" ht="42.75" x14ac:dyDescent="0.2">
      <c r="A97" s="72" t="s">
        <v>480</v>
      </c>
      <c r="B97" s="73" t="s">
        <v>157</v>
      </c>
      <c r="C97" s="39">
        <f t="shared" ref="C97:N97" si="78">+C95*0.095%</f>
        <v>0</v>
      </c>
      <c r="D97" s="39">
        <f t="shared" si="78"/>
        <v>0</v>
      </c>
      <c r="E97" s="39">
        <f t="shared" si="78"/>
        <v>0</v>
      </c>
      <c r="F97" s="39">
        <f t="shared" si="78"/>
        <v>0</v>
      </c>
      <c r="G97" s="39">
        <f t="shared" si="78"/>
        <v>0</v>
      </c>
      <c r="H97" s="39">
        <f t="shared" si="78"/>
        <v>0</v>
      </c>
      <c r="I97" s="39">
        <f t="shared" si="78"/>
        <v>0</v>
      </c>
      <c r="J97" s="39">
        <f t="shared" si="78"/>
        <v>0</v>
      </c>
      <c r="K97" s="39">
        <f t="shared" si="78"/>
        <v>0</v>
      </c>
      <c r="L97" s="39">
        <f t="shared" si="78"/>
        <v>0</v>
      </c>
      <c r="M97" s="39">
        <f t="shared" si="78"/>
        <v>0</v>
      </c>
      <c r="N97" s="39">
        <f t="shared" si="78"/>
        <v>0</v>
      </c>
      <c r="O97" s="136">
        <f t="shared" si="60"/>
        <v>0</v>
      </c>
      <c r="P97" s="105">
        <v>0</v>
      </c>
      <c r="Q97" s="104">
        <f t="shared" si="61"/>
        <v>0</v>
      </c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</row>
    <row r="98" spans="1:74" s="106" customFormat="1" ht="42.75" x14ac:dyDescent="0.2">
      <c r="A98" s="72" t="s">
        <v>481</v>
      </c>
      <c r="B98" s="73" t="s">
        <v>158</v>
      </c>
      <c r="C98" s="39">
        <f t="shared" ref="C98:N98" si="79">+C95*5%</f>
        <v>0</v>
      </c>
      <c r="D98" s="39">
        <f t="shared" si="79"/>
        <v>0</v>
      </c>
      <c r="E98" s="39">
        <f t="shared" si="79"/>
        <v>0</v>
      </c>
      <c r="F98" s="39">
        <f t="shared" si="79"/>
        <v>0</v>
      </c>
      <c r="G98" s="39">
        <f t="shared" si="79"/>
        <v>0</v>
      </c>
      <c r="H98" s="39">
        <f t="shared" si="79"/>
        <v>0</v>
      </c>
      <c r="I98" s="39">
        <f t="shared" si="79"/>
        <v>0</v>
      </c>
      <c r="J98" s="39">
        <f t="shared" si="79"/>
        <v>0</v>
      </c>
      <c r="K98" s="39">
        <f t="shared" si="79"/>
        <v>0</v>
      </c>
      <c r="L98" s="39">
        <f t="shared" si="79"/>
        <v>0</v>
      </c>
      <c r="M98" s="39">
        <f t="shared" si="79"/>
        <v>0</v>
      </c>
      <c r="N98" s="39">
        <f t="shared" si="79"/>
        <v>0</v>
      </c>
      <c r="O98" s="136">
        <f t="shared" si="60"/>
        <v>0</v>
      </c>
      <c r="P98" s="105">
        <v>0</v>
      </c>
      <c r="Q98" s="104">
        <f>+P98-O98</f>
        <v>0</v>
      </c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</row>
    <row r="99" spans="1:74" s="106" customFormat="1" ht="28.5" x14ac:dyDescent="0.2">
      <c r="A99" s="72" t="s">
        <v>482</v>
      </c>
      <c r="B99" s="144" t="s">
        <v>159</v>
      </c>
      <c r="C99" s="39">
        <f t="shared" ref="C99:N99" si="80">+C95*9.4905%</f>
        <v>0</v>
      </c>
      <c r="D99" s="39">
        <f t="shared" si="80"/>
        <v>0</v>
      </c>
      <c r="E99" s="39">
        <f t="shared" si="80"/>
        <v>0</v>
      </c>
      <c r="F99" s="39">
        <f t="shared" si="80"/>
        <v>0</v>
      </c>
      <c r="G99" s="39">
        <f t="shared" si="80"/>
        <v>0</v>
      </c>
      <c r="H99" s="39">
        <f t="shared" si="80"/>
        <v>0</v>
      </c>
      <c r="I99" s="39">
        <f t="shared" si="80"/>
        <v>0</v>
      </c>
      <c r="J99" s="39">
        <f t="shared" si="80"/>
        <v>0</v>
      </c>
      <c r="K99" s="39">
        <f t="shared" si="80"/>
        <v>0</v>
      </c>
      <c r="L99" s="39">
        <f t="shared" si="80"/>
        <v>0</v>
      </c>
      <c r="M99" s="39">
        <f t="shared" si="80"/>
        <v>0</v>
      </c>
      <c r="N99" s="39">
        <f t="shared" si="80"/>
        <v>0</v>
      </c>
      <c r="O99" s="136">
        <f t="shared" si="60"/>
        <v>0</v>
      </c>
      <c r="P99" s="105">
        <v>0</v>
      </c>
      <c r="Q99" s="104">
        <f t="shared" si="61"/>
        <v>0</v>
      </c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</row>
    <row r="100" spans="1:74" s="106" customFormat="1" ht="42.75" x14ac:dyDescent="0.2">
      <c r="A100" s="72" t="s">
        <v>483</v>
      </c>
      <c r="B100" s="73" t="s">
        <v>160</v>
      </c>
      <c r="C100" s="39">
        <f t="shared" ref="C100:N100" si="81">+C95*1.70829%</f>
        <v>0</v>
      </c>
      <c r="D100" s="39">
        <f t="shared" si="81"/>
        <v>0</v>
      </c>
      <c r="E100" s="39">
        <f t="shared" si="81"/>
        <v>0</v>
      </c>
      <c r="F100" s="39">
        <f t="shared" si="81"/>
        <v>0</v>
      </c>
      <c r="G100" s="39">
        <f t="shared" si="81"/>
        <v>0</v>
      </c>
      <c r="H100" s="39">
        <f t="shared" si="81"/>
        <v>0</v>
      </c>
      <c r="I100" s="39">
        <f t="shared" si="81"/>
        <v>0</v>
      </c>
      <c r="J100" s="39">
        <f t="shared" si="81"/>
        <v>0</v>
      </c>
      <c r="K100" s="39">
        <f t="shared" si="81"/>
        <v>0</v>
      </c>
      <c r="L100" s="39">
        <f t="shared" si="81"/>
        <v>0</v>
      </c>
      <c r="M100" s="39">
        <f t="shared" si="81"/>
        <v>0</v>
      </c>
      <c r="N100" s="39">
        <f t="shared" si="81"/>
        <v>0</v>
      </c>
      <c r="O100" s="136">
        <f t="shared" si="60"/>
        <v>0</v>
      </c>
      <c r="P100" s="105">
        <v>0</v>
      </c>
      <c r="Q100" s="104">
        <f t="shared" si="61"/>
        <v>0</v>
      </c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</row>
    <row r="101" spans="1:74" s="106" customFormat="1" ht="57" x14ac:dyDescent="0.2">
      <c r="A101" s="72" t="s">
        <v>484</v>
      </c>
      <c r="B101" s="73" t="s">
        <v>161</v>
      </c>
      <c r="C101" s="39">
        <f t="shared" ref="C101:N101" si="82">+C95*0.8370621%</f>
        <v>0</v>
      </c>
      <c r="D101" s="39">
        <f t="shared" si="82"/>
        <v>0</v>
      </c>
      <c r="E101" s="39">
        <f t="shared" si="82"/>
        <v>0</v>
      </c>
      <c r="F101" s="39">
        <f t="shared" si="82"/>
        <v>0</v>
      </c>
      <c r="G101" s="39">
        <f t="shared" si="82"/>
        <v>0</v>
      </c>
      <c r="H101" s="39">
        <f t="shared" si="82"/>
        <v>0</v>
      </c>
      <c r="I101" s="39">
        <f t="shared" si="82"/>
        <v>0</v>
      </c>
      <c r="J101" s="39">
        <f t="shared" si="82"/>
        <v>0</v>
      </c>
      <c r="K101" s="39">
        <f t="shared" si="82"/>
        <v>0</v>
      </c>
      <c r="L101" s="39">
        <f t="shared" si="82"/>
        <v>0</v>
      </c>
      <c r="M101" s="39">
        <f t="shared" si="82"/>
        <v>0</v>
      </c>
      <c r="N101" s="39">
        <f t="shared" si="82"/>
        <v>0</v>
      </c>
      <c r="O101" s="136">
        <f t="shared" si="60"/>
        <v>0</v>
      </c>
      <c r="P101" s="105">
        <v>0</v>
      </c>
      <c r="Q101" s="104">
        <f t="shared" si="61"/>
        <v>0</v>
      </c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</row>
    <row r="102" spans="1:74" s="106" customFormat="1" ht="63" x14ac:dyDescent="0.2">
      <c r="A102" s="77" t="s">
        <v>485</v>
      </c>
      <c r="B102" s="75" t="s">
        <v>486</v>
      </c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136">
        <f t="shared" si="60"/>
        <v>0</v>
      </c>
      <c r="P102" s="105">
        <v>0</v>
      </c>
      <c r="Q102" s="104">
        <f t="shared" si="61"/>
        <v>0</v>
      </c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</row>
    <row r="103" spans="1:74" s="83" customFormat="1" ht="42.75" x14ac:dyDescent="0.2">
      <c r="A103" s="72" t="s">
        <v>487</v>
      </c>
      <c r="B103" s="73" t="s">
        <v>162</v>
      </c>
      <c r="C103" s="39">
        <f t="shared" ref="C103:N103" si="83">+C102*82.8691479%</f>
        <v>0</v>
      </c>
      <c r="D103" s="39">
        <f t="shared" si="83"/>
        <v>0</v>
      </c>
      <c r="E103" s="39">
        <f t="shared" si="83"/>
        <v>0</v>
      </c>
      <c r="F103" s="39">
        <f t="shared" si="83"/>
        <v>0</v>
      </c>
      <c r="G103" s="39">
        <f t="shared" si="83"/>
        <v>0</v>
      </c>
      <c r="H103" s="39">
        <f t="shared" si="83"/>
        <v>0</v>
      </c>
      <c r="I103" s="39">
        <f t="shared" si="83"/>
        <v>0</v>
      </c>
      <c r="J103" s="39">
        <f t="shared" si="83"/>
        <v>0</v>
      </c>
      <c r="K103" s="39">
        <f t="shared" si="83"/>
        <v>0</v>
      </c>
      <c r="L103" s="39">
        <f t="shared" si="83"/>
        <v>0</v>
      </c>
      <c r="M103" s="39">
        <f t="shared" si="83"/>
        <v>0</v>
      </c>
      <c r="N103" s="39">
        <f t="shared" si="83"/>
        <v>0</v>
      </c>
      <c r="O103" s="136">
        <f t="shared" si="60"/>
        <v>0</v>
      </c>
      <c r="P103" s="82">
        <v>0</v>
      </c>
      <c r="Q103" s="104">
        <f t="shared" si="61"/>
        <v>0</v>
      </c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</row>
    <row r="104" spans="1:74" s="106" customFormat="1" ht="42.75" x14ac:dyDescent="0.2">
      <c r="A104" s="72" t="s">
        <v>488</v>
      </c>
      <c r="B104" s="73" t="s">
        <v>163</v>
      </c>
      <c r="C104" s="39">
        <f t="shared" ref="C104:N104" si="84">+C102*0.095%</f>
        <v>0</v>
      </c>
      <c r="D104" s="39">
        <f t="shared" si="84"/>
        <v>0</v>
      </c>
      <c r="E104" s="39">
        <f t="shared" si="84"/>
        <v>0</v>
      </c>
      <c r="F104" s="39">
        <f t="shared" si="84"/>
        <v>0</v>
      </c>
      <c r="G104" s="39">
        <f t="shared" si="84"/>
        <v>0</v>
      </c>
      <c r="H104" s="39">
        <f t="shared" si="84"/>
        <v>0</v>
      </c>
      <c r="I104" s="39">
        <f t="shared" si="84"/>
        <v>0</v>
      </c>
      <c r="J104" s="39">
        <f t="shared" si="84"/>
        <v>0</v>
      </c>
      <c r="K104" s="39">
        <f t="shared" si="84"/>
        <v>0</v>
      </c>
      <c r="L104" s="39">
        <f t="shared" si="84"/>
        <v>0</v>
      </c>
      <c r="M104" s="39">
        <f t="shared" si="84"/>
        <v>0</v>
      </c>
      <c r="N104" s="39">
        <f t="shared" si="84"/>
        <v>0</v>
      </c>
      <c r="O104" s="136">
        <f t="shared" si="60"/>
        <v>0</v>
      </c>
      <c r="P104" s="105">
        <v>0</v>
      </c>
      <c r="Q104" s="104">
        <f t="shared" si="61"/>
        <v>0</v>
      </c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  <c r="BS104" s="105"/>
      <c r="BT104" s="105"/>
      <c r="BU104" s="105"/>
      <c r="BV104" s="105"/>
    </row>
    <row r="105" spans="1:74" s="106" customFormat="1" ht="42.75" x14ac:dyDescent="0.2">
      <c r="A105" s="72" t="s">
        <v>489</v>
      </c>
      <c r="B105" s="73" t="s">
        <v>164</v>
      </c>
      <c r="C105" s="39">
        <f t="shared" ref="C105:N105" si="85">+C102*5%</f>
        <v>0</v>
      </c>
      <c r="D105" s="39">
        <f t="shared" si="85"/>
        <v>0</v>
      </c>
      <c r="E105" s="39">
        <f t="shared" si="85"/>
        <v>0</v>
      </c>
      <c r="F105" s="39">
        <f t="shared" si="85"/>
        <v>0</v>
      </c>
      <c r="G105" s="39">
        <f t="shared" si="85"/>
        <v>0</v>
      </c>
      <c r="H105" s="39">
        <f t="shared" si="85"/>
        <v>0</v>
      </c>
      <c r="I105" s="39">
        <f t="shared" si="85"/>
        <v>0</v>
      </c>
      <c r="J105" s="39">
        <f t="shared" si="85"/>
        <v>0</v>
      </c>
      <c r="K105" s="39">
        <f t="shared" si="85"/>
        <v>0</v>
      </c>
      <c r="L105" s="39">
        <f t="shared" si="85"/>
        <v>0</v>
      </c>
      <c r="M105" s="39">
        <f t="shared" si="85"/>
        <v>0</v>
      </c>
      <c r="N105" s="39">
        <f t="shared" si="85"/>
        <v>0</v>
      </c>
      <c r="O105" s="136">
        <f t="shared" si="60"/>
        <v>0</v>
      </c>
      <c r="P105" s="105">
        <v>0</v>
      </c>
      <c r="Q105" s="104">
        <f t="shared" si="61"/>
        <v>0</v>
      </c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5"/>
      <c r="BN105" s="105"/>
      <c r="BO105" s="105"/>
      <c r="BP105" s="105"/>
      <c r="BQ105" s="105"/>
      <c r="BR105" s="105"/>
      <c r="BS105" s="105"/>
      <c r="BT105" s="105"/>
      <c r="BU105" s="105"/>
      <c r="BV105" s="105"/>
    </row>
    <row r="106" spans="1:74" s="106" customFormat="1" ht="28.5" x14ac:dyDescent="0.2">
      <c r="A106" s="72" t="s">
        <v>490</v>
      </c>
      <c r="B106" s="144" t="s">
        <v>165</v>
      </c>
      <c r="C106" s="39">
        <f t="shared" ref="C106:N106" si="86">+C102*9.4905%</f>
        <v>0</v>
      </c>
      <c r="D106" s="39">
        <f t="shared" si="86"/>
        <v>0</v>
      </c>
      <c r="E106" s="39">
        <f t="shared" si="86"/>
        <v>0</v>
      </c>
      <c r="F106" s="39">
        <f t="shared" si="86"/>
        <v>0</v>
      </c>
      <c r="G106" s="39">
        <f t="shared" si="86"/>
        <v>0</v>
      </c>
      <c r="H106" s="39">
        <f t="shared" si="86"/>
        <v>0</v>
      </c>
      <c r="I106" s="39">
        <f t="shared" si="86"/>
        <v>0</v>
      </c>
      <c r="J106" s="39">
        <f t="shared" si="86"/>
        <v>0</v>
      </c>
      <c r="K106" s="39">
        <f t="shared" si="86"/>
        <v>0</v>
      </c>
      <c r="L106" s="39">
        <f t="shared" si="86"/>
        <v>0</v>
      </c>
      <c r="M106" s="39">
        <f t="shared" si="86"/>
        <v>0</v>
      </c>
      <c r="N106" s="39">
        <f t="shared" si="86"/>
        <v>0</v>
      </c>
      <c r="O106" s="136">
        <f t="shared" si="60"/>
        <v>0</v>
      </c>
      <c r="P106" s="105">
        <v>0</v>
      </c>
      <c r="Q106" s="104">
        <f t="shared" si="61"/>
        <v>0</v>
      </c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5"/>
      <c r="BN106" s="105"/>
      <c r="BO106" s="105"/>
      <c r="BP106" s="105"/>
      <c r="BQ106" s="105"/>
      <c r="BR106" s="105"/>
      <c r="BS106" s="105"/>
      <c r="BT106" s="105"/>
      <c r="BU106" s="105"/>
      <c r="BV106" s="105"/>
    </row>
    <row r="107" spans="1:74" s="106" customFormat="1" ht="42.75" x14ac:dyDescent="0.2">
      <c r="A107" s="72" t="s">
        <v>491</v>
      </c>
      <c r="B107" s="73" t="s">
        <v>166</v>
      </c>
      <c r="C107" s="39">
        <f t="shared" ref="C107:N107" si="87">+C102*1.70829%</f>
        <v>0</v>
      </c>
      <c r="D107" s="39">
        <f t="shared" si="87"/>
        <v>0</v>
      </c>
      <c r="E107" s="39">
        <f t="shared" si="87"/>
        <v>0</v>
      </c>
      <c r="F107" s="39">
        <f t="shared" si="87"/>
        <v>0</v>
      </c>
      <c r="G107" s="39">
        <f t="shared" si="87"/>
        <v>0</v>
      </c>
      <c r="H107" s="39">
        <f t="shared" si="87"/>
        <v>0</v>
      </c>
      <c r="I107" s="39">
        <f t="shared" si="87"/>
        <v>0</v>
      </c>
      <c r="J107" s="39">
        <f t="shared" si="87"/>
        <v>0</v>
      </c>
      <c r="K107" s="39">
        <f t="shared" si="87"/>
        <v>0</v>
      </c>
      <c r="L107" s="39">
        <f t="shared" si="87"/>
        <v>0</v>
      </c>
      <c r="M107" s="39">
        <f t="shared" si="87"/>
        <v>0</v>
      </c>
      <c r="N107" s="39">
        <f t="shared" si="87"/>
        <v>0</v>
      </c>
      <c r="O107" s="136">
        <f t="shared" si="60"/>
        <v>0</v>
      </c>
      <c r="P107" s="105">
        <v>0</v>
      </c>
      <c r="Q107" s="104">
        <f t="shared" si="61"/>
        <v>0</v>
      </c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  <c r="BV107" s="105"/>
    </row>
    <row r="108" spans="1:74" s="106" customFormat="1" ht="57" x14ac:dyDescent="0.2">
      <c r="A108" s="72" t="s">
        <v>492</v>
      </c>
      <c r="B108" s="73" t="s">
        <v>167</v>
      </c>
      <c r="C108" s="39">
        <f t="shared" ref="C108:N108" si="88">+C102*0.8370621%</f>
        <v>0</v>
      </c>
      <c r="D108" s="39">
        <f t="shared" si="88"/>
        <v>0</v>
      </c>
      <c r="E108" s="39">
        <f t="shared" si="88"/>
        <v>0</v>
      </c>
      <c r="F108" s="39">
        <f t="shared" si="88"/>
        <v>0</v>
      </c>
      <c r="G108" s="39">
        <f t="shared" si="88"/>
        <v>0</v>
      </c>
      <c r="H108" s="39">
        <f t="shared" si="88"/>
        <v>0</v>
      </c>
      <c r="I108" s="39">
        <f t="shared" si="88"/>
        <v>0</v>
      </c>
      <c r="J108" s="39">
        <f t="shared" si="88"/>
        <v>0</v>
      </c>
      <c r="K108" s="39">
        <f t="shared" si="88"/>
        <v>0</v>
      </c>
      <c r="L108" s="39">
        <f t="shared" si="88"/>
        <v>0</v>
      </c>
      <c r="M108" s="39">
        <f t="shared" si="88"/>
        <v>0</v>
      </c>
      <c r="N108" s="39">
        <f t="shared" si="88"/>
        <v>0</v>
      </c>
      <c r="O108" s="136">
        <f t="shared" si="60"/>
        <v>0</v>
      </c>
      <c r="P108" s="105">
        <v>0</v>
      </c>
      <c r="Q108" s="104">
        <f t="shared" si="61"/>
        <v>0</v>
      </c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N108" s="105"/>
      <c r="BO108" s="105"/>
      <c r="BP108" s="105"/>
      <c r="BQ108" s="105"/>
      <c r="BR108" s="105"/>
      <c r="BS108" s="105"/>
      <c r="BT108" s="105"/>
      <c r="BU108" s="105"/>
      <c r="BV108" s="105"/>
    </row>
    <row r="109" spans="1:74" s="106" customFormat="1" ht="15.75" x14ac:dyDescent="0.2">
      <c r="A109" s="77" t="s">
        <v>493</v>
      </c>
      <c r="B109" s="75" t="s">
        <v>186</v>
      </c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136">
        <f t="shared" si="60"/>
        <v>0</v>
      </c>
      <c r="P109" s="105">
        <v>0</v>
      </c>
      <c r="Q109" s="104">
        <f t="shared" si="61"/>
        <v>0</v>
      </c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  <c r="BV109" s="105"/>
    </row>
    <row r="110" spans="1:74" s="83" customFormat="1" ht="28.5" x14ac:dyDescent="0.2">
      <c r="A110" s="72" t="s">
        <v>494</v>
      </c>
      <c r="B110" s="73" t="s">
        <v>187</v>
      </c>
      <c r="C110" s="39">
        <f t="shared" ref="C110:N110" si="89">+C109*87.230682%</f>
        <v>0</v>
      </c>
      <c r="D110" s="39">
        <f t="shared" si="89"/>
        <v>0</v>
      </c>
      <c r="E110" s="39">
        <f t="shared" si="89"/>
        <v>0</v>
      </c>
      <c r="F110" s="39">
        <f t="shared" si="89"/>
        <v>0</v>
      </c>
      <c r="G110" s="39">
        <f t="shared" si="89"/>
        <v>0</v>
      </c>
      <c r="H110" s="39">
        <f t="shared" si="89"/>
        <v>0</v>
      </c>
      <c r="I110" s="39">
        <f t="shared" si="89"/>
        <v>0</v>
      </c>
      <c r="J110" s="39">
        <f t="shared" si="89"/>
        <v>0</v>
      </c>
      <c r="K110" s="39">
        <f t="shared" si="89"/>
        <v>0</v>
      </c>
      <c r="L110" s="39">
        <f t="shared" si="89"/>
        <v>0</v>
      </c>
      <c r="M110" s="39">
        <f t="shared" si="89"/>
        <v>0</v>
      </c>
      <c r="N110" s="39">
        <f t="shared" si="89"/>
        <v>0</v>
      </c>
      <c r="O110" s="136">
        <f t="shared" si="60"/>
        <v>0</v>
      </c>
      <c r="P110" s="82">
        <v>0</v>
      </c>
      <c r="Q110" s="104">
        <f t="shared" si="61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</row>
    <row r="111" spans="1:74" s="106" customFormat="1" ht="14.25" x14ac:dyDescent="0.2">
      <c r="A111" s="72" t="s">
        <v>495</v>
      </c>
      <c r="B111" s="73" t="s">
        <v>188</v>
      </c>
      <c r="C111" s="39">
        <f t="shared" ref="C111:N111" si="90">+C109*0.1%</f>
        <v>0</v>
      </c>
      <c r="D111" s="39">
        <f t="shared" si="90"/>
        <v>0</v>
      </c>
      <c r="E111" s="39">
        <f t="shared" si="90"/>
        <v>0</v>
      </c>
      <c r="F111" s="39">
        <f t="shared" si="90"/>
        <v>0</v>
      </c>
      <c r="G111" s="39">
        <f t="shared" si="90"/>
        <v>0</v>
      </c>
      <c r="H111" s="39">
        <f t="shared" si="90"/>
        <v>0</v>
      </c>
      <c r="I111" s="39">
        <f t="shared" si="90"/>
        <v>0</v>
      </c>
      <c r="J111" s="39">
        <f t="shared" si="90"/>
        <v>0</v>
      </c>
      <c r="K111" s="39">
        <f t="shared" si="90"/>
        <v>0</v>
      </c>
      <c r="L111" s="39">
        <f t="shared" si="90"/>
        <v>0</v>
      </c>
      <c r="M111" s="39">
        <f t="shared" si="90"/>
        <v>0</v>
      </c>
      <c r="N111" s="39">
        <f t="shared" si="90"/>
        <v>0</v>
      </c>
      <c r="O111" s="136">
        <f t="shared" si="60"/>
        <v>0</v>
      </c>
      <c r="P111" s="105">
        <v>0</v>
      </c>
      <c r="Q111" s="104">
        <f t="shared" si="61"/>
        <v>0</v>
      </c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  <c r="BS111" s="105"/>
      <c r="BT111" s="105"/>
      <c r="BU111" s="105"/>
      <c r="BV111" s="105"/>
    </row>
    <row r="112" spans="1:74" s="106" customFormat="1" ht="14.25" x14ac:dyDescent="0.2">
      <c r="A112" s="72" t="s">
        <v>496</v>
      </c>
      <c r="B112" s="73" t="s">
        <v>189</v>
      </c>
      <c r="C112" s="39">
        <f t="shared" ref="C112:N112" si="91">+C109*9.99%</f>
        <v>0</v>
      </c>
      <c r="D112" s="39">
        <f t="shared" si="91"/>
        <v>0</v>
      </c>
      <c r="E112" s="39">
        <f t="shared" si="91"/>
        <v>0</v>
      </c>
      <c r="F112" s="39">
        <f t="shared" si="91"/>
        <v>0</v>
      </c>
      <c r="G112" s="39">
        <f t="shared" si="91"/>
        <v>0</v>
      </c>
      <c r="H112" s="39">
        <f t="shared" si="91"/>
        <v>0</v>
      </c>
      <c r="I112" s="39">
        <f t="shared" si="91"/>
        <v>0</v>
      </c>
      <c r="J112" s="39">
        <f t="shared" si="91"/>
        <v>0</v>
      </c>
      <c r="K112" s="39">
        <f t="shared" si="91"/>
        <v>0</v>
      </c>
      <c r="L112" s="39">
        <f t="shared" si="91"/>
        <v>0</v>
      </c>
      <c r="M112" s="39">
        <f t="shared" si="91"/>
        <v>0</v>
      </c>
      <c r="N112" s="39">
        <f t="shared" si="91"/>
        <v>0</v>
      </c>
      <c r="O112" s="136">
        <f t="shared" si="60"/>
        <v>0</v>
      </c>
      <c r="P112" s="105">
        <v>0</v>
      </c>
      <c r="Q112" s="104">
        <f t="shared" si="61"/>
        <v>0</v>
      </c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05"/>
      <c r="BP112" s="105"/>
      <c r="BQ112" s="105"/>
      <c r="BR112" s="105"/>
      <c r="BS112" s="105"/>
      <c r="BT112" s="105"/>
      <c r="BU112" s="105"/>
      <c r="BV112" s="105"/>
    </row>
    <row r="113" spans="1:74" s="106" customFormat="1" ht="28.5" x14ac:dyDescent="0.2">
      <c r="A113" s="72" t="s">
        <v>497</v>
      </c>
      <c r="B113" s="144" t="s">
        <v>190</v>
      </c>
      <c r="C113" s="39">
        <f t="shared" ref="C113:N113" si="92">+C109*1.7982%</f>
        <v>0</v>
      </c>
      <c r="D113" s="39">
        <f t="shared" si="92"/>
        <v>0</v>
      </c>
      <c r="E113" s="39">
        <f t="shared" si="92"/>
        <v>0</v>
      </c>
      <c r="F113" s="39">
        <f t="shared" si="92"/>
        <v>0</v>
      </c>
      <c r="G113" s="39">
        <f t="shared" si="92"/>
        <v>0</v>
      </c>
      <c r="H113" s="39">
        <f t="shared" si="92"/>
        <v>0</v>
      </c>
      <c r="I113" s="39">
        <f t="shared" si="92"/>
        <v>0</v>
      </c>
      <c r="J113" s="39">
        <f t="shared" si="92"/>
        <v>0</v>
      </c>
      <c r="K113" s="39">
        <f t="shared" si="92"/>
        <v>0</v>
      </c>
      <c r="L113" s="39">
        <f t="shared" si="92"/>
        <v>0</v>
      </c>
      <c r="M113" s="39">
        <f t="shared" si="92"/>
        <v>0</v>
      </c>
      <c r="N113" s="39">
        <f t="shared" si="92"/>
        <v>0</v>
      </c>
      <c r="O113" s="136">
        <f t="shared" si="60"/>
        <v>0</v>
      </c>
      <c r="P113" s="105">
        <v>0</v>
      </c>
      <c r="Q113" s="104">
        <f t="shared" si="61"/>
        <v>0</v>
      </c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05"/>
      <c r="BP113" s="105"/>
      <c r="BQ113" s="105"/>
      <c r="BR113" s="105"/>
      <c r="BS113" s="105"/>
      <c r="BT113" s="105"/>
      <c r="BU113" s="105"/>
      <c r="BV113" s="105"/>
    </row>
    <row r="114" spans="1:74" s="106" customFormat="1" ht="42.75" x14ac:dyDescent="0.2">
      <c r="A114" s="72" t="s">
        <v>498</v>
      </c>
      <c r="B114" s="73" t="s">
        <v>191</v>
      </c>
      <c r="C114" s="39">
        <f t="shared" ref="C114:N114" si="93">+C109*0.881118%</f>
        <v>0</v>
      </c>
      <c r="D114" s="39">
        <f t="shared" si="93"/>
        <v>0</v>
      </c>
      <c r="E114" s="39">
        <f t="shared" si="93"/>
        <v>0</v>
      </c>
      <c r="F114" s="39">
        <f t="shared" si="93"/>
        <v>0</v>
      </c>
      <c r="G114" s="39">
        <f t="shared" si="93"/>
        <v>0</v>
      </c>
      <c r="H114" s="39">
        <f t="shared" si="93"/>
        <v>0</v>
      </c>
      <c r="I114" s="39">
        <f t="shared" si="93"/>
        <v>0</v>
      </c>
      <c r="J114" s="39">
        <f t="shared" si="93"/>
        <v>0</v>
      </c>
      <c r="K114" s="39">
        <f t="shared" si="93"/>
        <v>0</v>
      </c>
      <c r="L114" s="39">
        <f t="shared" si="93"/>
        <v>0</v>
      </c>
      <c r="M114" s="39">
        <f t="shared" si="93"/>
        <v>0</v>
      </c>
      <c r="N114" s="39">
        <f t="shared" si="93"/>
        <v>0</v>
      </c>
      <c r="O114" s="136">
        <f t="shared" si="60"/>
        <v>0</v>
      </c>
      <c r="P114" s="105">
        <v>0</v>
      </c>
      <c r="Q114" s="104">
        <f t="shared" si="61"/>
        <v>0</v>
      </c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5"/>
      <c r="BQ114" s="105"/>
      <c r="BR114" s="105"/>
      <c r="BS114" s="105"/>
      <c r="BT114" s="105"/>
      <c r="BU114" s="105"/>
      <c r="BV114" s="105"/>
    </row>
    <row r="115" spans="1:74" s="106" customFormat="1" ht="19.5" x14ac:dyDescent="0.2">
      <c r="A115" s="77" t="s">
        <v>499</v>
      </c>
      <c r="B115" s="75" t="s">
        <v>500</v>
      </c>
      <c r="C115" s="188">
        <f t="shared" ref="C115:N115" si="94">+C116+C118+C123+C126+C132+C137</f>
        <v>0</v>
      </c>
      <c r="D115" s="188">
        <f t="shared" si="94"/>
        <v>0</v>
      </c>
      <c r="E115" s="188">
        <f t="shared" si="94"/>
        <v>0</v>
      </c>
      <c r="F115" s="188">
        <f t="shared" si="94"/>
        <v>0</v>
      </c>
      <c r="G115" s="188">
        <f t="shared" si="94"/>
        <v>0</v>
      </c>
      <c r="H115" s="188">
        <f t="shared" si="94"/>
        <v>0</v>
      </c>
      <c r="I115" s="188">
        <f t="shared" si="94"/>
        <v>0</v>
      </c>
      <c r="J115" s="188">
        <f t="shared" si="94"/>
        <v>0</v>
      </c>
      <c r="K115" s="188">
        <f t="shared" si="94"/>
        <v>0</v>
      </c>
      <c r="L115" s="188">
        <f t="shared" si="94"/>
        <v>0</v>
      </c>
      <c r="M115" s="188">
        <f t="shared" si="94"/>
        <v>0</v>
      </c>
      <c r="N115" s="188">
        <f t="shared" si="94"/>
        <v>0</v>
      </c>
      <c r="O115" s="136">
        <f t="shared" si="60"/>
        <v>0</v>
      </c>
      <c r="P115" s="105">
        <v>0</v>
      </c>
      <c r="Q115" s="104">
        <f t="shared" si="61"/>
        <v>0</v>
      </c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05"/>
      <c r="BT115" s="105"/>
      <c r="BU115" s="105"/>
      <c r="BV115" s="105"/>
    </row>
    <row r="116" spans="1:74" s="106" customFormat="1" ht="31.5" x14ac:dyDescent="0.2">
      <c r="A116" s="77" t="s">
        <v>501</v>
      </c>
      <c r="B116" s="75" t="s">
        <v>502</v>
      </c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136">
        <f t="shared" si="60"/>
        <v>0</v>
      </c>
      <c r="P116" s="105">
        <v>0</v>
      </c>
      <c r="Q116" s="104">
        <f t="shared" si="61"/>
        <v>0</v>
      </c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05"/>
      <c r="BT116" s="105"/>
      <c r="BU116" s="105"/>
      <c r="BV116" s="105"/>
    </row>
    <row r="117" spans="1:74" s="83" customFormat="1" ht="28.5" x14ac:dyDescent="0.2">
      <c r="A117" s="72" t="s">
        <v>503</v>
      </c>
      <c r="B117" s="73" t="s">
        <v>192</v>
      </c>
      <c r="C117" s="39">
        <f t="shared" ref="C117:N117" si="95">+C116</f>
        <v>0</v>
      </c>
      <c r="D117" s="39">
        <f t="shared" si="95"/>
        <v>0</v>
      </c>
      <c r="E117" s="39">
        <f t="shared" si="95"/>
        <v>0</v>
      </c>
      <c r="F117" s="39">
        <f t="shared" si="95"/>
        <v>0</v>
      </c>
      <c r="G117" s="39">
        <f t="shared" si="95"/>
        <v>0</v>
      </c>
      <c r="H117" s="39">
        <f t="shared" si="95"/>
        <v>0</v>
      </c>
      <c r="I117" s="39">
        <f t="shared" si="95"/>
        <v>0</v>
      </c>
      <c r="J117" s="39">
        <f t="shared" si="95"/>
        <v>0</v>
      </c>
      <c r="K117" s="39">
        <f t="shared" si="95"/>
        <v>0</v>
      </c>
      <c r="L117" s="39">
        <f t="shared" si="95"/>
        <v>0</v>
      </c>
      <c r="M117" s="39">
        <f t="shared" si="95"/>
        <v>0</v>
      </c>
      <c r="N117" s="39">
        <f t="shared" si="95"/>
        <v>0</v>
      </c>
      <c r="O117" s="136">
        <f t="shared" si="60"/>
        <v>0</v>
      </c>
      <c r="P117" s="82">
        <v>0</v>
      </c>
      <c r="Q117" s="104">
        <f t="shared" si="61"/>
        <v>0</v>
      </c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</row>
    <row r="118" spans="1:74" s="106" customFormat="1" ht="31.5" x14ac:dyDescent="0.2">
      <c r="A118" s="77" t="s">
        <v>504</v>
      </c>
      <c r="B118" s="75" t="s">
        <v>505</v>
      </c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36">
        <f t="shared" si="60"/>
        <v>0</v>
      </c>
      <c r="P118" s="105">
        <v>0</v>
      </c>
      <c r="Q118" s="104">
        <f t="shared" si="61"/>
        <v>0</v>
      </c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  <c r="BS118" s="105"/>
      <c r="BT118" s="105"/>
      <c r="BU118" s="105"/>
      <c r="BV118" s="105"/>
    </row>
    <row r="119" spans="1:74" s="106" customFormat="1" ht="28.5" x14ac:dyDescent="0.2">
      <c r="A119" s="72" t="s">
        <v>506</v>
      </c>
      <c r="B119" s="73" t="s">
        <v>200</v>
      </c>
      <c r="C119" s="39">
        <f t="shared" ref="C119:N119" si="96">+C118*20%</f>
        <v>0</v>
      </c>
      <c r="D119" s="39">
        <f t="shared" si="96"/>
        <v>0</v>
      </c>
      <c r="E119" s="39">
        <f t="shared" si="96"/>
        <v>0</v>
      </c>
      <c r="F119" s="39">
        <f t="shared" si="96"/>
        <v>0</v>
      </c>
      <c r="G119" s="39">
        <f t="shared" si="96"/>
        <v>0</v>
      </c>
      <c r="H119" s="39">
        <f t="shared" si="96"/>
        <v>0</v>
      </c>
      <c r="I119" s="39">
        <f t="shared" si="96"/>
        <v>0</v>
      </c>
      <c r="J119" s="39">
        <f t="shared" si="96"/>
        <v>0</v>
      </c>
      <c r="K119" s="39">
        <f t="shared" si="96"/>
        <v>0</v>
      </c>
      <c r="L119" s="39">
        <f t="shared" si="96"/>
        <v>0</v>
      </c>
      <c r="M119" s="39">
        <f t="shared" si="96"/>
        <v>0</v>
      </c>
      <c r="N119" s="39">
        <f t="shared" si="96"/>
        <v>0</v>
      </c>
      <c r="O119" s="136">
        <f t="shared" si="60"/>
        <v>0</v>
      </c>
      <c r="P119" s="105">
        <v>0</v>
      </c>
      <c r="Q119" s="104">
        <f t="shared" si="61"/>
        <v>0</v>
      </c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  <c r="BV119" s="105"/>
    </row>
    <row r="120" spans="1:74" s="83" customFormat="1" ht="28.5" x14ac:dyDescent="0.2">
      <c r="A120" s="72" t="s">
        <v>507</v>
      </c>
      <c r="B120" s="144" t="s">
        <v>201</v>
      </c>
      <c r="C120" s="39">
        <f t="shared" ref="C120:N120" si="97">+C118*40%</f>
        <v>0</v>
      </c>
      <c r="D120" s="39">
        <f t="shared" si="97"/>
        <v>0</v>
      </c>
      <c r="E120" s="39">
        <f t="shared" si="97"/>
        <v>0</v>
      </c>
      <c r="F120" s="39">
        <f t="shared" si="97"/>
        <v>0</v>
      </c>
      <c r="G120" s="39">
        <f t="shared" si="97"/>
        <v>0</v>
      </c>
      <c r="H120" s="39">
        <f t="shared" si="97"/>
        <v>0</v>
      </c>
      <c r="I120" s="39">
        <f t="shared" si="97"/>
        <v>0</v>
      </c>
      <c r="J120" s="39">
        <f t="shared" si="97"/>
        <v>0</v>
      </c>
      <c r="K120" s="39">
        <f t="shared" si="97"/>
        <v>0</v>
      </c>
      <c r="L120" s="39">
        <f t="shared" si="97"/>
        <v>0</v>
      </c>
      <c r="M120" s="39">
        <f t="shared" si="97"/>
        <v>0</v>
      </c>
      <c r="N120" s="39">
        <f t="shared" si="97"/>
        <v>0</v>
      </c>
      <c r="O120" s="136">
        <f t="shared" si="60"/>
        <v>0</v>
      </c>
      <c r="P120" s="82">
        <v>0</v>
      </c>
      <c r="Q120" s="104">
        <f t="shared" si="61"/>
        <v>0</v>
      </c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</row>
    <row r="121" spans="1:74" s="106" customFormat="1" ht="28.5" x14ac:dyDescent="0.2">
      <c r="A121" s="72" t="s">
        <v>508</v>
      </c>
      <c r="B121" s="73" t="s">
        <v>202</v>
      </c>
      <c r="C121" s="39">
        <f t="shared" ref="C121:N121" si="98">+C118*20%</f>
        <v>0</v>
      </c>
      <c r="D121" s="39">
        <f t="shared" si="98"/>
        <v>0</v>
      </c>
      <c r="E121" s="39">
        <f t="shared" si="98"/>
        <v>0</v>
      </c>
      <c r="F121" s="39">
        <f t="shared" si="98"/>
        <v>0</v>
      </c>
      <c r="G121" s="39">
        <f t="shared" si="98"/>
        <v>0</v>
      </c>
      <c r="H121" s="39">
        <f t="shared" si="98"/>
        <v>0</v>
      </c>
      <c r="I121" s="39">
        <f t="shared" si="98"/>
        <v>0</v>
      </c>
      <c r="J121" s="39">
        <f t="shared" si="98"/>
        <v>0</v>
      </c>
      <c r="K121" s="39">
        <f t="shared" si="98"/>
        <v>0</v>
      </c>
      <c r="L121" s="39">
        <f t="shared" si="98"/>
        <v>0</v>
      </c>
      <c r="M121" s="39">
        <f t="shared" si="98"/>
        <v>0</v>
      </c>
      <c r="N121" s="39">
        <f t="shared" si="98"/>
        <v>0</v>
      </c>
      <c r="O121" s="136">
        <f t="shared" si="60"/>
        <v>0</v>
      </c>
      <c r="P121" s="105">
        <v>0</v>
      </c>
      <c r="Q121" s="104">
        <f t="shared" si="61"/>
        <v>0</v>
      </c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  <c r="BS121" s="105"/>
      <c r="BT121" s="105"/>
      <c r="BU121" s="105"/>
      <c r="BV121" s="105"/>
    </row>
    <row r="122" spans="1:74" s="106" customFormat="1" ht="14.25" x14ac:dyDescent="0.2">
      <c r="A122" s="72" t="s">
        <v>509</v>
      </c>
      <c r="B122" s="73" t="s">
        <v>203</v>
      </c>
      <c r="C122" s="39">
        <f t="shared" ref="C122:N122" si="99">+C118*20%</f>
        <v>0</v>
      </c>
      <c r="D122" s="39">
        <f t="shared" si="99"/>
        <v>0</v>
      </c>
      <c r="E122" s="39">
        <f t="shared" si="99"/>
        <v>0</v>
      </c>
      <c r="F122" s="39">
        <f t="shared" si="99"/>
        <v>0</v>
      </c>
      <c r="G122" s="39">
        <f t="shared" si="99"/>
        <v>0</v>
      </c>
      <c r="H122" s="39">
        <f t="shared" si="99"/>
        <v>0</v>
      </c>
      <c r="I122" s="39">
        <f t="shared" si="99"/>
        <v>0</v>
      </c>
      <c r="J122" s="39">
        <f t="shared" si="99"/>
        <v>0</v>
      </c>
      <c r="K122" s="39">
        <f t="shared" si="99"/>
        <v>0</v>
      </c>
      <c r="L122" s="39">
        <f t="shared" si="99"/>
        <v>0</v>
      </c>
      <c r="M122" s="39">
        <f t="shared" si="99"/>
        <v>0</v>
      </c>
      <c r="N122" s="39">
        <f t="shared" si="99"/>
        <v>0</v>
      </c>
      <c r="O122" s="136">
        <f t="shared" si="60"/>
        <v>0</v>
      </c>
      <c r="P122" s="105">
        <v>0</v>
      </c>
      <c r="Q122" s="104">
        <f t="shared" si="61"/>
        <v>0</v>
      </c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05"/>
      <c r="BT122" s="105"/>
      <c r="BU122" s="105"/>
      <c r="BV122" s="105"/>
    </row>
    <row r="123" spans="1:74" s="106" customFormat="1" ht="15.75" x14ac:dyDescent="0.2">
      <c r="A123" s="77" t="s">
        <v>510</v>
      </c>
      <c r="B123" s="75" t="s">
        <v>193</v>
      </c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136">
        <f t="shared" si="60"/>
        <v>0</v>
      </c>
      <c r="P123" s="105">
        <v>0</v>
      </c>
      <c r="Q123" s="104">
        <f t="shared" si="61"/>
        <v>0</v>
      </c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05"/>
      <c r="BP123" s="105"/>
      <c r="BQ123" s="105"/>
      <c r="BR123" s="105"/>
      <c r="BS123" s="105"/>
      <c r="BT123" s="105"/>
      <c r="BU123" s="105"/>
      <c r="BV123" s="105"/>
    </row>
    <row r="124" spans="1:74" s="83" customFormat="1" ht="14.25" x14ac:dyDescent="0.2">
      <c r="A124" s="72" t="s">
        <v>511</v>
      </c>
      <c r="B124" s="73" t="s">
        <v>194</v>
      </c>
      <c r="C124" s="39">
        <f t="shared" ref="C124:N124" si="100">+C123*80%</f>
        <v>0</v>
      </c>
      <c r="D124" s="39">
        <f t="shared" si="100"/>
        <v>0</v>
      </c>
      <c r="E124" s="39">
        <f t="shared" si="100"/>
        <v>0</v>
      </c>
      <c r="F124" s="39">
        <f t="shared" si="100"/>
        <v>0</v>
      </c>
      <c r="G124" s="39">
        <f t="shared" si="100"/>
        <v>0</v>
      </c>
      <c r="H124" s="39">
        <f t="shared" si="100"/>
        <v>0</v>
      </c>
      <c r="I124" s="39">
        <f t="shared" si="100"/>
        <v>0</v>
      </c>
      <c r="J124" s="39">
        <f t="shared" si="100"/>
        <v>0</v>
      </c>
      <c r="K124" s="39">
        <f t="shared" si="100"/>
        <v>0</v>
      </c>
      <c r="L124" s="39">
        <f t="shared" si="100"/>
        <v>0</v>
      </c>
      <c r="M124" s="39">
        <f t="shared" si="100"/>
        <v>0</v>
      </c>
      <c r="N124" s="39">
        <f t="shared" si="100"/>
        <v>0</v>
      </c>
      <c r="O124" s="136">
        <f t="shared" si="60"/>
        <v>0</v>
      </c>
      <c r="P124" s="82">
        <v>0</v>
      </c>
      <c r="Q124" s="104">
        <f t="shared" si="61"/>
        <v>0</v>
      </c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</row>
    <row r="125" spans="1:74" s="83" customFormat="1" ht="28.5" x14ac:dyDescent="0.2">
      <c r="A125" s="72" t="s">
        <v>512</v>
      </c>
      <c r="B125" s="73" t="s">
        <v>195</v>
      </c>
      <c r="C125" s="39">
        <f t="shared" ref="C125:N125" si="101">+C123*20%</f>
        <v>0</v>
      </c>
      <c r="D125" s="39">
        <f t="shared" si="101"/>
        <v>0</v>
      </c>
      <c r="E125" s="39">
        <f t="shared" si="101"/>
        <v>0</v>
      </c>
      <c r="F125" s="39">
        <f t="shared" si="101"/>
        <v>0</v>
      </c>
      <c r="G125" s="39">
        <f t="shared" si="101"/>
        <v>0</v>
      </c>
      <c r="H125" s="39">
        <f t="shared" si="101"/>
        <v>0</v>
      </c>
      <c r="I125" s="39">
        <f t="shared" si="101"/>
        <v>0</v>
      </c>
      <c r="J125" s="39">
        <f t="shared" si="101"/>
        <v>0</v>
      </c>
      <c r="K125" s="39">
        <f t="shared" si="101"/>
        <v>0</v>
      </c>
      <c r="L125" s="39">
        <f t="shared" si="101"/>
        <v>0</v>
      </c>
      <c r="M125" s="39">
        <f t="shared" si="101"/>
        <v>0</v>
      </c>
      <c r="N125" s="39">
        <f t="shared" si="101"/>
        <v>0</v>
      </c>
      <c r="O125" s="136">
        <f t="shared" si="60"/>
        <v>0</v>
      </c>
      <c r="P125" s="82">
        <v>0</v>
      </c>
      <c r="Q125" s="104">
        <f t="shared" si="61"/>
        <v>0</v>
      </c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</row>
    <row r="126" spans="1:74" s="106" customFormat="1" ht="31.5" x14ac:dyDescent="0.2">
      <c r="A126" s="77" t="s">
        <v>513</v>
      </c>
      <c r="B126" s="75" t="s">
        <v>514</v>
      </c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136">
        <f t="shared" si="60"/>
        <v>0</v>
      </c>
      <c r="P126" s="105">
        <v>0</v>
      </c>
      <c r="Q126" s="104">
        <f t="shared" si="61"/>
        <v>0</v>
      </c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  <c r="BV126" s="105"/>
    </row>
    <row r="127" spans="1:74" s="106" customFormat="1" ht="14.25" x14ac:dyDescent="0.2">
      <c r="A127" s="72" t="s">
        <v>515</v>
      </c>
      <c r="B127" s="73" t="s">
        <v>206</v>
      </c>
      <c r="C127" s="39">
        <f t="shared" ref="C127:N127" si="102">+C126*75%</f>
        <v>0</v>
      </c>
      <c r="D127" s="39">
        <f t="shared" si="102"/>
        <v>0</v>
      </c>
      <c r="E127" s="39">
        <f t="shared" si="102"/>
        <v>0</v>
      </c>
      <c r="F127" s="39">
        <f t="shared" si="102"/>
        <v>0</v>
      </c>
      <c r="G127" s="39">
        <f t="shared" si="102"/>
        <v>0</v>
      </c>
      <c r="H127" s="39">
        <f t="shared" si="102"/>
        <v>0</v>
      </c>
      <c r="I127" s="39">
        <f t="shared" si="102"/>
        <v>0</v>
      </c>
      <c r="J127" s="39">
        <f t="shared" si="102"/>
        <v>0</v>
      </c>
      <c r="K127" s="39">
        <f t="shared" si="102"/>
        <v>0</v>
      </c>
      <c r="L127" s="39">
        <f t="shared" si="102"/>
        <v>0</v>
      </c>
      <c r="M127" s="39">
        <f t="shared" si="102"/>
        <v>0</v>
      </c>
      <c r="N127" s="39">
        <f t="shared" si="102"/>
        <v>0</v>
      </c>
      <c r="O127" s="136">
        <f t="shared" si="60"/>
        <v>0</v>
      </c>
      <c r="P127" s="105">
        <v>0</v>
      </c>
      <c r="Q127" s="104">
        <f t="shared" si="61"/>
        <v>0</v>
      </c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  <c r="BS127" s="105"/>
      <c r="BT127" s="105"/>
      <c r="BU127" s="105"/>
      <c r="BV127" s="105"/>
    </row>
    <row r="128" spans="1:74" s="106" customFormat="1" ht="14.25" x14ac:dyDescent="0.2">
      <c r="A128" s="72" t="s">
        <v>516</v>
      </c>
      <c r="B128" s="73" t="s">
        <v>207</v>
      </c>
      <c r="C128" s="39">
        <f t="shared" ref="C128:N128" si="103">+C126*12%</f>
        <v>0</v>
      </c>
      <c r="D128" s="39">
        <f t="shared" si="103"/>
        <v>0</v>
      </c>
      <c r="E128" s="39">
        <f t="shared" si="103"/>
        <v>0</v>
      </c>
      <c r="F128" s="39">
        <f t="shared" si="103"/>
        <v>0</v>
      </c>
      <c r="G128" s="39">
        <f t="shared" si="103"/>
        <v>0</v>
      </c>
      <c r="H128" s="39">
        <f t="shared" si="103"/>
        <v>0</v>
      </c>
      <c r="I128" s="39">
        <f t="shared" si="103"/>
        <v>0</v>
      </c>
      <c r="J128" s="39">
        <f t="shared" si="103"/>
        <v>0</v>
      </c>
      <c r="K128" s="39">
        <f t="shared" si="103"/>
        <v>0</v>
      </c>
      <c r="L128" s="39">
        <f t="shared" si="103"/>
        <v>0</v>
      </c>
      <c r="M128" s="39">
        <f t="shared" si="103"/>
        <v>0</v>
      </c>
      <c r="N128" s="39">
        <f t="shared" si="103"/>
        <v>0</v>
      </c>
      <c r="O128" s="136">
        <f t="shared" si="60"/>
        <v>0</v>
      </c>
      <c r="P128" s="105">
        <v>0</v>
      </c>
      <c r="Q128" s="104">
        <f t="shared" si="61"/>
        <v>0</v>
      </c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</row>
    <row r="129" spans="1:74" s="83" customFormat="1" ht="14.25" x14ac:dyDescent="0.2">
      <c r="A129" s="72" t="s">
        <v>517</v>
      </c>
      <c r="B129" s="73" t="s">
        <v>208</v>
      </c>
      <c r="C129" s="39">
        <f t="shared" ref="C129:N129" si="104">+C126*8%</f>
        <v>0</v>
      </c>
      <c r="D129" s="39">
        <f t="shared" si="104"/>
        <v>0</v>
      </c>
      <c r="E129" s="39">
        <f t="shared" si="104"/>
        <v>0</v>
      </c>
      <c r="F129" s="39">
        <f t="shared" si="104"/>
        <v>0</v>
      </c>
      <c r="G129" s="39">
        <f t="shared" si="104"/>
        <v>0</v>
      </c>
      <c r="H129" s="39">
        <f t="shared" si="104"/>
        <v>0</v>
      </c>
      <c r="I129" s="39">
        <f t="shared" si="104"/>
        <v>0</v>
      </c>
      <c r="J129" s="39">
        <f t="shared" si="104"/>
        <v>0</v>
      </c>
      <c r="K129" s="39">
        <f t="shared" si="104"/>
        <v>0</v>
      </c>
      <c r="L129" s="39">
        <f t="shared" si="104"/>
        <v>0</v>
      </c>
      <c r="M129" s="39">
        <f t="shared" si="104"/>
        <v>0</v>
      </c>
      <c r="N129" s="39">
        <f t="shared" si="104"/>
        <v>0</v>
      </c>
      <c r="O129" s="136">
        <f t="shared" si="60"/>
        <v>0</v>
      </c>
      <c r="P129" s="82">
        <v>0</v>
      </c>
      <c r="Q129" s="104">
        <f t="shared" si="61"/>
        <v>0</v>
      </c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</row>
    <row r="130" spans="1:74" s="83" customFormat="1" ht="28.5" x14ac:dyDescent="0.2">
      <c r="A130" s="72" t="s">
        <v>518</v>
      </c>
      <c r="B130" s="73" t="s">
        <v>209</v>
      </c>
      <c r="C130" s="39">
        <f t="shared" ref="C130:N130" si="105">+C126*3%</f>
        <v>0</v>
      </c>
      <c r="D130" s="39">
        <f t="shared" si="105"/>
        <v>0</v>
      </c>
      <c r="E130" s="39">
        <f t="shared" si="105"/>
        <v>0</v>
      </c>
      <c r="F130" s="39">
        <f t="shared" si="105"/>
        <v>0</v>
      </c>
      <c r="G130" s="39">
        <f t="shared" si="105"/>
        <v>0</v>
      </c>
      <c r="H130" s="39">
        <f t="shared" si="105"/>
        <v>0</v>
      </c>
      <c r="I130" s="39">
        <f t="shared" si="105"/>
        <v>0</v>
      </c>
      <c r="J130" s="39">
        <f t="shared" si="105"/>
        <v>0</v>
      </c>
      <c r="K130" s="39">
        <f t="shared" si="105"/>
        <v>0</v>
      </c>
      <c r="L130" s="39">
        <f t="shared" si="105"/>
        <v>0</v>
      </c>
      <c r="M130" s="39">
        <f t="shared" si="105"/>
        <v>0</v>
      </c>
      <c r="N130" s="39">
        <f t="shared" si="105"/>
        <v>0</v>
      </c>
      <c r="O130" s="136">
        <f t="shared" si="60"/>
        <v>0</v>
      </c>
      <c r="P130" s="82">
        <v>0</v>
      </c>
      <c r="Q130" s="104">
        <f t="shared" si="61"/>
        <v>0</v>
      </c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</row>
    <row r="131" spans="1:74" s="106" customFormat="1" ht="28.5" x14ac:dyDescent="0.2">
      <c r="A131" s="72" t="s">
        <v>519</v>
      </c>
      <c r="B131" s="73" t="s">
        <v>210</v>
      </c>
      <c r="C131" s="39">
        <f t="shared" ref="C131:N131" si="106">+C126*2%</f>
        <v>0</v>
      </c>
      <c r="D131" s="39">
        <f t="shared" si="106"/>
        <v>0</v>
      </c>
      <c r="E131" s="39">
        <f t="shared" si="106"/>
        <v>0</v>
      </c>
      <c r="F131" s="39">
        <f t="shared" si="106"/>
        <v>0</v>
      </c>
      <c r="G131" s="39">
        <f t="shared" si="106"/>
        <v>0</v>
      </c>
      <c r="H131" s="39">
        <f t="shared" si="106"/>
        <v>0</v>
      </c>
      <c r="I131" s="39">
        <f t="shared" si="106"/>
        <v>0</v>
      </c>
      <c r="J131" s="39">
        <f t="shared" si="106"/>
        <v>0</v>
      </c>
      <c r="K131" s="39">
        <f t="shared" si="106"/>
        <v>0</v>
      </c>
      <c r="L131" s="39">
        <f t="shared" si="106"/>
        <v>0</v>
      </c>
      <c r="M131" s="39">
        <f t="shared" si="106"/>
        <v>0</v>
      </c>
      <c r="N131" s="39">
        <f t="shared" si="106"/>
        <v>0</v>
      </c>
      <c r="O131" s="136">
        <f t="shared" si="60"/>
        <v>0</v>
      </c>
      <c r="P131" s="105">
        <v>0</v>
      </c>
      <c r="Q131" s="104">
        <f t="shared" si="61"/>
        <v>0</v>
      </c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</row>
    <row r="132" spans="1:74" s="106" customFormat="1" ht="31.5" x14ac:dyDescent="0.2">
      <c r="A132" s="77" t="s">
        <v>520</v>
      </c>
      <c r="B132" s="75" t="s">
        <v>521</v>
      </c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136">
        <f t="shared" si="60"/>
        <v>0</v>
      </c>
      <c r="P132" s="105">
        <v>0</v>
      </c>
      <c r="Q132" s="104">
        <f t="shared" si="61"/>
        <v>0</v>
      </c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5"/>
      <c r="BN132" s="105"/>
      <c r="BO132" s="105"/>
      <c r="BP132" s="105"/>
      <c r="BQ132" s="105"/>
      <c r="BR132" s="105"/>
      <c r="BS132" s="105"/>
      <c r="BT132" s="105"/>
      <c r="BU132" s="105"/>
      <c r="BV132" s="105"/>
    </row>
    <row r="133" spans="1:74" s="106" customFormat="1" ht="28.5" x14ac:dyDescent="0.2">
      <c r="A133" s="72" t="s">
        <v>522</v>
      </c>
      <c r="B133" s="73" t="s">
        <v>204</v>
      </c>
      <c r="C133" s="39">
        <f t="shared" ref="C133:N133" si="107">+C132*60%</f>
        <v>0</v>
      </c>
      <c r="D133" s="39">
        <f t="shared" si="107"/>
        <v>0</v>
      </c>
      <c r="E133" s="39">
        <f t="shared" si="107"/>
        <v>0</v>
      </c>
      <c r="F133" s="39">
        <f t="shared" si="107"/>
        <v>0</v>
      </c>
      <c r="G133" s="39">
        <f t="shared" si="107"/>
        <v>0</v>
      </c>
      <c r="H133" s="39">
        <f t="shared" si="107"/>
        <v>0</v>
      </c>
      <c r="I133" s="39">
        <f t="shared" si="107"/>
        <v>0</v>
      </c>
      <c r="J133" s="39">
        <f t="shared" si="107"/>
        <v>0</v>
      </c>
      <c r="K133" s="39">
        <f t="shared" si="107"/>
        <v>0</v>
      </c>
      <c r="L133" s="39">
        <f t="shared" si="107"/>
        <v>0</v>
      </c>
      <c r="M133" s="39">
        <f t="shared" si="107"/>
        <v>0</v>
      </c>
      <c r="N133" s="39">
        <f t="shared" si="107"/>
        <v>0</v>
      </c>
      <c r="O133" s="136">
        <f t="shared" si="60"/>
        <v>0</v>
      </c>
      <c r="P133" s="105">
        <v>0</v>
      </c>
      <c r="Q133" s="104">
        <f t="shared" si="61"/>
        <v>0</v>
      </c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05"/>
      <c r="BP133" s="105"/>
      <c r="BQ133" s="105"/>
      <c r="BR133" s="105"/>
      <c r="BS133" s="105"/>
      <c r="BT133" s="105"/>
      <c r="BU133" s="105"/>
      <c r="BV133" s="105"/>
    </row>
    <row r="134" spans="1:74" s="106" customFormat="1" ht="28.5" x14ac:dyDescent="0.2">
      <c r="A134" s="72" t="s">
        <v>523</v>
      </c>
      <c r="B134" s="73" t="s">
        <v>205</v>
      </c>
      <c r="C134" s="39">
        <f t="shared" ref="C134:N134" si="108">+C132*19%</f>
        <v>0</v>
      </c>
      <c r="D134" s="39">
        <f t="shared" si="108"/>
        <v>0</v>
      </c>
      <c r="E134" s="39">
        <f t="shared" si="108"/>
        <v>0</v>
      </c>
      <c r="F134" s="39">
        <f t="shared" si="108"/>
        <v>0</v>
      </c>
      <c r="G134" s="39">
        <f t="shared" si="108"/>
        <v>0</v>
      </c>
      <c r="H134" s="39">
        <f t="shared" si="108"/>
        <v>0</v>
      </c>
      <c r="I134" s="39">
        <f t="shared" si="108"/>
        <v>0</v>
      </c>
      <c r="J134" s="39">
        <f t="shared" si="108"/>
        <v>0</v>
      </c>
      <c r="K134" s="39">
        <f t="shared" si="108"/>
        <v>0</v>
      </c>
      <c r="L134" s="39">
        <f t="shared" si="108"/>
        <v>0</v>
      </c>
      <c r="M134" s="39">
        <f t="shared" si="108"/>
        <v>0</v>
      </c>
      <c r="N134" s="39">
        <f t="shared" si="108"/>
        <v>0</v>
      </c>
      <c r="O134" s="136">
        <f t="shared" si="60"/>
        <v>0</v>
      </c>
      <c r="P134" s="105">
        <v>0</v>
      </c>
      <c r="Q134" s="104">
        <f t="shared" si="61"/>
        <v>0</v>
      </c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05"/>
      <c r="BP134" s="105"/>
      <c r="BQ134" s="105"/>
      <c r="BR134" s="105"/>
      <c r="BS134" s="105"/>
      <c r="BT134" s="105"/>
      <c r="BU134" s="105"/>
      <c r="BV134" s="105"/>
    </row>
    <row r="135" spans="1:74" s="83" customFormat="1" ht="14.25" x14ac:dyDescent="0.2">
      <c r="A135" s="72" t="s">
        <v>524</v>
      </c>
      <c r="B135" s="73" t="s">
        <v>525</v>
      </c>
      <c r="C135" s="39">
        <f t="shared" ref="C135:N135" si="109">+C132*1%</f>
        <v>0</v>
      </c>
      <c r="D135" s="39">
        <f t="shared" si="109"/>
        <v>0</v>
      </c>
      <c r="E135" s="39">
        <f t="shared" si="109"/>
        <v>0</v>
      </c>
      <c r="F135" s="39">
        <f t="shared" si="109"/>
        <v>0</v>
      </c>
      <c r="G135" s="39">
        <f t="shared" si="109"/>
        <v>0</v>
      </c>
      <c r="H135" s="39">
        <f t="shared" si="109"/>
        <v>0</v>
      </c>
      <c r="I135" s="39">
        <f t="shared" si="109"/>
        <v>0</v>
      </c>
      <c r="J135" s="39">
        <f t="shared" si="109"/>
        <v>0</v>
      </c>
      <c r="K135" s="39">
        <f t="shared" si="109"/>
        <v>0</v>
      </c>
      <c r="L135" s="39">
        <f t="shared" si="109"/>
        <v>0</v>
      </c>
      <c r="M135" s="39">
        <f t="shared" si="109"/>
        <v>0</v>
      </c>
      <c r="N135" s="39">
        <f t="shared" si="109"/>
        <v>0</v>
      </c>
      <c r="O135" s="136">
        <f t="shared" si="60"/>
        <v>0</v>
      </c>
      <c r="P135" s="82">
        <v>0</v>
      </c>
      <c r="Q135" s="104">
        <f t="shared" si="61"/>
        <v>0</v>
      </c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</row>
    <row r="136" spans="1:74" s="106" customFormat="1" ht="14.25" x14ac:dyDescent="0.2">
      <c r="A136" s="72" t="s">
        <v>526</v>
      </c>
      <c r="B136" s="73" t="s">
        <v>527</v>
      </c>
      <c r="C136" s="39">
        <f t="shared" ref="C136:N136" si="110">+C132*20%</f>
        <v>0</v>
      </c>
      <c r="D136" s="39">
        <f t="shared" si="110"/>
        <v>0</v>
      </c>
      <c r="E136" s="39">
        <f t="shared" si="110"/>
        <v>0</v>
      </c>
      <c r="F136" s="39">
        <f t="shared" si="110"/>
        <v>0</v>
      </c>
      <c r="G136" s="39">
        <f t="shared" si="110"/>
        <v>0</v>
      </c>
      <c r="H136" s="39">
        <f t="shared" si="110"/>
        <v>0</v>
      </c>
      <c r="I136" s="39">
        <f t="shared" si="110"/>
        <v>0</v>
      </c>
      <c r="J136" s="39">
        <f t="shared" si="110"/>
        <v>0</v>
      </c>
      <c r="K136" s="39">
        <f t="shared" si="110"/>
        <v>0</v>
      </c>
      <c r="L136" s="39">
        <f t="shared" si="110"/>
        <v>0</v>
      </c>
      <c r="M136" s="39">
        <f t="shared" si="110"/>
        <v>0</v>
      </c>
      <c r="N136" s="39">
        <f t="shared" si="110"/>
        <v>0</v>
      </c>
      <c r="O136" s="136">
        <f t="shared" si="60"/>
        <v>0</v>
      </c>
      <c r="P136" s="105">
        <v>0</v>
      </c>
      <c r="Q136" s="104">
        <f t="shared" si="61"/>
        <v>0</v>
      </c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5"/>
      <c r="BN136" s="105"/>
      <c r="BO136" s="105"/>
      <c r="BP136" s="105"/>
      <c r="BQ136" s="105"/>
      <c r="BR136" s="105"/>
      <c r="BS136" s="105"/>
      <c r="BT136" s="105"/>
      <c r="BU136" s="105"/>
      <c r="BV136" s="105"/>
    </row>
    <row r="137" spans="1:74" s="106" customFormat="1" ht="15.75" x14ac:dyDescent="0.2">
      <c r="A137" s="77" t="s">
        <v>528</v>
      </c>
      <c r="B137" s="75" t="s">
        <v>529</v>
      </c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136">
        <f t="shared" si="60"/>
        <v>0</v>
      </c>
      <c r="P137" s="105">
        <v>0</v>
      </c>
      <c r="Q137" s="104">
        <f t="shared" si="61"/>
        <v>0</v>
      </c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</row>
    <row r="138" spans="1:74" s="106" customFormat="1" ht="14.25" x14ac:dyDescent="0.2">
      <c r="A138" s="72" t="s">
        <v>530</v>
      </c>
      <c r="B138" s="73" t="s">
        <v>196</v>
      </c>
      <c r="C138" s="39">
        <f t="shared" ref="C138:N138" si="111">+C137*60%</f>
        <v>0</v>
      </c>
      <c r="D138" s="39">
        <f t="shared" si="111"/>
        <v>0</v>
      </c>
      <c r="E138" s="39">
        <f t="shared" si="111"/>
        <v>0</v>
      </c>
      <c r="F138" s="39">
        <f t="shared" si="111"/>
        <v>0</v>
      </c>
      <c r="G138" s="39">
        <f t="shared" si="111"/>
        <v>0</v>
      </c>
      <c r="H138" s="39">
        <f t="shared" si="111"/>
        <v>0</v>
      </c>
      <c r="I138" s="39">
        <f t="shared" si="111"/>
        <v>0</v>
      </c>
      <c r="J138" s="39">
        <f t="shared" si="111"/>
        <v>0</v>
      </c>
      <c r="K138" s="39">
        <f t="shared" si="111"/>
        <v>0</v>
      </c>
      <c r="L138" s="39">
        <f t="shared" si="111"/>
        <v>0</v>
      </c>
      <c r="M138" s="39">
        <f t="shared" si="111"/>
        <v>0</v>
      </c>
      <c r="N138" s="39">
        <f t="shared" si="111"/>
        <v>0</v>
      </c>
      <c r="O138" s="136">
        <f t="shared" si="60"/>
        <v>0</v>
      </c>
      <c r="P138" s="105">
        <v>0</v>
      </c>
      <c r="Q138" s="104">
        <f t="shared" si="61"/>
        <v>0</v>
      </c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5"/>
      <c r="BN138" s="105"/>
      <c r="BO138" s="105"/>
      <c r="BP138" s="105"/>
      <c r="BQ138" s="105"/>
      <c r="BR138" s="105"/>
      <c r="BS138" s="105"/>
      <c r="BT138" s="105"/>
      <c r="BU138" s="105"/>
      <c r="BV138" s="105"/>
    </row>
    <row r="139" spans="1:74" s="106" customFormat="1" ht="14.25" x14ac:dyDescent="0.2">
      <c r="A139" s="72" t="s">
        <v>531</v>
      </c>
      <c r="B139" s="73" t="s">
        <v>197</v>
      </c>
      <c r="C139" s="39">
        <f t="shared" ref="C139:N139" si="112">+C137*20%</f>
        <v>0</v>
      </c>
      <c r="D139" s="39">
        <f t="shared" si="112"/>
        <v>0</v>
      </c>
      <c r="E139" s="39">
        <f t="shared" si="112"/>
        <v>0</v>
      </c>
      <c r="F139" s="39">
        <f t="shared" si="112"/>
        <v>0</v>
      </c>
      <c r="G139" s="39">
        <f t="shared" si="112"/>
        <v>0</v>
      </c>
      <c r="H139" s="39">
        <f t="shared" si="112"/>
        <v>0</v>
      </c>
      <c r="I139" s="39">
        <f t="shared" si="112"/>
        <v>0</v>
      </c>
      <c r="J139" s="39">
        <f t="shared" si="112"/>
        <v>0</v>
      </c>
      <c r="K139" s="39">
        <f t="shared" si="112"/>
        <v>0</v>
      </c>
      <c r="L139" s="39">
        <f t="shared" si="112"/>
        <v>0</v>
      </c>
      <c r="M139" s="39">
        <f t="shared" si="112"/>
        <v>0</v>
      </c>
      <c r="N139" s="39">
        <f t="shared" si="112"/>
        <v>0</v>
      </c>
      <c r="O139" s="136">
        <f t="shared" si="60"/>
        <v>0</v>
      </c>
      <c r="P139" s="105">
        <v>0</v>
      </c>
      <c r="Q139" s="104">
        <f t="shared" si="61"/>
        <v>0</v>
      </c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/>
      <c r="BV139" s="105"/>
    </row>
    <row r="140" spans="1:74" s="106" customFormat="1" ht="28.5" x14ac:dyDescent="0.2">
      <c r="A140" s="72" t="s">
        <v>532</v>
      </c>
      <c r="B140" s="73" t="s">
        <v>198</v>
      </c>
      <c r="C140" s="39">
        <f t="shared" ref="C140:N140" si="113">+C137*10%</f>
        <v>0</v>
      </c>
      <c r="D140" s="39">
        <f t="shared" si="113"/>
        <v>0</v>
      </c>
      <c r="E140" s="39">
        <f t="shared" si="113"/>
        <v>0</v>
      </c>
      <c r="F140" s="39">
        <f t="shared" si="113"/>
        <v>0</v>
      </c>
      <c r="G140" s="39">
        <f t="shared" si="113"/>
        <v>0</v>
      </c>
      <c r="H140" s="39">
        <f t="shared" si="113"/>
        <v>0</v>
      </c>
      <c r="I140" s="39">
        <f t="shared" si="113"/>
        <v>0</v>
      </c>
      <c r="J140" s="39">
        <f t="shared" si="113"/>
        <v>0</v>
      </c>
      <c r="K140" s="39">
        <f t="shared" si="113"/>
        <v>0</v>
      </c>
      <c r="L140" s="39">
        <f t="shared" si="113"/>
        <v>0</v>
      </c>
      <c r="M140" s="39">
        <f t="shared" si="113"/>
        <v>0</v>
      </c>
      <c r="N140" s="39">
        <f t="shared" si="113"/>
        <v>0</v>
      </c>
      <c r="O140" s="136">
        <f t="shared" si="60"/>
        <v>0</v>
      </c>
      <c r="P140" s="105">
        <v>0</v>
      </c>
      <c r="Q140" s="104">
        <f t="shared" ref="Q140:Q205" si="114">+P140-O140</f>
        <v>0</v>
      </c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5"/>
      <c r="BN140" s="105"/>
      <c r="BO140" s="105"/>
      <c r="BP140" s="105"/>
      <c r="BQ140" s="105"/>
      <c r="BR140" s="105"/>
      <c r="BS140" s="105"/>
      <c r="BT140" s="105"/>
      <c r="BU140" s="105"/>
      <c r="BV140" s="105"/>
    </row>
    <row r="141" spans="1:74" s="106" customFormat="1" ht="28.5" x14ac:dyDescent="0.2">
      <c r="A141" s="72" t="s">
        <v>533</v>
      </c>
      <c r="B141" s="73" t="s">
        <v>199</v>
      </c>
      <c r="C141" s="39">
        <f t="shared" ref="C141:N141" si="115">+C137*10%</f>
        <v>0</v>
      </c>
      <c r="D141" s="39">
        <f t="shared" si="115"/>
        <v>0</v>
      </c>
      <c r="E141" s="39">
        <f t="shared" si="115"/>
        <v>0</v>
      </c>
      <c r="F141" s="39">
        <f t="shared" si="115"/>
        <v>0</v>
      </c>
      <c r="G141" s="39">
        <f t="shared" si="115"/>
        <v>0</v>
      </c>
      <c r="H141" s="39">
        <f t="shared" si="115"/>
        <v>0</v>
      </c>
      <c r="I141" s="39">
        <f t="shared" si="115"/>
        <v>0</v>
      </c>
      <c r="J141" s="39">
        <f t="shared" si="115"/>
        <v>0</v>
      </c>
      <c r="K141" s="39">
        <f t="shared" si="115"/>
        <v>0</v>
      </c>
      <c r="L141" s="39">
        <f t="shared" si="115"/>
        <v>0</v>
      </c>
      <c r="M141" s="39">
        <f t="shared" si="115"/>
        <v>0</v>
      </c>
      <c r="N141" s="39">
        <f t="shared" si="115"/>
        <v>0</v>
      </c>
      <c r="O141" s="136">
        <f t="shared" ref="O141:O210" si="116">SUM(C141:N141)</f>
        <v>0</v>
      </c>
      <c r="P141" s="105">
        <v>0</v>
      </c>
      <c r="Q141" s="104">
        <f t="shared" si="114"/>
        <v>0</v>
      </c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05"/>
      <c r="BP141" s="105"/>
      <c r="BQ141" s="105"/>
      <c r="BR141" s="105"/>
      <c r="BS141" s="105"/>
      <c r="BT141" s="105"/>
      <c r="BU141" s="105"/>
      <c r="BV141" s="105"/>
    </row>
    <row r="142" spans="1:74" s="106" customFormat="1" ht="39" x14ac:dyDescent="0.2">
      <c r="A142" s="183" t="s">
        <v>534</v>
      </c>
      <c r="B142" s="184" t="s">
        <v>211</v>
      </c>
      <c r="C142" s="188">
        <f t="shared" ref="C142:N142" si="117">+C143+C151+C181+C191+C221</f>
        <v>0</v>
      </c>
      <c r="D142" s="188">
        <f t="shared" si="117"/>
        <v>0</v>
      </c>
      <c r="E142" s="188">
        <f t="shared" si="117"/>
        <v>0</v>
      </c>
      <c r="F142" s="188">
        <f t="shared" si="117"/>
        <v>0</v>
      </c>
      <c r="G142" s="188">
        <f t="shared" si="117"/>
        <v>0</v>
      </c>
      <c r="H142" s="188">
        <f t="shared" si="117"/>
        <v>0</v>
      </c>
      <c r="I142" s="188">
        <f t="shared" si="117"/>
        <v>0</v>
      </c>
      <c r="J142" s="188">
        <f t="shared" si="117"/>
        <v>9457060819</v>
      </c>
      <c r="K142" s="188">
        <f t="shared" si="117"/>
        <v>0</v>
      </c>
      <c r="L142" s="188">
        <f t="shared" si="117"/>
        <v>0</v>
      </c>
      <c r="M142" s="188">
        <f t="shared" si="117"/>
        <v>1506892011.03</v>
      </c>
      <c r="N142" s="188">
        <f t="shared" si="117"/>
        <v>14400000000</v>
      </c>
      <c r="O142" s="136">
        <f t="shared" si="116"/>
        <v>25363952830.029999</v>
      </c>
      <c r="P142" s="105">
        <v>0</v>
      </c>
      <c r="Q142" s="104">
        <f t="shared" si="114"/>
        <v>-25363952830.029999</v>
      </c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05"/>
      <c r="BP142" s="105"/>
      <c r="BQ142" s="105"/>
      <c r="BR142" s="105"/>
      <c r="BS142" s="105"/>
      <c r="BT142" s="105"/>
      <c r="BU142" s="105"/>
      <c r="BV142" s="105"/>
    </row>
    <row r="143" spans="1:74" s="106" customFormat="1" ht="19.5" x14ac:dyDescent="0.2">
      <c r="A143" s="77" t="s">
        <v>535</v>
      </c>
      <c r="B143" s="75" t="s">
        <v>536</v>
      </c>
      <c r="C143" s="188">
        <f t="shared" ref="C143:N143" si="118">+C144+C146</f>
        <v>0</v>
      </c>
      <c r="D143" s="188">
        <f t="shared" si="118"/>
        <v>0</v>
      </c>
      <c r="E143" s="188">
        <f t="shared" si="118"/>
        <v>0</v>
      </c>
      <c r="F143" s="188">
        <f t="shared" si="118"/>
        <v>0</v>
      </c>
      <c r="G143" s="188">
        <f t="shared" si="118"/>
        <v>0</v>
      </c>
      <c r="H143" s="188">
        <f t="shared" si="118"/>
        <v>0</v>
      </c>
      <c r="I143" s="188">
        <f t="shared" si="118"/>
        <v>0</v>
      </c>
      <c r="J143" s="188">
        <f t="shared" si="118"/>
        <v>0</v>
      </c>
      <c r="K143" s="188">
        <f t="shared" si="118"/>
        <v>0</v>
      </c>
      <c r="L143" s="188">
        <f t="shared" si="118"/>
        <v>0</v>
      </c>
      <c r="M143" s="188">
        <f t="shared" si="118"/>
        <v>0</v>
      </c>
      <c r="N143" s="188">
        <f t="shared" si="118"/>
        <v>0</v>
      </c>
      <c r="O143" s="136">
        <f t="shared" si="116"/>
        <v>0</v>
      </c>
      <c r="P143" s="105">
        <v>0</v>
      </c>
      <c r="Q143" s="104">
        <f t="shared" si="114"/>
        <v>0</v>
      </c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5"/>
      <c r="BN143" s="105"/>
      <c r="BO143" s="105"/>
      <c r="BP143" s="105"/>
      <c r="BQ143" s="105"/>
      <c r="BR143" s="105"/>
      <c r="BS143" s="105"/>
      <c r="BT143" s="105"/>
      <c r="BU143" s="105"/>
      <c r="BV143" s="105"/>
    </row>
    <row r="144" spans="1:74" s="106" customFormat="1" ht="15.75" x14ac:dyDescent="0.2">
      <c r="A144" s="77" t="s">
        <v>537</v>
      </c>
      <c r="B144" s="75" t="s">
        <v>538</v>
      </c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136">
        <f t="shared" si="116"/>
        <v>0</v>
      </c>
      <c r="P144" s="105">
        <v>0</v>
      </c>
      <c r="Q144" s="104">
        <f t="shared" si="114"/>
        <v>0</v>
      </c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5"/>
      <c r="BN144" s="105"/>
      <c r="BO144" s="105"/>
      <c r="BP144" s="105"/>
      <c r="BQ144" s="105"/>
      <c r="BR144" s="105"/>
      <c r="BS144" s="105"/>
      <c r="BT144" s="105"/>
      <c r="BU144" s="105"/>
      <c r="BV144" s="105"/>
    </row>
    <row r="145" spans="1:74" s="106" customFormat="1" ht="28.5" x14ac:dyDescent="0.2">
      <c r="A145" s="72" t="s">
        <v>539</v>
      </c>
      <c r="B145" s="73" t="s">
        <v>540</v>
      </c>
      <c r="C145" s="124">
        <f t="shared" ref="C145:N145" si="119">+C144</f>
        <v>0</v>
      </c>
      <c r="D145" s="124">
        <f t="shared" si="119"/>
        <v>0</v>
      </c>
      <c r="E145" s="124">
        <f t="shared" si="119"/>
        <v>0</v>
      </c>
      <c r="F145" s="124">
        <f t="shared" si="119"/>
        <v>0</v>
      </c>
      <c r="G145" s="124">
        <f t="shared" si="119"/>
        <v>0</v>
      </c>
      <c r="H145" s="124">
        <f t="shared" si="119"/>
        <v>0</v>
      </c>
      <c r="I145" s="124">
        <f t="shared" si="119"/>
        <v>0</v>
      </c>
      <c r="J145" s="124">
        <f t="shared" si="119"/>
        <v>0</v>
      </c>
      <c r="K145" s="124">
        <f t="shared" si="119"/>
        <v>0</v>
      </c>
      <c r="L145" s="124">
        <f t="shared" si="119"/>
        <v>0</v>
      </c>
      <c r="M145" s="124">
        <f t="shared" si="119"/>
        <v>0</v>
      </c>
      <c r="N145" s="124">
        <f t="shared" si="119"/>
        <v>0</v>
      </c>
      <c r="O145" s="136">
        <f t="shared" si="116"/>
        <v>0</v>
      </c>
      <c r="P145" s="105">
        <v>0</v>
      </c>
      <c r="Q145" s="104">
        <f t="shared" si="114"/>
        <v>0</v>
      </c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5"/>
      <c r="BN145" s="105"/>
      <c r="BO145" s="105"/>
      <c r="BP145" s="105"/>
      <c r="BQ145" s="105"/>
      <c r="BR145" s="105"/>
      <c r="BS145" s="105"/>
      <c r="BT145" s="105"/>
      <c r="BU145" s="105"/>
      <c r="BV145" s="105"/>
    </row>
    <row r="146" spans="1:74" s="83" customFormat="1" ht="19.5" x14ac:dyDescent="0.2">
      <c r="A146" s="77" t="s">
        <v>541</v>
      </c>
      <c r="B146" s="75" t="s">
        <v>542</v>
      </c>
      <c r="C146" s="188">
        <f t="shared" ref="C146:N146" si="120">+C147+C150</f>
        <v>0</v>
      </c>
      <c r="D146" s="188">
        <f t="shared" si="120"/>
        <v>0</v>
      </c>
      <c r="E146" s="188">
        <f t="shared" si="120"/>
        <v>0</v>
      </c>
      <c r="F146" s="188">
        <f t="shared" si="120"/>
        <v>0</v>
      </c>
      <c r="G146" s="188">
        <f t="shared" si="120"/>
        <v>0</v>
      </c>
      <c r="H146" s="188">
        <f t="shared" si="120"/>
        <v>0</v>
      </c>
      <c r="I146" s="188">
        <f t="shared" si="120"/>
        <v>0</v>
      </c>
      <c r="J146" s="188">
        <f t="shared" si="120"/>
        <v>0</v>
      </c>
      <c r="K146" s="188">
        <f t="shared" si="120"/>
        <v>0</v>
      </c>
      <c r="L146" s="188">
        <f t="shared" si="120"/>
        <v>0</v>
      </c>
      <c r="M146" s="188">
        <f t="shared" si="120"/>
        <v>0</v>
      </c>
      <c r="N146" s="188">
        <f t="shared" si="120"/>
        <v>0</v>
      </c>
      <c r="O146" s="136">
        <f t="shared" si="116"/>
        <v>0</v>
      </c>
      <c r="P146" s="82">
        <v>0</v>
      </c>
      <c r="Q146" s="104">
        <f t="shared" si="114"/>
        <v>0</v>
      </c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</row>
    <row r="147" spans="1:74" s="106" customFormat="1" ht="19.5" x14ac:dyDescent="0.2">
      <c r="A147" s="77" t="s">
        <v>543</v>
      </c>
      <c r="B147" s="75" t="s">
        <v>233</v>
      </c>
      <c r="C147" s="188">
        <f t="shared" ref="C147:N147" si="121">SUM(C148:C149)</f>
        <v>0</v>
      </c>
      <c r="D147" s="188">
        <f t="shared" si="121"/>
        <v>0</v>
      </c>
      <c r="E147" s="188">
        <f t="shared" si="121"/>
        <v>0</v>
      </c>
      <c r="F147" s="188">
        <f t="shared" si="121"/>
        <v>0</v>
      </c>
      <c r="G147" s="188">
        <f t="shared" si="121"/>
        <v>0</v>
      </c>
      <c r="H147" s="188">
        <f t="shared" si="121"/>
        <v>0</v>
      </c>
      <c r="I147" s="188">
        <f t="shared" si="121"/>
        <v>0</v>
      </c>
      <c r="J147" s="188">
        <f t="shared" si="121"/>
        <v>0</v>
      </c>
      <c r="K147" s="188">
        <f t="shared" si="121"/>
        <v>0</v>
      </c>
      <c r="L147" s="188">
        <f t="shared" si="121"/>
        <v>0</v>
      </c>
      <c r="M147" s="188">
        <f t="shared" si="121"/>
        <v>0</v>
      </c>
      <c r="N147" s="188">
        <f t="shared" si="121"/>
        <v>0</v>
      </c>
      <c r="O147" s="136">
        <f t="shared" si="116"/>
        <v>0</v>
      </c>
      <c r="P147" s="105">
        <v>0</v>
      </c>
      <c r="Q147" s="104">
        <f t="shared" si="114"/>
        <v>0</v>
      </c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  <c r="BO147" s="105"/>
      <c r="BP147" s="105"/>
      <c r="BQ147" s="105"/>
      <c r="BR147" s="105"/>
      <c r="BS147" s="105"/>
      <c r="BT147" s="105"/>
      <c r="BU147" s="105"/>
      <c r="BV147" s="105"/>
    </row>
    <row r="148" spans="1:74" s="106" customFormat="1" ht="28.5" x14ac:dyDescent="0.2">
      <c r="A148" s="72" t="s">
        <v>544</v>
      </c>
      <c r="B148" s="73" t="s">
        <v>234</v>
      </c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36">
        <f t="shared" si="116"/>
        <v>0</v>
      </c>
      <c r="P148" s="105">
        <v>0</v>
      </c>
      <c r="Q148" s="104">
        <f t="shared" si="114"/>
        <v>0</v>
      </c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5"/>
      <c r="BN148" s="105"/>
      <c r="BO148" s="105"/>
      <c r="BP148" s="105"/>
      <c r="BQ148" s="105"/>
      <c r="BR148" s="105"/>
      <c r="BS148" s="105"/>
      <c r="BT148" s="105"/>
      <c r="BU148" s="105"/>
      <c r="BV148" s="105"/>
    </row>
    <row r="149" spans="1:74" s="106" customFormat="1" ht="28.5" x14ac:dyDescent="0.2">
      <c r="A149" s="72" t="s">
        <v>545</v>
      </c>
      <c r="B149" s="73" t="s">
        <v>261</v>
      </c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36">
        <f t="shared" si="116"/>
        <v>0</v>
      </c>
      <c r="P149" s="105">
        <v>0</v>
      </c>
      <c r="Q149" s="104">
        <f t="shared" si="114"/>
        <v>0</v>
      </c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05"/>
      <c r="BT149" s="105"/>
      <c r="BU149" s="105"/>
      <c r="BV149" s="105"/>
    </row>
    <row r="150" spans="1:74" s="106" customFormat="1" ht="30" x14ac:dyDescent="0.2">
      <c r="A150" s="77" t="s">
        <v>546</v>
      </c>
      <c r="B150" s="79" t="s">
        <v>547</v>
      </c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136">
        <f t="shared" si="116"/>
        <v>0</v>
      </c>
      <c r="P150" s="105">
        <v>0</v>
      </c>
      <c r="Q150" s="104">
        <f t="shared" si="114"/>
        <v>0</v>
      </c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  <c r="BO150" s="105"/>
      <c r="BP150" s="105"/>
      <c r="BQ150" s="105"/>
      <c r="BR150" s="105"/>
      <c r="BS150" s="105"/>
      <c r="BT150" s="105"/>
      <c r="BU150" s="105"/>
      <c r="BV150" s="105"/>
    </row>
    <row r="151" spans="1:74" s="106" customFormat="1" ht="31.5" x14ac:dyDescent="0.2">
      <c r="A151" s="77" t="s">
        <v>548</v>
      </c>
      <c r="B151" s="75" t="s">
        <v>549</v>
      </c>
      <c r="C151" s="188">
        <f t="shared" ref="C151:N151" si="122">+C152+C167</f>
        <v>0</v>
      </c>
      <c r="D151" s="188">
        <f t="shared" si="122"/>
        <v>0</v>
      </c>
      <c r="E151" s="188">
        <f t="shared" si="122"/>
        <v>0</v>
      </c>
      <c r="F151" s="188">
        <f t="shared" si="122"/>
        <v>0</v>
      </c>
      <c r="G151" s="188">
        <f t="shared" si="122"/>
        <v>0</v>
      </c>
      <c r="H151" s="188">
        <f t="shared" si="122"/>
        <v>0</v>
      </c>
      <c r="I151" s="188">
        <f t="shared" si="122"/>
        <v>0</v>
      </c>
      <c r="J151" s="188">
        <f t="shared" si="122"/>
        <v>0</v>
      </c>
      <c r="K151" s="188">
        <f t="shared" si="122"/>
        <v>0</v>
      </c>
      <c r="L151" s="188">
        <f t="shared" si="122"/>
        <v>0</v>
      </c>
      <c r="M151" s="188">
        <f t="shared" si="122"/>
        <v>0</v>
      </c>
      <c r="N151" s="188">
        <f t="shared" si="122"/>
        <v>14400000000</v>
      </c>
      <c r="O151" s="136">
        <f t="shared" si="116"/>
        <v>14400000000</v>
      </c>
      <c r="P151" s="105">
        <v>0</v>
      </c>
      <c r="Q151" s="104">
        <f t="shared" si="114"/>
        <v>-14400000000</v>
      </c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05"/>
      <c r="BT151" s="105"/>
      <c r="BU151" s="105"/>
      <c r="BV151" s="105"/>
    </row>
    <row r="152" spans="1:74" s="83" customFormat="1" ht="19.5" x14ac:dyDescent="0.2">
      <c r="A152" s="77" t="s">
        <v>550</v>
      </c>
      <c r="B152" s="75" t="s">
        <v>551</v>
      </c>
      <c r="C152" s="188">
        <f t="shared" ref="C152:N152" si="123">+C153</f>
        <v>0</v>
      </c>
      <c r="D152" s="188">
        <f t="shared" si="123"/>
        <v>0</v>
      </c>
      <c r="E152" s="188">
        <f t="shared" si="123"/>
        <v>0</v>
      </c>
      <c r="F152" s="188">
        <f t="shared" si="123"/>
        <v>0</v>
      </c>
      <c r="G152" s="188">
        <f t="shared" si="123"/>
        <v>0</v>
      </c>
      <c r="H152" s="188">
        <f t="shared" si="123"/>
        <v>0</v>
      </c>
      <c r="I152" s="188">
        <f t="shared" si="123"/>
        <v>0</v>
      </c>
      <c r="J152" s="188">
        <f t="shared" si="123"/>
        <v>0</v>
      </c>
      <c r="K152" s="188">
        <f t="shared" si="123"/>
        <v>0</v>
      </c>
      <c r="L152" s="188">
        <f t="shared" si="123"/>
        <v>0</v>
      </c>
      <c r="M152" s="188">
        <f t="shared" si="123"/>
        <v>0</v>
      </c>
      <c r="N152" s="188">
        <f t="shared" si="123"/>
        <v>11000000000</v>
      </c>
      <c r="O152" s="136">
        <f t="shared" si="116"/>
        <v>11000000000</v>
      </c>
      <c r="P152" s="82">
        <v>0</v>
      </c>
      <c r="Q152" s="104">
        <f t="shared" si="114"/>
        <v>-11000000000</v>
      </c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</row>
    <row r="153" spans="1:74" s="106" customFormat="1" ht="19.5" x14ac:dyDescent="0.2">
      <c r="A153" s="77" t="s">
        <v>552</v>
      </c>
      <c r="B153" s="75" t="s">
        <v>553</v>
      </c>
      <c r="C153" s="188">
        <f t="shared" ref="C153:N153" si="124">+C154+C161</f>
        <v>0</v>
      </c>
      <c r="D153" s="188">
        <f t="shared" si="124"/>
        <v>0</v>
      </c>
      <c r="E153" s="188">
        <f t="shared" si="124"/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11000000000</v>
      </c>
      <c r="O153" s="136">
        <f t="shared" si="116"/>
        <v>11000000000</v>
      </c>
      <c r="P153" s="105">
        <v>0</v>
      </c>
      <c r="Q153" s="104">
        <f t="shared" si="114"/>
        <v>-11000000000</v>
      </c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  <c r="BO153" s="105"/>
      <c r="BP153" s="105"/>
      <c r="BQ153" s="105"/>
      <c r="BR153" s="105"/>
      <c r="BS153" s="105"/>
      <c r="BT153" s="105"/>
      <c r="BU153" s="105"/>
      <c r="BV153" s="105"/>
    </row>
    <row r="154" spans="1:74" s="106" customFormat="1" ht="31.5" x14ac:dyDescent="0.2">
      <c r="A154" s="77" t="s">
        <v>554</v>
      </c>
      <c r="B154" s="75" t="s">
        <v>222</v>
      </c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394">
        <v>11000000000</v>
      </c>
      <c r="O154" s="136">
        <f t="shared" si="116"/>
        <v>11000000000</v>
      </c>
      <c r="P154" s="105">
        <v>0</v>
      </c>
      <c r="Q154" s="104">
        <f t="shared" si="114"/>
        <v>-11000000000</v>
      </c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  <c r="BS154" s="105"/>
      <c r="BT154" s="105"/>
      <c r="BU154" s="105"/>
      <c r="BV154" s="105"/>
    </row>
    <row r="155" spans="1:74" s="106" customFormat="1" ht="42.75" x14ac:dyDescent="0.2">
      <c r="A155" s="72" t="s">
        <v>555</v>
      </c>
      <c r="B155" s="73" t="s">
        <v>223</v>
      </c>
      <c r="C155" s="39">
        <f t="shared" ref="C155:N155" si="125">+C154*69.7845456%</f>
        <v>0</v>
      </c>
      <c r="D155" s="39">
        <f t="shared" si="125"/>
        <v>0</v>
      </c>
      <c r="E155" s="39">
        <f t="shared" si="125"/>
        <v>0</v>
      </c>
      <c r="F155" s="39">
        <f t="shared" si="125"/>
        <v>0</v>
      </c>
      <c r="G155" s="39">
        <f t="shared" si="125"/>
        <v>0</v>
      </c>
      <c r="H155" s="39">
        <f t="shared" si="125"/>
        <v>0</v>
      </c>
      <c r="I155" s="39">
        <f t="shared" si="125"/>
        <v>0</v>
      </c>
      <c r="J155" s="39">
        <f t="shared" si="125"/>
        <v>0</v>
      </c>
      <c r="K155" s="39">
        <f t="shared" si="125"/>
        <v>0</v>
      </c>
      <c r="L155" s="39">
        <f t="shared" si="125"/>
        <v>0</v>
      </c>
      <c r="M155" s="39">
        <f t="shared" si="125"/>
        <v>0</v>
      </c>
      <c r="N155" s="39">
        <f t="shared" si="125"/>
        <v>7676300016</v>
      </c>
      <c r="O155" s="136">
        <f t="shared" si="116"/>
        <v>7676300016</v>
      </c>
      <c r="P155" s="105">
        <v>0</v>
      </c>
      <c r="Q155" s="104">
        <f t="shared" si="114"/>
        <v>-7676300016</v>
      </c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  <c r="BO155" s="105"/>
      <c r="BP155" s="105"/>
      <c r="BQ155" s="105"/>
      <c r="BR155" s="105"/>
      <c r="BS155" s="105"/>
      <c r="BT155" s="105"/>
      <c r="BU155" s="105"/>
      <c r="BV155" s="105"/>
    </row>
    <row r="156" spans="1:74" s="83" customFormat="1" ht="42.75" x14ac:dyDescent="0.2">
      <c r="A156" s="72" t="s">
        <v>556</v>
      </c>
      <c r="B156" s="73" t="s">
        <v>224</v>
      </c>
      <c r="C156" s="39">
        <f t="shared" ref="C156:N156" si="126">+C154*0.08%</f>
        <v>0</v>
      </c>
      <c r="D156" s="39">
        <f t="shared" si="126"/>
        <v>0</v>
      </c>
      <c r="E156" s="39">
        <f t="shared" si="126"/>
        <v>0</v>
      </c>
      <c r="F156" s="39">
        <f t="shared" si="126"/>
        <v>0</v>
      </c>
      <c r="G156" s="39">
        <f t="shared" si="126"/>
        <v>0</v>
      </c>
      <c r="H156" s="39">
        <f t="shared" si="126"/>
        <v>0</v>
      </c>
      <c r="I156" s="39">
        <f t="shared" si="126"/>
        <v>0</v>
      </c>
      <c r="J156" s="39">
        <f t="shared" si="126"/>
        <v>0</v>
      </c>
      <c r="K156" s="39">
        <f t="shared" si="126"/>
        <v>0</v>
      </c>
      <c r="L156" s="39">
        <f t="shared" si="126"/>
        <v>0</v>
      </c>
      <c r="M156" s="39">
        <f t="shared" si="126"/>
        <v>0</v>
      </c>
      <c r="N156" s="39">
        <f t="shared" si="126"/>
        <v>8800000</v>
      </c>
      <c r="O156" s="136">
        <f t="shared" si="116"/>
        <v>8800000</v>
      </c>
      <c r="P156" s="82">
        <v>0</v>
      </c>
      <c r="Q156" s="104">
        <f t="shared" si="114"/>
        <v>-8800000</v>
      </c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</row>
    <row r="157" spans="1:74" s="106" customFormat="1" ht="42.75" x14ac:dyDescent="0.2">
      <c r="A157" s="72" t="s">
        <v>557</v>
      </c>
      <c r="B157" s="73" t="s">
        <v>225</v>
      </c>
      <c r="C157" s="39">
        <f t="shared" ref="C157:N157" si="127">+C154*7.992%</f>
        <v>0</v>
      </c>
      <c r="D157" s="39">
        <f t="shared" si="127"/>
        <v>0</v>
      </c>
      <c r="E157" s="39">
        <f t="shared" si="127"/>
        <v>0</v>
      </c>
      <c r="F157" s="39">
        <f t="shared" si="127"/>
        <v>0</v>
      </c>
      <c r="G157" s="39">
        <f t="shared" si="127"/>
        <v>0</v>
      </c>
      <c r="H157" s="39">
        <f t="shared" si="127"/>
        <v>0</v>
      </c>
      <c r="I157" s="39">
        <f t="shared" si="127"/>
        <v>0</v>
      </c>
      <c r="J157" s="39">
        <f t="shared" si="127"/>
        <v>0</v>
      </c>
      <c r="K157" s="39">
        <f t="shared" si="127"/>
        <v>0</v>
      </c>
      <c r="L157" s="39">
        <f t="shared" si="127"/>
        <v>0</v>
      </c>
      <c r="M157" s="39">
        <f t="shared" si="127"/>
        <v>0</v>
      </c>
      <c r="N157" s="39">
        <f t="shared" si="127"/>
        <v>879120000</v>
      </c>
      <c r="O157" s="136">
        <f t="shared" si="116"/>
        <v>879120000</v>
      </c>
      <c r="P157" s="105">
        <v>0</v>
      </c>
      <c r="Q157" s="104">
        <f t="shared" si="114"/>
        <v>-879120000</v>
      </c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5"/>
      <c r="BN157" s="105"/>
      <c r="BO157" s="105"/>
      <c r="BP157" s="105"/>
      <c r="BQ157" s="105"/>
      <c r="BR157" s="105"/>
      <c r="BS157" s="105"/>
      <c r="BT157" s="105"/>
      <c r="BU157" s="105"/>
      <c r="BV157" s="105"/>
    </row>
    <row r="158" spans="1:74" s="106" customFormat="1" ht="42.75" x14ac:dyDescent="0.2">
      <c r="A158" s="72" t="s">
        <v>558</v>
      </c>
      <c r="B158" s="73" t="s">
        <v>226</v>
      </c>
      <c r="C158" s="39">
        <f t="shared" ref="C158:N158" si="128">+C154*1.43856%</f>
        <v>0</v>
      </c>
      <c r="D158" s="39">
        <f t="shared" si="128"/>
        <v>0</v>
      </c>
      <c r="E158" s="39">
        <f t="shared" si="128"/>
        <v>0</v>
      </c>
      <c r="F158" s="39">
        <f t="shared" si="128"/>
        <v>0</v>
      </c>
      <c r="G158" s="39">
        <f t="shared" si="128"/>
        <v>0</v>
      </c>
      <c r="H158" s="39">
        <f t="shared" si="128"/>
        <v>0</v>
      </c>
      <c r="I158" s="39">
        <f t="shared" si="128"/>
        <v>0</v>
      </c>
      <c r="J158" s="39">
        <f t="shared" si="128"/>
        <v>0</v>
      </c>
      <c r="K158" s="39">
        <f t="shared" si="128"/>
        <v>0</v>
      </c>
      <c r="L158" s="39">
        <f t="shared" si="128"/>
        <v>0</v>
      </c>
      <c r="M158" s="39">
        <f t="shared" si="128"/>
        <v>0</v>
      </c>
      <c r="N158" s="39">
        <f t="shared" si="128"/>
        <v>158241600</v>
      </c>
      <c r="O158" s="136">
        <f t="shared" si="116"/>
        <v>158241600</v>
      </c>
      <c r="P158" s="105">
        <v>0</v>
      </c>
      <c r="Q158" s="104">
        <f t="shared" si="114"/>
        <v>-158241600</v>
      </c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  <c r="BO158" s="105"/>
      <c r="BP158" s="105"/>
      <c r="BQ158" s="105"/>
      <c r="BR158" s="105"/>
      <c r="BS158" s="105"/>
      <c r="BT158" s="105"/>
      <c r="BU158" s="105"/>
      <c r="BV158" s="105"/>
    </row>
    <row r="159" spans="1:74" s="106" customFormat="1" ht="57" x14ac:dyDescent="0.2">
      <c r="A159" s="72" t="s">
        <v>559</v>
      </c>
      <c r="B159" s="73" t="s">
        <v>227</v>
      </c>
      <c r="C159" s="39">
        <f t="shared" ref="C159:N159" si="129">+C154*0.7048944%</f>
        <v>0</v>
      </c>
      <c r="D159" s="39">
        <f t="shared" si="129"/>
        <v>0</v>
      </c>
      <c r="E159" s="39">
        <f t="shared" si="129"/>
        <v>0</v>
      </c>
      <c r="F159" s="39">
        <f t="shared" si="129"/>
        <v>0</v>
      </c>
      <c r="G159" s="39">
        <f t="shared" si="129"/>
        <v>0</v>
      </c>
      <c r="H159" s="39">
        <f t="shared" si="129"/>
        <v>0</v>
      </c>
      <c r="I159" s="39">
        <f t="shared" si="129"/>
        <v>0</v>
      </c>
      <c r="J159" s="39">
        <f t="shared" si="129"/>
        <v>0</v>
      </c>
      <c r="K159" s="39">
        <f t="shared" si="129"/>
        <v>0</v>
      </c>
      <c r="L159" s="39">
        <f t="shared" si="129"/>
        <v>0</v>
      </c>
      <c r="M159" s="39">
        <f t="shared" si="129"/>
        <v>0</v>
      </c>
      <c r="N159" s="39">
        <f t="shared" si="129"/>
        <v>77538384</v>
      </c>
      <c r="O159" s="136">
        <f t="shared" si="116"/>
        <v>77538384</v>
      </c>
      <c r="P159" s="105">
        <v>0</v>
      </c>
      <c r="Q159" s="104">
        <f t="shared" si="114"/>
        <v>-77538384</v>
      </c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  <c r="BO159" s="105"/>
      <c r="BP159" s="105"/>
      <c r="BQ159" s="105"/>
      <c r="BR159" s="105"/>
      <c r="BS159" s="105"/>
      <c r="BT159" s="105"/>
      <c r="BU159" s="105"/>
      <c r="BV159" s="105"/>
    </row>
    <row r="160" spans="1:74" s="106" customFormat="1" ht="42.75" x14ac:dyDescent="0.2">
      <c r="A160" s="72" t="s">
        <v>560</v>
      </c>
      <c r="B160" s="73" t="s">
        <v>561</v>
      </c>
      <c r="C160" s="189">
        <f t="shared" ref="C160:N160" si="130">+C154*20%</f>
        <v>0</v>
      </c>
      <c r="D160" s="189">
        <f t="shared" si="130"/>
        <v>0</v>
      </c>
      <c r="E160" s="189">
        <f t="shared" si="130"/>
        <v>0</v>
      </c>
      <c r="F160" s="189">
        <f t="shared" si="130"/>
        <v>0</v>
      </c>
      <c r="G160" s="189">
        <f t="shared" si="130"/>
        <v>0</v>
      </c>
      <c r="H160" s="189">
        <f t="shared" si="130"/>
        <v>0</v>
      </c>
      <c r="I160" s="189">
        <f t="shared" si="130"/>
        <v>0</v>
      </c>
      <c r="J160" s="189">
        <f t="shared" si="130"/>
        <v>0</v>
      </c>
      <c r="K160" s="189">
        <f t="shared" si="130"/>
        <v>0</v>
      </c>
      <c r="L160" s="189">
        <f t="shared" si="130"/>
        <v>0</v>
      </c>
      <c r="M160" s="189">
        <f t="shared" si="130"/>
        <v>0</v>
      </c>
      <c r="N160" s="189">
        <f t="shared" si="130"/>
        <v>2200000000</v>
      </c>
      <c r="O160" s="136">
        <f t="shared" si="116"/>
        <v>2200000000</v>
      </c>
      <c r="P160" s="105">
        <v>0</v>
      </c>
      <c r="Q160" s="104">
        <f t="shared" si="114"/>
        <v>-2200000000</v>
      </c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5"/>
      <c r="BN160" s="105"/>
      <c r="BO160" s="105"/>
      <c r="BP160" s="105"/>
      <c r="BQ160" s="105"/>
      <c r="BR160" s="105"/>
      <c r="BS160" s="105"/>
      <c r="BT160" s="105"/>
      <c r="BU160" s="105"/>
      <c r="BV160" s="105"/>
    </row>
    <row r="161" spans="1:74" s="106" customFormat="1" ht="31.5" x14ac:dyDescent="0.2">
      <c r="A161" s="77" t="s">
        <v>562</v>
      </c>
      <c r="B161" s="75" t="s">
        <v>563</v>
      </c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136">
        <f t="shared" si="116"/>
        <v>0</v>
      </c>
      <c r="P161" s="105">
        <v>0</v>
      </c>
      <c r="Q161" s="104">
        <f t="shared" si="114"/>
        <v>0</v>
      </c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5"/>
      <c r="BN161" s="105"/>
      <c r="BO161" s="105"/>
      <c r="BP161" s="105"/>
      <c r="BQ161" s="105"/>
      <c r="BR161" s="105"/>
      <c r="BS161" s="105"/>
      <c r="BT161" s="105"/>
      <c r="BU161" s="105"/>
      <c r="BV161" s="105"/>
    </row>
    <row r="162" spans="1:74" s="106" customFormat="1" ht="42.75" x14ac:dyDescent="0.2">
      <c r="A162" s="72" t="s">
        <v>564</v>
      </c>
      <c r="B162" s="73" t="s">
        <v>228</v>
      </c>
      <c r="C162" s="39">
        <f t="shared" ref="C162:N162" si="131">+C161*87.230682%</f>
        <v>0</v>
      </c>
      <c r="D162" s="39">
        <f t="shared" si="131"/>
        <v>0</v>
      </c>
      <c r="E162" s="39">
        <f t="shared" si="131"/>
        <v>0</v>
      </c>
      <c r="F162" s="39">
        <f t="shared" si="131"/>
        <v>0</v>
      </c>
      <c r="G162" s="39">
        <f t="shared" si="131"/>
        <v>0</v>
      </c>
      <c r="H162" s="39">
        <f t="shared" si="131"/>
        <v>0</v>
      </c>
      <c r="I162" s="39">
        <f t="shared" si="131"/>
        <v>0</v>
      </c>
      <c r="J162" s="39">
        <f t="shared" si="131"/>
        <v>0</v>
      </c>
      <c r="K162" s="39">
        <f t="shared" si="131"/>
        <v>0</v>
      </c>
      <c r="L162" s="39">
        <f t="shared" si="131"/>
        <v>0</v>
      </c>
      <c r="M162" s="39">
        <f t="shared" si="131"/>
        <v>0</v>
      </c>
      <c r="N162" s="39">
        <f t="shared" si="131"/>
        <v>0</v>
      </c>
      <c r="O162" s="136">
        <f t="shared" si="116"/>
        <v>0</v>
      </c>
      <c r="P162" s="105">
        <v>0</v>
      </c>
      <c r="Q162" s="104">
        <f t="shared" si="114"/>
        <v>0</v>
      </c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5"/>
      <c r="BN162" s="105"/>
      <c r="BO162" s="105"/>
      <c r="BP162" s="105"/>
      <c r="BQ162" s="105"/>
      <c r="BR162" s="105"/>
      <c r="BS162" s="105"/>
      <c r="BT162" s="105"/>
      <c r="BU162" s="105"/>
      <c r="BV162" s="105"/>
    </row>
    <row r="163" spans="1:74" s="106" customFormat="1" ht="42.75" x14ac:dyDescent="0.2">
      <c r="A163" s="72" t="s">
        <v>565</v>
      </c>
      <c r="B163" s="73" t="s">
        <v>229</v>
      </c>
      <c r="C163" s="39">
        <f t="shared" ref="C163:N163" si="132">+C161*0.1%</f>
        <v>0</v>
      </c>
      <c r="D163" s="39">
        <f t="shared" si="132"/>
        <v>0</v>
      </c>
      <c r="E163" s="39">
        <f t="shared" si="132"/>
        <v>0</v>
      </c>
      <c r="F163" s="39">
        <f t="shared" si="132"/>
        <v>0</v>
      </c>
      <c r="G163" s="39">
        <f t="shared" si="132"/>
        <v>0</v>
      </c>
      <c r="H163" s="39">
        <f t="shared" si="132"/>
        <v>0</v>
      </c>
      <c r="I163" s="39">
        <f t="shared" si="132"/>
        <v>0</v>
      </c>
      <c r="J163" s="39">
        <f t="shared" si="132"/>
        <v>0</v>
      </c>
      <c r="K163" s="39">
        <f t="shared" si="132"/>
        <v>0</v>
      </c>
      <c r="L163" s="39">
        <f t="shared" si="132"/>
        <v>0</v>
      </c>
      <c r="M163" s="39">
        <f t="shared" si="132"/>
        <v>0</v>
      </c>
      <c r="N163" s="39">
        <f t="shared" si="132"/>
        <v>0</v>
      </c>
      <c r="O163" s="136">
        <f t="shared" si="116"/>
        <v>0</v>
      </c>
      <c r="P163" s="105">
        <v>0</v>
      </c>
      <c r="Q163" s="104">
        <f t="shared" si="114"/>
        <v>0</v>
      </c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5"/>
      <c r="BN163" s="105"/>
      <c r="BO163" s="105"/>
      <c r="BP163" s="105"/>
      <c r="BQ163" s="105"/>
      <c r="BR163" s="105"/>
      <c r="BS163" s="105"/>
      <c r="BT163" s="105"/>
      <c r="BU163" s="105"/>
      <c r="BV163" s="105"/>
    </row>
    <row r="164" spans="1:74" s="178" customFormat="1" ht="42.75" x14ac:dyDescent="0.2">
      <c r="A164" s="72" t="s">
        <v>566</v>
      </c>
      <c r="B164" s="73" t="s">
        <v>230</v>
      </c>
      <c r="C164" s="39">
        <f t="shared" ref="C164:N164" si="133">+C161*9.99%</f>
        <v>0</v>
      </c>
      <c r="D164" s="39">
        <f t="shared" si="133"/>
        <v>0</v>
      </c>
      <c r="E164" s="39">
        <f t="shared" si="133"/>
        <v>0</v>
      </c>
      <c r="F164" s="39">
        <f t="shared" si="133"/>
        <v>0</v>
      </c>
      <c r="G164" s="39">
        <f t="shared" si="133"/>
        <v>0</v>
      </c>
      <c r="H164" s="39">
        <f t="shared" si="133"/>
        <v>0</v>
      </c>
      <c r="I164" s="39">
        <f t="shared" si="133"/>
        <v>0</v>
      </c>
      <c r="J164" s="39">
        <f t="shared" si="133"/>
        <v>0</v>
      </c>
      <c r="K164" s="39">
        <f t="shared" si="133"/>
        <v>0</v>
      </c>
      <c r="L164" s="39">
        <f t="shared" si="133"/>
        <v>0</v>
      </c>
      <c r="M164" s="39">
        <f t="shared" si="133"/>
        <v>0</v>
      </c>
      <c r="N164" s="39">
        <f t="shared" si="133"/>
        <v>0</v>
      </c>
      <c r="O164" s="176">
        <f t="shared" si="116"/>
        <v>0</v>
      </c>
      <c r="P164" s="177">
        <v>0</v>
      </c>
      <c r="Q164" s="104">
        <f t="shared" si="114"/>
        <v>0</v>
      </c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7"/>
      <c r="AD164" s="177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177"/>
      <c r="BT164" s="177"/>
      <c r="BU164" s="177"/>
      <c r="BV164" s="177"/>
    </row>
    <row r="165" spans="1:74" s="178" customFormat="1" ht="42.75" x14ac:dyDescent="0.2">
      <c r="A165" s="72" t="s">
        <v>567</v>
      </c>
      <c r="B165" s="73" t="s">
        <v>231</v>
      </c>
      <c r="C165" s="39">
        <f t="shared" ref="C165:N165" si="134">+C161*1.7982%</f>
        <v>0</v>
      </c>
      <c r="D165" s="39">
        <f t="shared" si="134"/>
        <v>0</v>
      </c>
      <c r="E165" s="39">
        <f t="shared" si="134"/>
        <v>0</v>
      </c>
      <c r="F165" s="39">
        <f t="shared" si="134"/>
        <v>0</v>
      </c>
      <c r="G165" s="39">
        <f t="shared" si="134"/>
        <v>0</v>
      </c>
      <c r="H165" s="39">
        <f t="shared" si="134"/>
        <v>0</v>
      </c>
      <c r="I165" s="39">
        <f t="shared" si="134"/>
        <v>0</v>
      </c>
      <c r="J165" s="39">
        <f t="shared" si="134"/>
        <v>0</v>
      </c>
      <c r="K165" s="39">
        <f t="shared" si="134"/>
        <v>0</v>
      </c>
      <c r="L165" s="39">
        <f t="shared" si="134"/>
        <v>0</v>
      </c>
      <c r="M165" s="39">
        <f t="shared" si="134"/>
        <v>0</v>
      </c>
      <c r="N165" s="39">
        <f t="shared" si="134"/>
        <v>0</v>
      </c>
      <c r="O165" s="176">
        <f t="shared" si="116"/>
        <v>0</v>
      </c>
      <c r="P165" s="177">
        <v>0</v>
      </c>
      <c r="Q165" s="104">
        <f t="shared" si="114"/>
        <v>0</v>
      </c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177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177"/>
      <c r="BR165" s="177"/>
      <c r="BS165" s="177"/>
      <c r="BT165" s="177"/>
      <c r="BU165" s="177"/>
      <c r="BV165" s="177"/>
    </row>
    <row r="166" spans="1:74" s="178" customFormat="1" ht="57" x14ac:dyDescent="0.2">
      <c r="A166" s="72" t="s">
        <v>568</v>
      </c>
      <c r="B166" s="73" t="s">
        <v>232</v>
      </c>
      <c r="C166" s="39">
        <f t="shared" ref="C166:N166" si="135">+C161*0.881118%</f>
        <v>0</v>
      </c>
      <c r="D166" s="39">
        <f t="shared" si="135"/>
        <v>0</v>
      </c>
      <c r="E166" s="39">
        <f t="shared" si="135"/>
        <v>0</v>
      </c>
      <c r="F166" s="39">
        <f t="shared" si="135"/>
        <v>0</v>
      </c>
      <c r="G166" s="39">
        <f t="shared" si="135"/>
        <v>0</v>
      </c>
      <c r="H166" s="39">
        <f t="shared" si="135"/>
        <v>0</v>
      </c>
      <c r="I166" s="39">
        <f t="shared" si="135"/>
        <v>0</v>
      </c>
      <c r="J166" s="39">
        <f t="shared" si="135"/>
        <v>0</v>
      </c>
      <c r="K166" s="39">
        <f t="shared" si="135"/>
        <v>0</v>
      </c>
      <c r="L166" s="39">
        <f t="shared" si="135"/>
        <v>0</v>
      </c>
      <c r="M166" s="39">
        <f t="shared" si="135"/>
        <v>0</v>
      </c>
      <c r="N166" s="39">
        <f t="shared" si="135"/>
        <v>0</v>
      </c>
      <c r="O166" s="176">
        <f t="shared" si="116"/>
        <v>0</v>
      </c>
      <c r="P166" s="177">
        <v>0</v>
      </c>
      <c r="Q166" s="104">
        <f t="shared" si="114"/>
        <v>0</v>
      </c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7"/>
    </row>
    <row r="167" spans="1:74" s="178" customFormat="1" ht="18.75" x14ac:dyDescent="0.2">
      <c r="A167" s="77" t="s">
        <v>569</v>
      </c>
      <c r="B167" s="75" t="s">
        <v>570</v>
      </c>
      <c r="C167" s="207">
        <f t="shared" ref="C167:N167" si="136">+C168+C175</f>
        <v>0</v>
      </c>
      <c r="D167" s="207">
        <f t="shared" si="136"/>
        <v>0</v>
      </c>
      <c r="E167" s="207">
        <f t="shared" si="136"/>
        <v>0</v>
      </c>
      <c r="F167" s="207">
        <f t="shared" si="136"/>
        <v>0</v>
      </c>
      <c r="G167" s="207">
        <f t="shared" si="136"/>
        <v>0</v>
      </c>
      <c r="H167" s="207">
        <f t="shared" si="136"/>
        <v>0</v>
      </c>
      <c r="I167" s="207">
        <f t="shared" si="136"/>
        <v>0</v>
      </c>
      <c r="J167" s="207">
        <f t="shared" si="136"/>
        <v>0</v>
      </c>
      <c r="K167" s="207">
        <f t="shared" si="136"/>
        <v>0</v>
      </c>
      <c r="L167" s="207">
        <f t="shared" si="136"/>
        <v>0</v>
      </c>
      <c r="M167" s="207">
        <f t="shared" si="136"/>
        <v>0</v>
      </c>
      <c r="N167" s="207">
        <f t="shared" si="136"/>
        <v>3400000000</v>
      </c>
      <c r="O167" s="176">
        <f t="shared" si="116"/>
        <v>3400000000</v>
      </c>
      <c r="P167" s="177">
        <v>0</v>
      </c>
      <c r="Q167" s="104">
        <f t="shared" si="114"/>
        <v>-3400000000</v>
      </c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177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  <c r="BV167" s="177"/>
    </row>
    <row r="168" spans="1:74" s="83" customFormat="1" ht="31.5" x14ac:dyDescent="0.2">
      <c r="A168" s="77" t="s">
        <v>571</v>
      </c>
      <c r="B168" s="75" t="s">
        <v>572</v>
      </c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>
        <v>3400000000</v>
      </c>
      <c r="O168" s="176">
        <f t="shared" si="116"/>
        <v>3400000000</v>
      </c>
      <c r="P168" s="82">
        <v>0</v>
      </c>
      <c r="Q168" s="104">
        <f t="shared" si="114"/>
        <v>-3400000000</v>
      </c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</row>
    <row r="169" spans="1:74" s="83" customFormat="1" ht="42.75" x14ac:dyDescent="0.2">
      <c r="A169" s="72" t="s">
        <v>573</v>
      </c>
      <c r="B169" s="73" t="s">
        <v>217</v>
      </c>
      <c r="C169" s="39">
        <f t="shared" ref="C169:N169" si="137">+C168*69.7845456%</f>
        <v>0</v>
      </c>
      <c r="D169" s="39">
        <f t="shared" si="137"/>
        <v>0</v>
      </c>
      <c r="E169" s="39">
        <f t="shared" si="137"/>
        <v>0</v>
      </c>
      <c r="F169" s="39">
        <f t="shared" si="137"/>
        <v>0</v>
      </c>
      <c r="G169" s="39">
        <f t="shared" si="137"/>
        <v>0</v>
      </c>
      <c r="H169" s="39">
        <f t="shared" si="137"/>
        <v>0</v>
      </c>
      <c r="I169" s="39">
        <f t="shared" si="137"/>
        <v>0</v>
      </c>
      <c r="J169" s="39">
        <f t="shared" si="137"/>
        <v>0</v>
      </c>
      <c r="K169" s="39">
        <f t="shared" si="137"/>
        <v>0</v>
      </c>
      <c r="L169" s="39">
        <f t="shared" si="137"/>
        <v>0</v>
      </c>
      <c r="M169" s="39">
        <f t="shared" si="137"/>
        <v>0</v>
      </c>
      <c r="N169" s="39">
        <f t="shared" si="137"/>
        <v>2372674550.4000001</v>
      </c>
      <c r="O169" s="176">
        <f t="shared" si="116"/>
        <v>2372674550.4000001</v>
      </c>
      <c r="P169" s="82">
        <v>0</v>
      </c>
      <c r="Q169" s="104">
        <f t="shared" si="114"/>
        <v>-2372674550.4000001</v>
      </c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</row>
    <row r="170" spans="1:74" s="83" customFormat="1" ht="42.75" x14ac:dyDescent="0.2">
      <c r="A170" s="72" t="s">
        <v>574</v>
      </c>
      <c r="B170" s="73" t="s">
        <v>218</v>
      </c>
      <c r="C170" s="39">
        <f t="shared" ref="C170:N170" si="138">+C168*0.08%</f>
        <v>0</v>
      </c>
      <c r="D170" s="39">
        <f t="shared" si="138"/>
        <v>0</v>
      </c>
      <c r="E170" s="39">
        <f t="shared" si="138"/>
        <v>0</v>
      </c>
      <c r="F170" s="39">
        <f t="shared" si="138"/>
        <v>0</v>
      </c>
      <c r="G170" s="39">
        <f t="shared" si="138"/>
        <v>0</v>
      </c>
      <c r="H170" s="39">
        <f t="shared" si="138"/>
        <v>0</v>
      </c>
      <c r="I170" s="39">
        <f t="shared" si="138"/>
        <v>0</v>
      </c>
      <c r="J170" s="39">
        <f t="shared" si="138"/>
        <v>0</v>
      </c>
      <c r="K170" s="39">
        <f t="shared" si="138"/>
        <v>0</v>
      </c>
      <c r="L170" s="39">
        <f t="shared" si="138"/>
        <v>0</v>
      </c>
      <c r="M170" s="39">
        <f t="shared" si="138"/>
        <v>0</v>
      </c>
      <c r="N170" s="39">
        <f t="shared" si="138"/>
        <v>2720000</v>
      </c>
      <c r="O170" s="136">
        <f t="shared" si="116"/>
        <v>2720000</v>
      </c>
      <c r="P170" s="82">
        <v>0</v>
      </c>
      <c r="Q170" s="104">
        <f t="shared" si="114"/>
        <v>-2720000</v>
      </c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</row>
    <row r="171" spans="1:74" s="83" customFormat="1" ht="28.5" x14ac:dyDescent="0.2">
      <c r="A171" s="72" t="s">
        <v>575</v>
      </c>
      <c r="B171" s="73" t="s">
        <v>219</v>
      </c>
      <c r="C171" s="39">
        <f t="shared" ref="C171:N171" si="139">+C168*7.992%</f>
        <v>0</v>
      </c>
      <c r="D171" s="39">
        <f t="shared" si="139"/>
        <v>0</v>
      </c>
      <c r="E171" s="39">
        <f t="shared" si="139"/>
        <v>0</v>
      </c>
      <c r="F171" s="39">
        <f t="shared" si="139"/>
        <v>0</v>
      </c>
      <c r="G171" s="39">
        <f t="shared" si="139"/>
        <v>0</v>
      </c>
      <c r="H171" s="39">
        <f t="shared" si="139"/>
        <v>0</v>
      </c>
      <c r="I171" s="39">
        <f t="shared" si="139"/>
        <v>0</v>
      </c>
      <c r="J171" s="39">
        <f t="shared" si="139"/>
        <v>0</v>
      </c>
      <c r="K171" s="39">
        <f t="shared" si="139"/>
        <v>0</v>
      </c>
      <c r="L171" s="39">
        <f t="shared" si="139"/>
        <v>0</v>
      </c>
      <c r="M171" s="39">
        <f t="shared" si="139"/>
        <v>0</v>
      </c>
      <c r="N171" s="39">
        <f t="shared" si="139"/>
        <v>271728000</v>
      </c>
      <c r="O171" s="136">
        <f t="shared" si="116"/>
        <v>271728000</v>
      </c>
      <c r="P171" s="82">
        <v>0</v>
      </c>
      <c r="Q171" s="104">
        <f t="shared" si="114"/>
        <v>-271728000</v>
      </c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</row>
    <row r="172" spans="1:74" s="83" customFormat="1" ht="42.75" x14ac:dyDescent="0.2">
      <c r="A172" s="72" t="s">
        <v>576</v>
      </c>
      <c r="B172" s="73" t="s">
        <v>220</v>
      </c>
      <c r="C172" s="39">
        <f t="shared" ref="C172:N172" si="140">+C168*1.43856%</f>
        <v>0</v>
      </c>
      <c r="D172" s="39">
        <f t="shared" si="140"/>
        <v>0</v>
      </c>
      <c r="E172" s="39">
        <f t="shared" si="140"/>
        <v>0</v>
      </c>
      <c r="F172" s="39">
        <f t="shared" si="140"/>
        <v>0</v>
      </c>
      <c r="G172" s="39">
        <f t="shared" si="140"/>
        <v>0</v>
      </c>
      <c r="H172" s="39">
        <f t="shared" si="140"/>
        <v>0</v>
      </c>
      <c r="I172" s="39">
        <f t="shared" si="140"/>
        <v>0</v>
      </c>
      <c r="J172" s="39">
        <f t="shared" si="140"/>
        <v>0</v>
      </c>
      <c r="K172" s="39">
        <f t="shared" si="140"/>
        <v>0</v>
      </c>
      <c r="L172" s="39">
        <f t="shared" si="140"/>
        <v>0</v>
      </c>
      <c r="M172" s="39">
        <f t="shared" si="140"/>
        <v>0</v>
      </c>
      <c r="N172" s="39">
        <f t="shared" si="140"/>
        <v>48911040</v>
      </c>
      <c r="O172" s="136">
        <f t="shared" si="116"/>
        <v>48911040</v>
      </c>
      <c r="P172" s="82">
        <v>0</v>
      </c>
      <c r="Q172" s="104">
        <f t="shared" si="114"/>
        <v>-48911040</v>
      </c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</row>
    <row r="173" spans="1:74" s="106" customFormat="1" ht="57" x14ac:dyDescent="0.2">
      <c r="A173" s="72" t="s">
        <v>577</v>
      </c>
      <c r="B173" s="73" t="s">
        <v>221</v>
      </c>
      <c r="C173" s="39">
        <f t="shared" ref="C173:N173" si="141">+C168*0.7048944%</f>
        <v>0</v>
      </c>
      <c r="D173" s="39">
        <f t="shared" si="141"/>
        <v>0</v>
      </c>
      <c r="E173" s="39">
        <f t="shared" si="141"/>
        <v>0</v>
      </c>
      <c r="F173" s="39">
        <f t="shared" si="141"/>
        <v>0</v>
      </c>
      <c r="G173" s="39">
        <f t="shared" si="141"/>
        <v>0</v>
      </c>
      <c r="H173" s="39">
        <f t="shared" si="141"/>
        <v>0</v>
      </c>
      <c r="I173" s="39">
        <f t="shared" si="141"/>
        <v>0</v>
      </c>
      <c r="J173" s="39">
        <f t="shared" si="141"/>
        <v>0</v>
      </c>
      <c r="K173" s="39">
        <f t="shared" si="141"/>
        <v>0</v>
      </c>
      <c r="L173" s="39">
        <f t="shared" si="141"/>
        <v>0</v>
      </c>
      <c r="M173" s="39">
        <f t="shared" si="141"/>
        <v>0</v>
      </c>
      <c r="N173" s="39">
        <f t="shared" si="141"/>
        <v>23966409.600000001</v>
      </c>
      <c r="O173" s="136">
        <f t="shared" si="116"/>
        <v>23966409.600000001</v>
      </c>
      <c r="P173" s="105">
        <v>0</v>
      </c>
      <c r="Q173" s="104">
        <f t="shared" si="114"/>
        <v>-23966409.600000001</v>
      </c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  <c r="BO173" s="105"/>
      <c r="BP173" s="105"/>
      <c r="BQ173" s="105"/>
      <c r="BR173" s="105"/>
      <c r="BS173" s="105"/>
      <c r="BT173" s="105"/>
      <c r="BU173" s="105"/>
      <c r="BV173" s="105"/>
    </row>
    <row r="174" spans="1:74" s="106" customFormat="1" ht="42.75" x14ac:dyDescent="0.2">
      <c r="A174" s="72" t="s">
        <v>578</v>
      </c>
      <c r="B174" s="73" t="s">
        <v>579</v>
      </c>
      <c r="C174" s="189">
        <f t="shared" ref="C174:N174" si="142">+C168*20%</f>
        <v>0</v>
      </c>
      <c r="D174" s="189">
        <f t="shared" si="142"/>
        <v>0</v>
      </c>
      <c r="E174" s="189">
        <f t="shared" si="142"/>
        <v>0</v>
      </c>
      <c r="F174" s="189">
        <f t="shared" si="142"/>
        <v>0</v>
      </c>
      <c r="G174" s="189">
        <f t="shared" si="142"/>
        <v>0</v>
      </c>
      <c r="H174" s="189">
        <f t="shared" si="142"/>
        <v>0</v>
      </c>
      <c r="I174" s="189">
        <f t="shared" si="142"/>
        <v>0</v>
      </c>
      <c r="J174" s="189">
        <f t="shared" si="142"/>
        <v>0</v>
      </c>
      <c r="K174" s="189">
        <f t="shared" si="142"/>
        <v>0</v>
      </c>
      <c r="L174" s="189">
        <f t="shared" si="142"/>
        <v>0</v>
      </c>
      <c r="M174" s="189">
        <f t="shared" si="142"/>
        <v>0</v>
      </c>
      <c r="N174" s="189">
        <f t="shared" si="142"/>
        <v>680000000</v>
      </c>
      <c r="O174" s="136">
        <f t="shared" si="116"/>
        <v>680000000</v>
      </c>
      <c r="P174" s="105">
        <v>0</v>
      </c>
      <c r="Q174" s="104">
        <f t="shared" si="114"/>
        <v>-680000000</v>
      </c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  <c r="BO174" s="105"/>
      <c r="BP174" s="105"/>
      <c r="BQ174" s="105"/>
      <c r="BR174" s="105"/>
      <c r="BS174" s="105"/>
      <c r="BT174" s="105"/>
      <c r="BU174" s="105"/>
      <c r="BV174" s="105"/>
    </row>
    <row r="175" spans="1:74" s="106" customFormat="1" ht="31.5" x14ac:dyDescent="0.2">
      <c r="A175" s="77" t="s">
        <v>580</v>
      </c>
      <c r="B175" s="97" t="s">
        <v>581</v>
      </c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36">
        <f t="shared" si="116"/>
        <v>0</v>
      </c>
      <c r="P175" s="105">
        <v>0</v>
      </c>
      <c r="Q175" s="104">
        <f t="shared" si="114"/>
        <v>0</v>
      </c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105"/>
      <c r="BT175" s="105"/>
      <c r="BU175" s="105"/>
      <c r="BV175" s="105"/>
    </row>
    <row r="176" spans="1:74" s="106" customFormat="1" ht="42.75" x14ac:dyDescent="0.2">
      <c r="A176" s="72" t="s">
        <v>582</v>
      </c>
      <c r="B176" s="73" t="s">
        <v>212</v>
      </c>
      <c r="C176" s="39">
        <f t="shared" ref="C176:N176" si="143">+C175*87.230682%</f>
        <v>0</v>
      </c>
      <c r="D176" s="39">
        <f t="shared" si="143"/>
        <v>0</v>
      </c>
      <c r="E176" s="39">
        <f t="shared" si="143"/>
        <v>0</v>
      </c>
      <c r="F176" s="39">
        <f t="shared" si="143"/>
        <v>0</v>
      </c>
      <c r="G176" s="39">
        <f t="shared" si="143"/>
        <v>0</v>
      </c>
      <c r="H176" s="39">
        <f t="shared" si="143"/>
        <v>0</v>
      </c>
      <c r="I176" s="39">
        <f t="shared" si="143"/>
        <v>0</v>
      </c>
      <c r="J176" s="39">
        <f t="shared" si="143"/>
        <v>0</v>
      </c>
      <c r="K176" s="39">
        <f t="shared" si="143"/>
        <v>0</v>
      </c>
      <c r="L176" s="39">
        <f t="shared" si="143"/>
        <v>0</v>
      </c>
      <c r="M176" s="39">
        <f t="shared" si="143"/>
        <v>0</v>
      </c>
      <c r="N176" s="39">
        <f t="shared" si="143"/>
        <v>0</v>
      </c>
      <c r="O176" s="136">
        <f t="shared" si="116"/>
        <v>0</v>
      </c>
      <c r="P176" s="105">
        <v>0</v>
      </c>
      <c r="Q176" s="104">
        <f t="shared" si="114"/>
        <v>0</v>
      </c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5"/>
      <c r="BN176" s="105"/>
      <c r="BO176" s="105"/>
      <c r="BP176" s="105"/>
      <c r="BQ176" s="105"/>
      <c r="BR176" s="105"/>
      <c r="BS176" s="105"/>
      <c r="BT176" s="105"/>
      <c r="BU176" s="105"/>
      <c r="BV176" s="105"/>
    </row>
    <row r="177" spans="1:74" s="106" customFormat="1" ht="42.75" x14ac:dyDescent="0.2">
      <c r="A177" s="72" t="s">
        <v>583</v>
      </c>
      <c r="B177" s="73" t="s">
        <v>213</v>
      </c>
      <c r="C177" s="39">
        <f t="shared" ref="C177:N177" si="144">+C175*0.1%</f>
        <v>0</v>
      </c>
      <c r="D177" s="39">
        <f t="shared" si="144"/>
        <v>0</v>
      </c>
      <c r="E177" s="39">
        <f t="shared" si="144"/>
        <v>0</v>
      </c>
      <c r="F177" s="39">
        <f t="shared" si="144"/>
        <v>0</v>
      </c>
      <c r="G177" s="39">
        <f t="shared" si="144"/>
        <v>0</v>
      </c>
      <c r="H177" s="39">
        <f t="shared" si="144"/>
        <v>0</v>
      </c>
      <c r="I177" s="39">
        <f t="shared" si="144"/>
        <v>0</v>
      </c>
      <c r="J177" s="39">
        <f t="shared" si="144"/>
        <v>0</v>
      </c>
      <c r="K177" s="39">
        <f t="shared" si="144"/>
        <v>0</v>
      </c>
      <c r="L177" s="39">
        <f t="shared" si="144"/>
        <v>0</v>
      </c>
      <c r="M177" s="39">
        <f t="shared" si="144"/>
        <v>0</v>
      </c>
      <c r="N177" s="39">
        <f t="shared" si="144"/>
        <v>0</v>
      </c>
      <c r="O177" s="136">
        <f t="shared" si="116"/>
        <v>0</v>
      </c>
      <c r="P177" s="105">
        <v>0</v>
      </c>
      <c r="Q177" s="104">
        <f t="shared" si="114"/>
        <v>0</v>
      </c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  <c r="BO177" s="105"/>
      <c r="BP177" s="105"/>
      <c r="BQ177" s="105"/>
      <c r="BR177" s="105"/>
      <c r="BS177" s="105"/>
      <c r="BT177" s="105"/>
      <c r="BU177" s="105"/>
      <c r="BV177" s="105"/>
    </row>
    <row r="178" spans="1:74" s="106" customFormat="1" ht="42.75" x14ac:dyDescent="0.2">
      <c r="A178" s="72" t="s">
        <v>584</v>
      </c>
      <c r="B178" s="73" t="s">
        <v>214</v>
      </c>
      <c r="C178" s="39">
        <f t="shared" ref="C178:N178" si="145">+C175*9.99%</f>
        <v>0</v>
      </c>
      <c r="D178" s="39">
        <f t="shared" si="145"/>
        <v>0</v>
      </c>
      <c r="E178" s="39">
        <f t="shared" si="145"/>
        <v>0</v>
      </c>
      <c r="F178" s="39">
        <f t="shared" si="145"/>
        <v>0</v>
      </c>
      <c r="G178" s="39">
        <f t="shared" si="145"/>
        <v>0</v>
      </c>
      <c r="H178" s="39">
        <f t="shared" si="145"/>
        <v>0</v>
      </c>
      <c r="I178" s="39">
        <f t="shared" si="145"/>
        <v>0</v>
      </c>
      <c r="J178" s="39">
        <f t="shared" si="145"/>
        <v>0</v>
      </c>
      <c r="K178" s="39">
        <f t="shared" si="145"/>
        <v>0</v>
      </c>
      <c r="L178" s="39">
        <f t="shared" si="145"/>
        <v>0</v>
      </c>
      <c r="M178" s="39">
        <f t="shared" si="145"/>
        <v>0</v>
      </c>
      <c r="N178" s="39">
        <f t="shared" si="145"/>
        <v>0</v>
      </c>
      <c r="O178" s="136">
        <f t="shared" si="116"/>
        <v>0</v>
      </c>
      <c r="P178" s="105">
        <v>0</v>
      </c>
      <c r="Q178" s="104">
        <f t="shared" si="114"/>
        <v>0</v>
      </c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5"/>
      <c r="BN178" s="105"/>
      <c r="BO178" s="105"/>
      <c r="BP178" s="105"/>
      <c r="BQ178" s="105"/>
      <c r="BR178" s="105"/>
      <c r="BS178" s="105"/>
      <c r="BT178" s="105"/>
      <c r="BU178" s="105"/>
      <c r="BV178" s="105"/>
    </row>
    <row r="179" spans="1:74" s="83" customFormat="1" ht="42.75" x14ac:dyDescent="0.2">
      <c r="A179" s="72" t="s">
        <v>585</v>
      </c>
      <c r="B179" s="73" t="s">
        <v>215</v>
      </c>
      <c r="C179" s="39">
        <f t="shared" ref="C179:N179" si="146">+C175*1.7982%</f>
        <v>0</v>
      </c>
      <c r="D179" s="39">
        <f t="shared" si="146"/>
        <v>0</v>
      </c>
      <c r="E179" s="39">
        <f t="shared" si="146"/>
        <v>0</v>
      </c>
      <c r="F179" s="39">
        <f t="shared" si="146"/>
        <v>0</v>
      </c>
      <c r="G179" s="39">
        <f t="shared" si="146"/>
        <v>0</v>
      </c>
      <c r="H179" s="39">
        <f t="shared" si="146"/>
        <v>0</v>
      </c>
      <c r="I179" s="39">
        <f t="shared" si="146"/>
        <v>0</v>
      </c>
      <c r="J179" s="39">
        <f t="shared" si="146"/>
        <v>0</v>
      </c>
      <c r="K179" s="39">
        <f t="shared" si="146"/>
        <v>0</v>
      </c>
      <c r="L179" s="39">
        <f t="shared" si="146"/>
        <v>0</v>
      </c>
      <c r="M179" s="39">
        <f t="shared" si="146"/>
        <v>0</v>
      </c>
      <c r="N179" s="39">
        <f t="shared" si="146"/>
        <v>0</v>
      </c>
      <c r="O179" s="136">
        <f t="shared" si="116"/>
        <v>0</v>
      </c>
      <c r="P179" s="82">
        <v>0</v>
      </c>
      <c r="Q179" s="104">
        <f t="shared" si="114"/>
        <v>0</v>
      </c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</row>
    <row r="180" spans="1:74" s="106" customFormat="1" ht="57" x14ac:dyDescent="0.2">
      <c r="A180" s="72" t="s">
        <v>586</v>
      </c>
      <c r="B180" s="73" t="s">
        <v>216</v>
      </c>
      <c r="C180" s="39">
        <f t="shared" ref="C180:N180" si="147">+C175*0.881118%</f>
        <v>0</v>
      </c>
      <c r="D180" s="39">
        <f t="shared" si="147"/>
        <v>0</v>
      </c>
      <c r="E180" s="39">
        <f t="shared" si="147"/>
        <v>0</v>
      </c>
      <c r="F180" s="39">
        <f t="shared" si="147"/>
        <v>0</v>
      </c>
      <c r="G180" s="39">
        <f t="shared" si="147"/>
        <v>0</v>
      </c>
      <c r="H180" s="39">
        <f t="shared" si="147"/>
        <v>0</v>
      </c>
      <c r="I180" s="39">
        <f t="shared" si="147"/>
        <v>0</v>
      </c>
      <c r="J180" s="39">
        <f t="shared" si="147"/>
        <v>0</v>
      </c>
      <c r="K180" s="39">
        <f t="shared" si="147"/>
        <v>0</v>
      </c>
      <c r="L180" s="39">
        <f t="shared" si="147"/>
        <v>0</v>
      </c>
      <c r="M180" s="39">
        <f t="shared" si="147"/>
        <v>0</v>
      </c>
      <c r="N180" s="39">
        <f t="shared" si="147"/>
        <v>0</v>
      </c>
      <c r="O180" s="136">
        <f t="shared" si="116"/>
        <v>0</v>
      </c>
      <c r="P180" s="105">
        <v>0</v>
      </c>
      <c r="Q180" s="104">
        <f t="shared" si="114"/>
        <v>0</v>
      </c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5"/>
      <c r="BN180" s="105"/>
      <c r="BO180" s="105"/>
      <c r="BP180" s="105"/>
      <c r="BQ180" s="105"/>
      <c r="BR180" s="105"/>
      <c r="BS180" s="105"/>
      <c r="BT180" s="105"/>
      <c r="BU180" s="105"/>
      <c r="BV180" s="105"/>
    </row>
    <row r="181" spans="1:74" s="106" customFormat="1" ht="19.5" x14ac:dyDescent="0.2">
      <c r="A181" s="77" t="s">
        <v>587</v>
      </c>
      <c r="B181" s="75" t="s">
        <v>588</v>
      </c>
      <c r="C181" s="188">
        <f t="shared" ref="C181:N184" si="148">+C182</f>
        <v>0</v>
      </c>
      <c r="D181" s="188">
        <f t="shared" si="148"/>
        <v>0</v>
      </c>
      <c r="E181" s="188">
        <f t="shared" si="148"/>
        <v>0</v>
      </c>
      <c r="F181" s="188">
        <f t="shared" si="148"/>
        <v>0</v>
      </c>
      <c r="G181" s="188">
        <f t="shared" si="148"/>
        <v>0</v>
      </c>
      <c r="H181" s="188">
        <f t="shared" si="148"/>
        <v>0</v>
      </c>
      <c r="I181" s="188">
        <f t="shared" si="148"/>
        <v>0</v>
      </c>
      <c r="J181" s="188">
        <f t="shared" si="148"/>
        <v>0</v>
      </c>
      <c r="K181" s="188">
        <f t="shared" si="148"/>
        <v>0</v>
      </c>
      <c r="L181" s="188">
        <f t="shared" si="148"/>
        <v>0</v>
      </c>
      <c r="M181" s="188">
        <f t="shared" si="148"/>
        <v>0</v>
      </c>
      <c r="N181" s="188">
        <f t="shared" si="148"/>
        <v>0</v>
      </c>
      <c r="O181" s="136">
        <f t="shared" si="116"/>
        <v>0</v>
      </c>
      <c r="P181" s="105">
        <v>0</v>
      </c>
      <c r="Q181" s="104">
        <f t="shared" si="114"/>
        <v>0</v>
      </c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5"/>
      <c r="BN181" s="105"/>
      <c r="BO181" s="105"/>
      <c r="BP181" s="105"/>
      <c r="BQ181" s="105"/>
      <c r="BR181" s="105"/>
      <c r="BS181" s="105"/>
      <c r="BT181" s="105"/>
      <c r="BU181" s="105"/>
      <c r="BV181" s="105"/>
    </row>
    <row r="182" spans="1:74" s="106" customFormat="1" ht="31.5" x14ac:dyDescent="0.2">
      <c r="A182" s="77" t="s">
        <v>589</v>
      </c>
      <c r="B182" s="97" t="s">
        <v>590</v>
      </c>
      <c r="C182" s="188">
        <f t="shared" si="148"/>
        <v>0</v>
      </c>
      <c r="D182" s="188">
        <f t="shared" si="148"/>
        <v>0</v>
      </c>
      <c r="E182" s="188">
        <f t="shared" si="148"/>
        <v>0</v>
      </c>
      <c r="F182" s="188">
        <f t="shared" si="148"/>
        <v>0</v>
      </c>
      <c r="G182" s="188">
        <f t="shared" si="148"/>
        <v>0</v>
      </c>
      <c r="H182" s="188">
        <f t="shared" si="148"/>
        <v>0</v>
      </c>
      <c r="I182" s="188">
        <f t="shared" si="148"/>
        <v>0</v>
      </c>
      <c r="J182" s="188">
        <f t="shared" si="148"/>
        <v>0</v>
      </c>
      <c r="K182" s="188">
        <f t="shared" si="148"/>
        <v>0</v>
      </c>
      <c r="L182" s="188">
        <f t="shared" si="148"/>
        <v>0</v>
      </c>
      <c r="M182" s="188">
        <f t="shared" si="148"/>
        <v>0</v>
      </c>
      <c r="N182" s="188">
        <f t="shared" si="148"/>
        <v>0</v>
      </c>
      <c r="O182" s="136">
        <f t="shared" si="116"/>
        <v>0</v>
      </c>
      <c r="P182" s="105">
        <v>0</v>
      </c>
      <c r="Q182" s="104">
        <f t="shared" si="114"/>
        <v>0</v>
      </c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5"/>
      <c r="BN182" s="105"/>
      <c r="BO182" s="105"/>
      <c r="BP182" s="105"/>
      <c r="BQ182" s="105"/>
      <c r="BR182" s="105"/>
      <c r="BS182" s="105"/>
      <c r="BT182" s="105"/>
      <c r="BU182" s="105"/>
      <c r="BV182" s="105"/>
    </row>
    <row r="183" spans="1:74" s="106" customFormat="1" ht="63" x14ac:dyDescent="0.2">
      <c r="A183" s="77" t="s">
        <v>591</v>
      </c>
      <c r="B183" s="75" t="s">
        <v>592</v>
      </c>
      <c r="C183" s="188">
        <f t="shared" si="148"/>
        <v>0</v>
      </c>
      <c r="D183" s="188">
        <f t="shared" si="148"/>
        <v>0</v>
      </c>
      <c r="E183" s="188">
        <f t="shared" si="148"/>
        <v>0</v>
      </c>
      <c r="F183" s="188">
        <f t="shared" si="148"/>
        <v>0</v>
      </c>
      <c r="G183" s="188">
        <f t="shared" si="148"/>
        <v>0</v>
      </c>
      <c r="H183" s="188">
        <f t="shared" si="148"/>
        <v>0</v>
      </c>
      <c r="I183" s="188">
        <f t="shared" si="148"/>
        <v>0</v>
      </c>
      <c r="J183" s="188">
        <f t="shared" si="148"/>
        <v>0</v>
      </c>
      <c r="K183" s="188">
        <f t="shared" si="148"/>
        <v>0</v>
      </c>
      <c r="L183" s="188">
        <f t="shared" si="148"/>
        <v>0</v>
      </c>
      <c r="M183" s="188">
        <f t="shared" si="148"/>
        <v>0</v>
      </c>
      <c r="N183" s="188">
        <f t="shared" si="148"/>
        <v>0</v>
      </c>
      <c r="O183" s="136">
        <f t="shared" si="116"/>
        <v>0</v>
      </c>
      <c r="P183" s="105">
        <v>0</v>
      </c>
      <c r="Q183" s="104">
        <f t="shared" si="114"/>
        <v>0</v>
      </c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5"/>
      <c r="BN183" s="105"/>
      <c r="BO183" s="105"/>
      <c r="BP183" s="105"/>
      <c r="BQ183" s="105"/>
      <c r="BR183" s="105"/>
      <c r="BS183" s="105"/>
      <c r="BT183" s="105"/>
      <c r="BU183" s="105"/>
      <c r="BV183" s="105"/>
    </row>
    <row r="184" spans="1:74" s="106" customFormat="1" ht="47.25" x14ac:dyDescent="0.2">
      <c r="A184" s="77" t="s">
        <v>593</v>
      </c>
      <c r="B184" s="75" t="s">
        <v>594</v>
      </c>
      <c r="C184" s="188">
        <f t="shared" si="148"/>
        <v>0</v>
      </c>
      <c r="D184" s="188">
        <f t="shared" si="148"/>
        <v>0</v>
      </c>
      <c r="E184" s="188">
        <f t="shared" si="148"/>
        <v>0</v>
      </c>
      <c r="F184" s="188">
        <f t="shared" si="148"/>
        <v>0</v>
      </c>
      <c r="G184" s="188">
        <f t="shared" si="148"/>
        <v>0</v>
      </c>
      <c r="H184" s="188">
        <f t="shared" si="148"/>
        <v>0</v>
      </c>
      <c r="I184" s="188">
        <f t="shared" si="148"/>
        <v>0</v>
      </c>
      <c r="J184" s="188">
        <f t="shared" si="148"/>
        <v>0</v>
      </c>
      <c r="K184" s="188">
        <f t="shared" si="148"/>
        <v>0</v>
      </c>
      <c r="L184" s="188">
        <f t="shared" si="148"/>
        <v>0</v>
      </c>
      <c r="M184" s="188">
        <f t="shared" si="148"/>
        <v>0</v>
      </c>
      <c r="N184" s="188">
        <f t="shared" si="148"/>
        <v>0</v>
      </c>
      <c r="O184" s="136">
        <f t="shared" si="116"/>
        <v>0</v>
      </c>
      <c r="P184" s="105">
        <v>0</v>
      </c>
      <c r="Q184" s="104">
        <f t="shared" si="114"/>
        <v>0</v>
      </c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  <c r="BO184" s="105"/>
      <c r="BP184" s="105"/>
      <c r="BQ184" s="105"/>
      <c r="BR184" s="105"/>
      <c r="BS184" s="105"/>
      <c r="BT184" s="105"/>
      <c r="BU184" s="105"/>
      <c r="BV184" s="105"/>
    </row>
    <row r="185" spans="1:74" s="106" customFormat="1" ht="78.75" x14ac:dyDescent="0.2">
      <c r="A185" s="77" t="s">
        <v>595</v>
      </c>
      <c r="B185" s="75" t="s">
        <v>596</v>
      </c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36">
        <f t="shared" si="116"/>
        <v>0</v>
      </c>
      <c r="P185" s="105">
        <v>0</v>
      </c>
      <c r="Q185" s="104">
        <f t="shared" si="114"/>
        <v>0</v>
      </c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  <c r="BO185" s="105"/>
      <c r="BP185" s="105"/>
      <c r="BQ185" s="105"/>
      <c r="BR185" s="105"/>
      <c r="BS185" s="105"/>
      <c r="BT185" s="105"/>
      <c r="BU185" s="105"/>
      <c r="BV185" s="105"/>
    </row>
    <row r="186" spans="1:74" s="83" customFormat="1" ht="28.5" x14ac:dyDescent="0.2">
      <c r="A186" s="72" t="s">
        <v>597</v>
      </c>
      <c r="B186" s="73" t="s">
        <v>598</v>
      </c>
      <c r="C186" s="39">
        <f t="shared" ref="C186:N186" si="149">+C185*87.230682%</f>
        <v>0</v>
      </c>
      <c r="D186" s="39">
        <f t="shared" si="149"/>
        <v>0</v>
      </c>
      <c r="E186" s="39">
        <f t="shared" si="149"/>
        <v>0</v>
      </c>
      <c r="F186" s="39">
        <f t="shared" si="149"/>
        <v>0</v>
      </c>
      <c r="G186" s="39">
        <f t="shared" si="149"/>
        <v>0</v>
      </c>
      <c r="H186" s="39">
        <f t="shared" si="149"/>
        <v>0</v>
      </c>
      <c r="I186" s="39">
        <f t="shared" si="149"/>
        <v>0</v>
      </c>
      <c r="J186" s="39">
        <f t="shared" si="149"/>
        <v>0</v>
      </c>
      <c r="K186" s="39">
        <f t="shared" si="149"/>
        <v>0</v>
      </c>
      <c r="L186" s="39">
        <f t="shared" si="149"/>
        <v>0</v>
      </c>
      <c r="M186" s="39">
        <f t="shared" si="149"/>
        <v>0</v>
      </c>
      <c r="N186" s="39">
        <f t="shared" si="149"/>
        <v>0</v>
      </c>
      <c r="O186" s="136">
        <f t="shared" si="116"/>
        <v>0</v>
      </c>
      <c r="P186" s="82">
        <v>0</v>
      </c>
      <c r="Q186" s="104">
        <f t="shared" si="114"/>
        <v>0</v>
      </c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</row>
    <row r="187" spans="1:74" s="83" customFormat="1" ht="14.25" x14ac:dyDescent="0.2">
      <c r="A187" s="72" t="s">
        <v>599</v>
      </c>
      <c r="B187" s="73" t="s">
        <v>600</v>
      </c>
      <c r="C187" s="39">
        <f t="shared" ref="C187:N187" si="150">+C185*0.1%</f>
        <v>0</v>
      </c>
      <c r="D187" s="39">
        <f t="shared" si="150"/>
        <v>0</v>
      </c>
      <c r="E187" s="39">
        <f t="shared" si="150"/>
        <v>0</v>
      </c>
      <c r="F187" s="39">
        <f t="shared" si="150"/>
        <v>0</v>
      </c>
      <c r="G187" s="39">
        <f t="shared" si="150"/>
        <v>0</v>
      </c>
      <c r="H187" s="39">
        <f t="shared" si="150"/>
        <v>0</v>
      </c>
      <c r="I187" s="39">
        <f t="shared" si="150"/>
        <v>0</v>
      </c>
      <c r="J187" s="39">
        <f t="shared" si="150"/>
        <v>0</v>
      </c>
      <c r="K187" s="39">
        <f t="shared" si="150"/>
        <v>0</v>
      </c>
      <c r="L187" s="39">
        <f t="shared" si="150"/>
        <v>0</v>
      </c>
      <c r="M187" s="39">
        <f t="shared" si="150"/>
        <v>0</v>
      </c>
      <c r="N187" s="39">
        <f t="shared" si="150"/>
        <v>0</v>
      </c>
      <c r="O187" s="136">
        <f t="shared" si="116"/>
        <v>0</v>
      </c>
      <c r="P187" s="82">
        <v>0</v>
      </c>
      <c r="Q187" s="104">
        <f t="shared" si="114"/>
        <v>0</v>
      </c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</row>
    <row r="188" spans="1:74" s="106" customFormat="1" ht="14.25" x14ac:dyDescent="0.2">
      <c r="A188" s="72" t="s">
        <v>601</v>
      </c>
      <c r="B188" s="73" t="s">
        <v>602</v>
      </c>
      <c r="C188" s="39">
        <f t="shared" ref="C188:N188" si="151">+C185*9.99%</f>
        <v>0</v>
      </c>
      <c r="D188" s="39">
        <f t="shared" si="151"/>
        <v>0</v>
      </c>
      <c r="E188" s="39">
        <f t="shared" si="151"/>
        <v>0</v>
      </c>
      <c r="F188" s="39">
        <f t="shared" si="151"/>
        <v>0</v>
      </c>
      <c r="G188" s="39">
        <f t="shared" si="151"/>
        <v>0</v>
      </c>
      <c r="H188" s="39">
        <f t="shared" si="151"/>
        <v>0</v>
      </c>
      <c r="I188" s="39">
        <f t="shared" si="151"/>
        <v>0</v>
      </c>
      <c r="J188" s="39">
        <f t="shared" si="151"/>
        <v>0</v>
      </c>
      <c r="K188" s="39">
        <f t="shared" si="151"/>
        <v>0</v>
      </c>
      <c r="L188" s="39">
        <f t="shared" si="151"/>
        <v>0</v>
      </c>
      <c r="M188" s="39">
        <f t="shared" si="151"/>
        <v>0</v>
      </c>
      <c r="N188" s="39">
        <f t="shared" si="151"/>
        <v>0</v>
      </c>
      <c r="O188" s="136">
        <f t="shared" si="116"/>
        <v>0</v>
      </c>
      <c r="P188" s="105">
        <v>0</v>
      </c>
      <c r="Q188" s="104">
        <f t="shared" si="114"/>
        <v>0</v>
      </c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</row>
    <row r="189" spans="1:74" s="106" customFormat="1" ht="28.5" x14ac:dyDescent="0.2">
      <c r="A189" s="72" t="s">
        <v>603</v>
      </c>
      <c r="B189" s="73" t="s">
        <v>604</v>
      </c>
      <c r="C189" s="39">
        <f t="shared" ref="C189:N189" si="152">+C185*1.7982%</f>
        <v>0</v>
      </c>
      <c r="D189" s="39">
        <f t="shared" si="152"/>
        <v>0</v>
      </c>
      <c r="E189" s="39">
        <f t="shared" si="152"/>
        <v>0</v>
      </c>
      <c r="F189" s="39">
        <f t="shared" si="152"/>
        <v>0</v>
      </c>
      <c r="G189" s="39">
        <f t="shared" si="152"/>
        <v>0</v>
      </c>
      <c r="H189" s="39">
        <f t="shared" si="152"/>
        <v>0</v>
      </c>
      <c r="I189" s="39">
        <f t="shared" si="152"/>
        <v>0</v>
      </c>
      <c r="J189" s="39">
        <f t="shared" si="152"/>
        <v>0</v>
      </c>
      <c r="K189" s="39">
        <f t="shared" si="152"/>
        <v>0</v>
      </c>
      <c r="L189" s="39">
        <f t="shared" si="152"/>
        <v>0</v>
      </c>
      <c r="M189" s="39">
        <f t="shared" si="152"/>
        <v>0</v>
      </c>
      <c r="N189" s="39">
        <f t="shared" si="152"/>
        <v>0</v>
      </c>
      <c r="O189" s="136">
        <f t="shared" si="116"/>
        <v>0</v>
      </c>
      <c r="P189" s="105">
        <v>0</v>
      </c>
      <c r="Q189" s="104">
        <f t="shared" si="114"/>
        <v>0</v>
      </c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5"/>
      <c r="BN189" s="105"/>
      <c r="BO189" s="105"/>
      <c r="BP189" s="105"/>
      <c r="BQ189" s="105"/>
      <c r="BR189" s="105"/>
      <c r="BS189" s="105"/>
      <c r="BT189" s="105"/>
      <c r="BU189" s="105"/>
      <c r="BV189" s="105"/>
    </row>
    <row r="190" spans="1:74" s="106" customFormat="1" ht="42.75" x14ac:dyDescent="0.2">
      <c r="A190" s="72" t="s">
        <v>605</v>
      </c>
      <c r="B190" s="144" t="s">
        <v>606</v>
      </c>
      <c r="C190" s="39">
        <f t="shared" ref="C190:N190" si="153">+C185*0.881118%</f>
        <v>0</v>
      </c>
      <c r="D190" s="39">
        <f t="shared" si="153"/>
        <v>0</v>
      </c>
      <c r="E190" s="39">
        <f t="shared" si="153"/>
        <v>0</v>
      </c>
      <c r="F190" s="39">
        <f t="shared" si="153"/>
        <v>0</v>
      </c>
      <c r="G190" s="39">
        <f t="shared" si="153"/>
        <v>0</v>
      </c>
      <c r="H190" s="39">
        <f t="shared" si="153"/>
        <v>0</v>
      </c>
      <c r="I190" s="39">
        <f t="shared" si="153"/>
        <v>0</v>
      </c>
      <c r="J190" s="39">
        <f t="shared" si="153"/>
        <v>0</v>
      </c>
      <c r="K190" s="39">
        <f t="shared" si="153"/>
        <v>0</v>
      </c>
      <c r="L190" s="39">
        <f t="shared" si="153"/>
        <v>0</v>
      </c>
      <c r="M190" s="39">
        <f t="shared" si="153"/>
        <v>0</v>
      </c>
      <c r="N190" s="39">
        <f t="shared" si="153"/>
        <v>0</v>
      </c>
      <c r="O190" s="136">
        <f t="shared" si="116"/>
        <v>0</v>
      </c>
      <c r="P190" s="105">
        <v>0</v>
      </c>
      <c r="Q190" s="104">
        <f t="shared" si="114"/>
        <v>0</v>
      </c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5"/>
      <c r="BN190" s="105"/>
      <c r="BO190" s="105"/>
      <c r="BP190" s="105"/>
      <c r="BQ190" s="105"/>
      <c r="BR190" s="105"/>
      <c r="BS190" s="105"/>
      <c r="BT190" s="105"/>
      <c r="BU190" s="105"/>
      <c r="BV190" s="105"/>
    </row>
    <row r="191" spans="1:74" s="106" customFormat="1" ht="19.5" x14ac:dyDescent="0.2">
      <c r="A191" s="77" t="s">
        <v>607</v>
      </c>
      <c r="B191" s="75" t="s">
        <v>608</v>
      </c>
      <c r="C191" s="188">
        <f t="shared" ref="C191:N191" si="154">+C192+C200+C206+C216</f>
        <v>0</v>
      </c>
      <c r="D191" s="188">
        <f t="shared" si="154"/>
        <v>0</v>
      </c>
      <c r="E191" s="188">
        <f t="shared" si="154"/>
        <v>0</v>
      </c>
      <c r="F191" s="188">
        <f t="shared" si="154"/>
        <v>0</v>
      </c>
      <c r="G191" s="188">
        <f t="shared" si="154"/>
        <v>0</v>
      </c>
      <c r="H191" s="188">
        <f t="shared" si="154"/>
        <v>0</v>
      </c>
      <c r="I191" s="188">
        <f t="shared" si="154"/>
        <v>0</v>
      </c>
      <c r="J191" s="188">
        <f t="shared" si="154"/>
        <v>9457060819</v>
      </c>
      <c r="K191" s="188">
        <f t="shared" si="154"/>
        <v>0</v>
      </c>
      <c r="L191" s="188">
        <f t="shared" si="154"/>
        <v>0</v>
      </c>
      <c r="M191" s="188">
        <f t="shared" si="154"/>
        <v>1506892011.03</v>
      </c>
      <c r="N191" s="188">
        <f t="shared" si="154"/>
        <v>0</v>
      </c>
      <c r="O191" s="136">
        <f t="shared" si="116"/>
        <v>10963952830.030001</v>
      </c>
      <c r="P191" s="105">
        <v>0</v>
      </c>
      <c r="Q191" s="104">
        <f t="shared" si="114"/>
        <v>-10963952830.030001</v>
      </c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5"/>
      <c r="BN191" s="105"/>
      <c r="BO191" s="105"/>
      <c r="BP191" s="105"/>
      <c r="BQ191" s="105"/>
      <c r="BR191" s="105"/>
      <c r="BS191" s="105"/>
      <c r="BT191" s="105"/>
      <c r="BU191" s="105"/>
      <c r="BV191" s="105"/>
    </row>
    <row r="192" spans="1:74" s="106" customFormat="1" ht="31.5" x14ac:dyDescent="0.2">
      <c r="A192" s="77" t="s">
        <v>609</v>
      </c>
      <c r="B192" s="75" t="s">
        <v>610</v>
      </c>
      <c r="C192" s="188">
        <f>+C193+C197+C198+C199</f>
        <v>0</v>
      </c>
      <c r="D192" s="188">
        <f t="shared" ref="D192:N192" si="155">+D193+D197+D198+D199</f>
        <v>0</v>
      </c>
      <c r="E192" s="188">
        <f t="shared" si="155"/>
        <v>0</v>
      </c>
      <c r="F192" s="188">
        <f t="shared" si="155"/>
        <v>0</v>
      </c>
      <c r="G192" s="188">
        <f t="shared" si="155"/>
        <v>0</v>
      </c>
      <c r="H192" s="188">
        <f t="shared" si="155"/>
        <v>0</v>
      </c>
      <c r="I192" s="188">
        <f t="shared" si="155"/>
        <v>0</v>
      </c>
      <c r="J192" s="188">
        <f t="shared" si="155"/>
        <v>4024675156</v>
      </c>
      <c r="K192" s="188">
        <f t="shared" si="155"/>
        <v>0</v>
      </c>
      <c r="L192" s="188">
        <f t="shared" si="155"/>
        <v>0</v>
      </c>
      <c r="M192" s="188">
        <f t="shared" si="155"/>
        <v>0</v>
      </c>
      <c r="N192" s="188">
        <f t="shared" si="155"/>
        <v>0</v>
      </c>
      <c r="O192" s="136">
        <f t="shared" si="116"/>
        <v>4024675156</v>
      </c>
      <c r="P192" s="105">
        <v>0</v>
      </c>
      <c r="Q192" s="104">
        <f t="shared" si="114"/>
        <v>-4024675156</v>
      </c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  <c r="BJ192" s="105"/>
      <c r="BK192" s="105"/>
      <c r="BL192" s="105"/>
      <c r="BM192" s="105"/>
      <c r="BN192" s="105"/>
      <c r="BO192" s="105"/>
      <c r="BP192" s="105"/>
      <c r="BQ192" s="105"/>
      <c r="BR192" s="105"/>
      <c r="BS192" s="105"/>
      <c r="BT192" s="105"/>
      <c r="BU192" s="105"/>
      <c r="BV192" s="105"/>
    </row>
    <row r="193" spans="1:74" s="106" customFormat="1" ht="19.5" x14ac:dyDescent="0.2">
      <c r="A193" s="77" t="s">
        <v>611</v>
      </c>
      <c r="B193" s="75" t="s">
        <v>612</v>
      </c>
      <c r="C193" s="188">
        <f>SUM(C194:C196)</f>
        <v>0</v>
      </c>
      <c r="D193" s="188">
        <f t="shared" ref="D193:N193" si="156">SUM(D194:D196)</f>
        <v>0</v>
      </c>
      <c r="E193" s="188">
        <f t="shared" si="156"/>
        <v>0</v>
      </c>
      <c r="F193" s="188">
        <f t="shared" si="156"/>
        <v>0</v>
      </c>
      <c r="G193" s="188">
        <f t="shared" si="156"/>
        <v>0</v>
      </c>
      <c r="H193" s="188">
        <f t="shared" si="156"/>
        <v>0</v>
      </c>
      <c r="I193" s="188">
        <f t="shared" si="156"/>
        <v>0</v>
      </c>
      <c r="J193" s="188">
        <f t="shared" si="156"/>
        <v>0</v>
      </c>
      <c r="K193" s="188">
        <f t="shared" si="156"/>
        <v>0</v>
      </c>
      <c r="L193" s="188">
        <f t="shared" si="156"/>
        <v>0</v>
      </c>
      <c r="M193" s="188">
        <f t="shared" si="156"/>
        <v>0</v>
      </c>
      <c r="N193" s="188">
        <f t="shared" si="156"/>
        <v>0</v>
      </c>
      <c r="O193" s="136">
        <f t="shared" si="116"/>
        <v>0</v>
      </c>
      <c r="P193" s="105">
        <v>0</v>
      </c>
      <c r="Q193" s="104">
        <f t="shared" si="114"/>
        <v>0</v>
      </c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  <c r="BO193" s="105"/>
      <c r="BP193" s="105"/>
      <c r="BQ193" s="105"/>
      <c r="BR193" s="105"/>
      <c r="BS193" s="105"/>
      <c r="BT193" s="105"/>
      <c r="BU193" s="105"/>
      <c r="BV193" s="105"/>
    </row>
    <row r="194" spans="1:74" s="106" customFormat="1" ht="28.5" x14ac:dyDescent="0.2">
      <c r="A194" s="72" t="s">
        <v>613</v>
      </c>
      <c r="B194" s="73" t="s">
        <v>614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136">
        <f t="shared" si="116"/>
        <v>0</v>
      </c>
      <c r="P194" s="105">
        <v>0</v>
      </c>
      <c r="Q194" s="104">
        <f t="shared" si="114"/>
        <v>0</v>
      </c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  <c r="BK194" s="105"/>
      <c r="BL194" s="105"/>
      <c r="BM194" s="105"/>
      <c r="BN194" s="105"/>
      <c r="BO194" s="105"/>
      <c r="BP194" s="105"/>
      <c r="BQ194" s="105"/>
      <c r="BR194" s="105"/>
      <c r="BS194" s="105"/>
      <c r="BT194" s="105"/>
      <c r="BU194" s="105"/>
      <c r="BV194" s="105"/>
    </row>
    <row r="195" spans="1:74" s="106" customFormat="1" ht="42.75" x14ac:dyDescent="0.2">
      <c r="A195" s="72" t="s">
        <v>615</v>
      </c>
      <c r="B195" s="73" t="s">
        <v>616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136">
        <f t="shared" si="116"/>
        <v>0</v>
      </c>
      <c r="P195" s="105">
        <v>0</v>
      </c>
      <c r="Q195" s="104">
        <f t="shared" si="114"/>
        <v>0</v>
      </c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05"/>
      <c r="BT195" s="105"/>
      <c r="BU195" s="105"/>
      <c r="BV195" s="105"/>
    </row>
    <row r="196" spans="1:74" s="106" customFormat="1" ht="28.5" x14ac:dyDescent="0.2">
      <c r="A196" s="72" t="s">
        <v>617</v>
      </c>
      <c r="B196" s="73" t="s">
        <v>618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136">
        <f t="shared" si="116"/>
        <v>0</v>
      </c>
      <c r="P196" s="105">
        <v>0</v>
      </c>
      <c r="Q196" s="104">
        <f t="shared" si="114"/>
        <v>0</v>
      </c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  <c r="BO196" s="105"/>
      <c r="BP196" s="105"/>
      <c r="BQ196" s="105"/>
      <c r="BR196" s="105"/>
      <c r="BS196" s="105"/>
      <c r="BT196" s="105"/>
      <c r="BU196" s="105"/>
      <c r="BV196" s="105"/>
    </row>
    <row r="197" spans="1:74" s="106" customFormat="1" ht="14.25" x14ac:dyDescent="0.2">
      <c r="A197" s="72" t="s">
        <v>619</v>
      </c>
      <c r="B197" s="144" t="s">
        <v>620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136">
        <f t="shared" si="116"/>
        <v>0</v>
      </c>
      <c r="P197" s="105">
        <v>0</v>
      </c>
      <c r="Q197" s="104">
        <f t="shared" si="114"/>
        <v>0</v>
      </c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  <c r="AE197" s="105"/>
      <c r="AF197" s="105"/>
      <c r="AG197" s="105"/>
      <c r="AH197" s="105"/>
      <c r="AI197" s="105"/>
      <c r="AJ197" s="105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  <c r="BI197" s="105"/>
      <c r="BJ197" s="105"/>
      <c r="BK197" s="105"/>
      <c r="BL197" s="105"/>
      <c r="BM197" s="105"/>
      <c r="BN197" s="105"/>
      <c r="BO197" s="105"/>
      <c r="BP197" s="105"/>
      <c r="BQ197" s="105"/>
      <c r="BR197" s="105"/>
      <c r="BS197" s="105"/>
      <c r="BT197" s="105"/>
      <c r="BU197" s="105"/>
      <c r="BV197" s="105"/>
    </row>
    <row r="198" spans="1:74" s="106" customFormat="1" ht="14.25" x14ac:dyDescent="0.2">
      <c r="A198" s="72" t="s">
        <v>619</v>
      </c>
      <c r="B198" s="144" t="s">
        <v>620</v>
      </c>
      <c r="C198" s="39"/>
      <c r="D198" s="39"/>
      <c r="E198" s="39"/>
      <c r="F198" s="39"/>
      <c r="G198" s="39"/>
      <c r="H198" s="39"/>
      <c r="I198" s="39"/>
      <c r="J198" s="39">
        <v>2858120107</v>
      </c>
      <c r="K198" s="39"/>
      <c r="L198" s="39"/>
      <c r="M198" s="39"/>
      <c r="N198" s="39"/>
      <c r="O198" s="136">
        <f t="shared" si="116"/>
        <v>2858120107</v>
      </c>
      <c r="P198" s="105"/>
      <c r="Q198" s="104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  <c r="AE198" s="105"/>
      <c r="AF198" s="105"/>
      <c r="AG198" s="105"/>
      <c r="AH198" s="105"/>
      <c r="AI198" s="105"/>
      <c r="AJ198" s="105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  <c r="BJ198" s="105"/>
      <c r="BK198" s="105"/>
      <c r="BL198" s="105"/>
      <c r="BM198" s="105"/>
      <c r="BN198" s="105"/>
      <c r="BO198" s="105"/>
      <c r="BP198" s="105"/>
      <c r="BQ198" s="105"/>
      <c r="BR198" s="105"/>
      <c r="BS198" s="105"/>
      <c r="BT198" s="105"/>
      <c r="BU198" s="105"/>
      <c r="BV198" s="105"/>
    </row>
    <row r="199" spans="1:74" s="106" customFormat="1" ht="42.75" x14ac:dyDescent="0.2">
      <c r="A199" s="72" t="s">
        <v>1848</v>
      </c>
      <c r="B199" s="144" t="s">
        <v>1849</v>
      </c>
      <c r="C199" s="39"/>
      <c r="D199" s="39"/>
      <c r="E199" s="39"/>
      <c r="F199" s="39"/>
      <c r="G199" s="39"/>
      <c r="H199" s="39"/>
      <c r="I199" s="39"/>
      <c r="J199" s="39">
        <v>1166555049</v>
      </c>
      <c r="K199" s="39"/>
      <c r="L199" s="39"/>
      <c r="M199" s="39"/>
      <c r="N199" s="39"/>
      <c r="O199" s="136">
        <f t="shared" si="116"/>
        <v>1166555049</v>
      </c>
      <c r="P199" s="105"/>
      <c r="Q199" s="104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  <c r="BK199" s="105"/>
      <c r="BL199" s="105"/>
      <c r="BM199" s="105"/>
      <c r="BN199" s="105"/>
      <c r="BO199" s="105"/>
      <c r="BP199" s="105"/>
      <c r="BQ199" s="105"/>
      <c r="BR199" s="105"/>
      <c r="BS199" s="105"/>
      <c r="BT199" s="105"/>
      <c r="BU199" s="105"/>
      <c r="BV199" s="105"/>
    </row>
    <row r="200" spans="1:74" s="106" customFormat="1" ht="31.5" x14ac:dyDescent="0.2">
      <c r="A200" s="77" t="s">
        <v>621</v>
      </c>
      <c r="B200" s="75" t="s">
        <v>622</v>
      </c>
      <c r="C200" s="188">
        <f t="shared" ref="C200:N201" si="157">+C201</f>
        <v>0</v>
      </c>
      <c r="D200" s="188">
        <f t="shared" si="157"/>
        <v>0</v>
      </c>
      <c r="E200" s="188">
        <f t="shared" si="157"/>
        <v>0</v>
      </c>
      <c r="F200" s="188">
        <f t="shared" si="157"/>
        <v>0</v>
      </c>
      <c r="G200" s="188">
        <f t="shared" si="157"/>
        <v>0</v>
      </c>
      <c r="H200" s="188">
        <f t="shared" si="157"/>
        <v>0</v>
      </c>
      <c r="I200" s="188">
        <f t="shared" si="157"/>
        <v>0</v>
      </c>
      <c r="J200" s="188">
        <f t="shared" si="157"/>
        <v>0</v>
      </c>
      <c r="K200" s="188">
        <f t="shared" si="157"/>
        <v>0</v>
      </c>
      <c r="L200" s="188">
        <f t="shared" si="157"/>
        <v>0</v>
      </c>
      <c r="M200" s="188">
        <f t="shared" si="157"/>
        <v>0</v>
      </c>
      <c r="N200" s="188">
        <f t="shared" si="157"/>
        <v>0</v>
      </c>
      <c r="O200" s="136">
        <f t="shared" si="116"/>
        <v>0</v>
      </c>
      <c r="P200" s="105">
        <v>0</v>
      </c>
      <c r="Q200" s="104">
        <f t="shared" si="114"/>
        <v>0</v>
      </c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  <c r="BK200" s="105"/>
      <c r="BL200" s="105"/>
      <c r="BM200" s="105"/>
      <c r="BN200" s="105"/>
      <c r="BO200" s="105"/>
      <c r="BP200" s="105"/>
      <c r="BQ200" s="105"/>
      <c r="BR200" s="105"/>
      <c r="BS200" s="105"/>
      <c r="BT200" s="105"/>
      <c r="BU200" s="105"/>
      <c r="BV200" s="105"/>
    </row>
    <row r="201" spans="1:74" s="106" customFormat="1" ht="19.5" x14ac:dyDescent="0.2">
      <c r="A201" s="77" t="s">
        <v>623</v>
      </c>
      <c r="B201" s="75" t="s">
        <v>624</v>
      </c>
      <c r="C201" s="188">
        <f t="shared" si="157"/>
        <v>0</v>
      </c>
      <c r="D201" s="188">
        <f t="shared" si="157"/>
        <v>0</v>
      </c>
      <c r="E201" s="188">
        <f t="shared" si="157"/>
        <v>0</v>
      </c>
      <c r="F201" s="188">
        <f t="shared" si="157"/>
        <v>0</v>
      </c>
      <c r="G201" s="188">
        <f t="shared" si="157"/>
        <v>0</v>
      </c>
      <c r="H201" s="188">
        <f t="shared" si="157"/>
        <v>0</v>
      </c>
      <c r="I201" s="188">
        <f t="shared" si="157"/>
        <v>0</v>
      </c>
      <c r="J201" s="188">
        <f t="shared" si="157"/>
        <v>0</v>
      </c>
      <c r="K201" s="188">
        <f t="shared" si="157"/>
        <v>0</v>
      </c>
      <c r="L201" s="188">
        <f t="shared" si="157"/>
        <v>0</v>
      </c>
      <c r="M201" s="188">
        <f t="shared" si="157"/>
        <v>0</v>
      </c>
      <c r="N201" s="188">
        <f t="shared" si="157"/>
        <v>0</v>
      </c>
      <c r="O201" s="136">
        <f t="shared" si="116"/>
        <v>0</v>
      </c>
      <c r="P201" s="105">
        <v>0</v>
      </c>
      <c r="Q201" s="104">
        <f t="shared" si="114"/>
        <v>0</v>
      </c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  <c r="BK201" s="105"/>
      <c r="BL201" s="105"/>
      <c r="BM201" s="105"/>
      <c r="BN201" s="105"/>
      <c r="BO201" s="105"/>
      <c r="BP201" s="105"/>
      <c r="BQ201" s="105"/>
      <c r="BR201" s="105"/>
      <c r="BS201" s="105"/>
      <c r="BT201" s="105"/>
      <c r="BU201" s="105"/>
      <c r="BV201" s="105"/>
    </row>
    <row r="202" spans="1:74" s="106" customFormat="1" ht="31.5" x14ac:dyDescent="0.2">
      <c r="A202" s="77" t="s">
        <v>625</v>
      </c>
      <c r="B202" s="75" t="s">
        <v>626</v>
      </c>
      <c r="C202" s="188">
        <f t="shared" ref="C202:N202" si="158">SUM(C203:C205)</f>
        <v>0</v>
      </c>
      <c r="D202" s="188">
        <f t="shared" si="158"/>
        <v>0</v>
      </c>
      <c r="E202" s="188">
        <f t="shared" si="158"/>
        <v>0</v>
      </c>
      <c r="F202" s="188">
        <f t="shared" si="158"/>
        <v>0</v>
      </c>
      <c r="G202" s="188">
        <f t="shared" si="158"/>
        <v>0</v>
      </c>
      <c r="H202" s="188">
        <f t="shared" si="158"/>
        <v>0</v>
      </c>
      <c r="I202" s="188">
        <f t="shared" si="158"/>
        <v>0</v>
      </c>
      <c r="J202" s="188">
        <f t="shared" si="158"/>
        <v>0</v>
      </c>
      <c r="K202" s="188">
        <f t="shared" si="158"/>
        <v>0</v>
      </c>
      <c r="L202" s="188">
        <f t="shared" si="158"/>
        <v>0</v>
      </c>
      <c r="M202" s="188">
        <f t="shared" si="158"/>
        <v>0</v>
      </c>
      <c r="N202" s="188">
        <f t="shared" si="158"/>
        <v>0</v>
      </c>
      <c r="O202" s="136">
        <f t="shared" si="116"/>
        <v>0</v>
      </c>
      <c r="P202" s="105">
        <v>0</v>
      </c>
      <c r="Q202" s="104">
        <f t="shared" si="114"/>
        <v>0</v>
      </c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5"/>
      <c r="BM202" s="105"/>
      <c r="BN202" s="105"/>
      <c r="BO202" s="105"/>
      <c r="BP202" s="105"/>
      <c r="BQ202" s="105"/>
      <c r="BR202" s="105"/>
      <c r="BS202" s="105"/>
      <c r="BT202" s="105"/>
      <c r="BU202" s="105"/>
      <c r="BV202" s="105"/>
    </row>
    <row r="203" spans="1:74" s="83" customFormat="1" ht="14.25" x14ac:dyDescent="0.2">
      <c r="A203" s="72" t="s">
        <v>627</v>
      </c>
      <c r="B203" s="73" t="s">
        <v>628</v>
      </c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36">
        <f t="shared" si="116"/>
        <v>0</v>
      </c>
      <c r="P203" s="82">
        <v>0</v>
      </c>
      <c r="Q203" s="104">
        <f t="shared" si="114"/>
        <v>0</v>
      </c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</row>
    <row r="204" spans="1:74" s="83" customFormat="1" ht="28.5" x14ac:dyDescent="0.2">
      <c r="A204" s="72" t="s">
        <v>629</v>
      </c>
      <c r="B204" s="73" t="s">
        <v>630</v>
      </c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36">
        <f t="shared" si="116"/>
        <v>0</v>
      </c>
      <c r="P204" s="82">
        <v>0</v>
      </c>
      <c r="Q204" s="104">
        <f t="shared" si="114"/>
        <v>0</v>
      </c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</row>
    <row r="205" spans="1:74" s="83" customFormat="1" ht="14.25" x14ac:dyDescent="0.2">
      <c r="A205" s="72" t="s">
        <v>631</v>
      </c>
      <c r="B205" s="73" t="s">
        <v>632</v>
      </c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36">
        <f t="shared" si="116"/>
        <v>0</v>
      </c>
      <c r="P205" s="82">
        <v>0</v>
      </c>
      <c r="Q205" s="104">
        <f t="shared" si="114"/>
        <v>0</v>
      </c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</row>
    <row r="206" spans="1:74" s="83" customFormat="1" ht="31.5" x14ac:dyDescent="0.2">
      <c r="A206" s="77" t="s">
        <v>633</v>
      </c>
      <c r="B206" s="75" t="s">
        <v>634</v>
      </c>
      <c r="C206" s="188">
        <f>+C208+C207</f>
        <v>0</v>
      </c>
      <c r="D206" s="188">
        <f t="shared" ref="D206:N206" si="159">+D208+D207</f>
        <v>0</v>
      </c>
      <c r="E206" s="188">
        <f t="shared" si="159"/>
        <v>0</v>
      </c>
      <c r="F206" s="188">
        <f t="shared" si="159"/>
        <v>0</v>
      </c>
      <c r="G206" s="188">
        <f t="shared" si="159"/>
        <v>0</v>
      </c>
      <c r="H206" s="188">
        <f t="shared" si="159"/>
        <v>0</v>
      </c>
      <c r="I206" s="188">
        <f t="shared" si="159"/>
        <v>0</v>
      </c>
      <c r="J206" s="188">
        <f>+J208+J207</f>
        <v>5432385663</v>
      </c>
      <c r="K206" s="188">
        <f t="shared" si="159"/>
        <v>0</v>
      </c>
      <c r="L206" s="188">
        <f t="shared" si="159"/>
        <v>0</v>
      </c>
      <c r="M206" s="188">
        <f t="shared" si="159"/>
        <v>0</v>
      </c>
      <c r="N206" s="188">
        <f t="shared" si="159"/>
        <v>0</v>
      </c>
      <c r="O206" s="136">
        <f t="shared" si="116"/>
        <v>5432385663</v>
      </c>
      <c r="P206" s="82">
        <v>0</v>
      </c>
      <c r="Q206" s="104">
        <f t="shared" ref="Q206:Q272" si="160">+P206-O206</f>
        <v>-5432385663</v>
      </c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</row>
    <row r="207" spans="1:74" s="83" customFormat="1" ht="45" x14ac:dyDescent="0.2">
      <c r="A207" s="77" t="s">
        <v>1850</v>
      </c>
      <c r="B207" s="79" t="s">
        <v>1851</v>
      </c>
      <c r="C207" s="188"/>
      <c r="D207" s="188"/>
      <c r="E207" s="188"/>
      <c r="F207" s="188"/>
      <c r="G207" s="188"/>
      <c r="H207" s="188"/>
      <c r="I207" s="188"/>
      <c r="J207" s="204">
        <v>5432385663</v>
      </c>
      <c r="K207" s="188"/>
      <c r="L207" s="188"/>
      <c r="M207" s="188"/>
      <c r="N207" s="188"/>
      <c r="O207" s="136">
        <f t="shared" si="116"/>
        <v>5432385663</v>
      </c>
      <c r="P207" s="82"/>
      <c r="Q207" s="104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</row>
    <row r="208" spans="1:74" s="83" customFormat="1" ht="19.5" x14ac:dyDescent="0.2">
      <c r="A208" s="77" t="s">
        <v>635</v>
      </c>
      <c r="B208" s="75" t="s">
        <v>636</v>
      </c>
      <c r="C208" s="188">
        <f t="shared" ref="C208:N208" si="161">SUM(C209:C212)</f>
        <v>0</v>
      </c>
      <c r="D208" s="188">
        <f>SUM(D209:D212)</f>
        <v>0</v>
      </c>
      <c r="E208" s="188">
        <f t="shared" si="161"/>
        <v>0</v>
      </c>
      <c r="F208" s="188">
        <f t="shared" si="161"/>
        <v>0</v>
      </c>
      <c r="G208" s="188">
        <f t="shared" si="161"/>
        <v>0</v>
      </c>
      <c r="H208" s="188">
        <f t="shared" si="161"/>
        <v>0</v>
      </c>
      <c r="I208" s="188">
        <f t="shared" si="161"/>
        <v>0</v>
      </c>
      <c r="J208" s="188">
        <f t="shared" si="161"/>
        <v>0</v>
      </c>
      <c r="K208" s="188">
        <f t="shared" si="161"/>
        <v>0</v>
      </c>
      <c r="L208" s="188">
        <f t="shared" si="161"/>
        <v>0</v>
      </c>
      <c r="M208" s="188">
        <f t="shared" si="161"/>
        <v>0</v>
      </c>
      <c r="N208" s="188">
        <f t="shared" si="161"/>
        <v>0</v>
      </c>
      <c r="O208" s="136">
        <f t="shared" si="116"/>
        <v>0</v>
      </c>
      <c r="P208" s="82">
        <v>0</v>
      </c>
      <c r="Q208" s="104">
        <f t="shared" si="160"/>
        <v>0</v>
      </c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</row>
    <row r="209" spans="1:74" s="83" customFormat="1" ht="14.25" x14ac:dyDescent="0.2">
      <c r="A209" s="72" t="s">
        <v>637</v>
      </c>
      <c r="B209" s="73" t="s">
        <v>638</v>
      </c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136">
        <f t="shared" si="116"/>
        <v>0</v>
      </c>
      <c r="P209" s="82">
        <v>0</v>
      </c>
      <c r="Q209" s="104">
        <f t="shared" si="160"/>
        <v>0</v>
      </c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</row>
    <row r="210" spans="1:74" s="106" customFormat="1" ht="28.5" x14ac:dyDescent="0.2">
      <c r="A210" s="72" t="s">
        <v>639</v>
      </c>
      <c r="B210" s="73" t="s">
        <v>640</v>
      </c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136">
        <f t="shared" si="116"/>
        <v>0</v>
      </c>
      <c r="P210" s="105">
        <v>0</v>
      </c>
      <c r="Q210" s="104">
        <f t="shared" si="160"/>
        <v>0</v>
      </c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  <c r="BJ210" s="105"/>
      <c r="BK210" s="105"/>
      <c r="BL210" s="105"/>
      <c r="BM210" s="105"/>
      <c r="BN210" s="105"/>
      <c r="BO210" s="105"/>
      <c r="BP210" s="105"/>
      <c r="BQ210" s="105"/>
      <c r="BR210" s="105"/>
      <c r="BS210" s="105"/>
      <c r="BT210" s="105"/>
      <c r="BU210" s="105"/>
      <c r="BV210" s="105"/>
    </row>
    <row r="211" spans="1:74" s="106" customFormat="1" ht="28.5" x14ac:dyDescent="0.2">
      <c r="A211" s="72" t="s">
        <v>641</v>
      </c>
      <c r="B211" s="73" t="s">
        <v>642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136">
        <f t="shared" ref="O211:O288" si="162">SUM(C211:N211)</f>
        <v>0</v>
      </c>
      <c r="P211" s="105">
        <v>0</v>
      </c>
      <c r="Q211" s="104">
        <f t="shared" si="160"/>
        <v>0</v>
      </c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BM211" s="105"/>
      <c r="BN211" s="105"/>
      <c r="BO211" s="105"/>
      <c r="BP211" s="105"/>
      <c r="BQ211" s="105"/>
      <c r="BR211" s="105"/>
      <c r="BS211" s="105"/>
      <c r="BT211" s="105"/>
      <c r="BU211" s="105"/>
      <c r="BV211" s="105"/>
    </row>
    <row r="212" spans="1:74" s="106" customFormat="1" ht="19.5" x14ac:dyDescent="0.2">
      <c r="A212" s="77" t="s">
        <v>643</v>
      </c>
      <c r="B212" s="97" t="s">
        <v>644</v>
      </c>
      <c r="C212" s="188">
        <f t="shared" ref="C212:N212" si="163">SUM(C213:C215)</f>
        <v>0</v>
      </c>
      <c r="D212" s="188">
        <f t="shared" si="163"/>
        <v>0</v>
      </c>
      <c r="E212" s="188">
        <f t="shared" si="163"/>
        <v>0</v>
      </c>
      <c r="F212" s="188">
        <f t="shared" si="163"/>
        <v>0</v>
      </c>
      <c r="G212" s="188">
        <f t="shared" si="163"/>
        <v>0</v>
      </c>
      <c r="H212" s="188">
        <f t="shared" si="163"/>
        <v>0</v>
      </c>
      <c r="I212" s="188">
        <f t="shared" si="163"/>
        <v>0</v>
      </c>
      <c r="J212" s="188">
        <f t="shared" si="163"/>
        <v>0</v>
      </c>
      <c r="K212" s="188">
        <f t="shared" si="163"/>
        <v>0</v>
      </c>
      <c r="L212" s="188">
        <f t="shared" si="163"/>
        <v>0</v>
      </c>
      <c r="M212" s="188">
        <f t="shared" si="163"/>
        <v>0</v>
      </c>
      <c r="N212" s="188">
        <f t="shared" si="163"/>
        <v>0</v>
      </c>
      <c r="O212" s="136">
        <f t="shared" si="162"/>
        <v>0</v>
      </c>
      <c r="P212" s="105">
        <v>0</v>
      </c>
      <c r="Q212" s="104">
        <f t="shared" si="160"/>
        <v>0</v>
      </c>
      <c r="R212" s="105"/>
      <c r="S212" s="105"/>
      <c r="T212" s="105"/>
      <c r="U212" s="105"/>
      <c r="V212" s="105"/>
      <c r="W212" s="105"/>
      <c r="X212" s="105"/>
      <c r="Y212" s="105"/>
      <c r="Z212" s="105"/>
      <c r="AA212" s="105"/>
      <c r="AB212" s="105"/>
      <c r="AC212" s="105"/>
      <c r="AD212" s="105"/>
      <c r="AE212" s="105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BJ212" s="105"/>
      <c r="BK212" s="105"/>
      <c r="BL212" s="105"/>
      <c r="BM212" s="105"/>
      <c r="BN212" s="105"/>
      <c r="BO212" s="105"/>
      <c r="BP212" s="105"/>
      <c r="BQ212" s="105"/>
      <c r="BR212" s="105"/>
      <c r="BS212" s="105"/>
      <c r="BT212" s="105"/>
      <c r="BU212" s="105"/>
      <c r="BV212" s="105"/>
    </row>
    <row r="213" spans="1:74" s="106" customFormat="1" ht="14.25" x14ac:dyDescent="0.2">
      <c r="A213" s="72" t="s">
        <v>645</v>
      </c>
      <c r="B213" s="73" t="s">
        <v>646</v>
      </c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36">
        <f t="shared" si="162"/>
        <v>0</v>
      </c>
      <c r="P213" s="105">
        <v>0</v>
      </c>
      <c r="Q213" s="104">
        <f t="shared" si="160"/>
        <v>0</v>
      </c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105"/>
      <c r="AJ213" s="105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  <c r="BI213" s="105"/>
      <c r="BJ213" s="105"/>
      <c r="BK213" s="105"/>
      <c r="BL213" s="105"/>
      <c r="BM213" s="105"/>
      <c r="BN213" s="105"/>
      <c r="BO213" s="105"/>
      <c r="BP213" s="105"/>
      <c r="BQ213" s="105"/>
      <c r="BR213" s="105"/>
      <c r="BS213" s="105"/>
      <c r="BT213" s="105"/>
      <c r="BU213" s="105"/>
      <c r="BV213" s="105"/>
    </row>
    <row r="214" spans="1:74" s="106" customFormat="1" ht="14.25" x14ac:dyDescent="0.2">
      <c r="A214" s="72" t="s">
        <v>647</v>
      </c>
      <c r="B214" s="73" t="s">
        <v>648</v>
      </c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36">
        <f t="shared" si="162"/>
        <v>0</v>
      </c>
      <c r="P214" s="105">
        <v>0</v>
      </c>
      <c r="Q214" s="104">
        <f t="shared" si="160"/>
        <v>0</v>
      </c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  <c r="BK214" s="105"/>
      <c r="BL214" s="105"/>
      <c r="BM214" s="105"/>
      <c r="BN214" s="105"/>
      <c r="BO214" s="105"/>
      <c r="BP214" s="105"/>
      <c r="BQ214" s="105"/>
      <c r="BR214" s="105"/>
      <c r="BS214" s="105"/>
      <c r="BT214" s="105"/>
      <c r="BU214" s="105"/>
      <c r="BV214" s="105"/>
    </row>
    <row r="215" spans="1:74" s="106" customFormat="1" ht="14.25" x14ac:dyDescent="0.2">
      <c r="A215" s="72" t="s">
        <v>649</v>
      </c>
      <c r="B215" s="73" t="s">
        <v>650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136">
        <f t="shared" si="162"/>
        <v>0</v>
      </c>
      <c r="P215" s="105">
        <v>0</v>
      </c>
      <c r="Q215" s="104">
        <f t="shared" si="160"/>
        <v>0</v>
      </c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</row>
    <row r="216" spans="1:74" s="106" customFormat="1" ht="33" customHeight="1" x14ac:dyDescent="0.2">
      <c r="A216" s="77" t="s">
        <v>651</v>
      </c>
      <c r="B216" s="75" t="s">
        <v>652</v>
      </c>
      <c r="C216" s="207">
        <f t="shared" ref="C216:N216" si="164">+C217</f>
        <v>0</v>
      </c>
      <c r="D216" s="207">
        <f t="shared" si="164"/>
        <v>0</v>
      </c>
      <c r="E216" s="207">
        <f t="shared" si="164"/>
        <v>0</v>
      </c>
      <c r="F216" s="207">
        <f t="shared" si="164"/>
        <v>0</v>
      </c>
      <c r="G216" s="207">
        <f t="shared" si="164"/>
        <v>0</v>
      </c>
      <c r="H216" s="207">
        <f t="shared" si="164"/>
        <v>0</v>
      </c>
      <c r="I216" s="207">
        <f t="shared" si="164"/>
        <v>0</v>
      </c>
      <c r="J216" s="207">
        <f t="shared" si="164"/>
        <v>0</v>
      </c>
      <c r="K216" s="207">
        <f t="shared" si="164"/>
        <v>0</v>
      </c>
      <c r="L216" s="207">
        <f t="shared" si="164"/>
        <v>0</v>
      </c>
      <c r="M216" s="207">
        <f t="shared" si="164"/>
        <v>1506892011.03</v>
      </c>
      <c r="N216" s="207">
        <f t="shared" si="164"/>
        <v>0</v>
      </c>
      <c r="O216" s="136">
        <f t="shared" si="162"/>
        <v>1506892011.03</v>
      </c>
      <c r="P216" s="105">
        <v>0</v>
      </c>
      <c r="Q216" s="104">
        <f t="shared" si="160"/>
        <v>-1506892011.03</v>
      </c>
      <c r="R216" s="105"/>
      <c r="S216" s="105"/>
      <c r="T216" s="105"/>
      <c r="U216" s="105"/>
      <c r="V216" s="105"/>
      <c r="W216" s="105"/>
      <c r="X216" s="105"/>
      <c r="Y216" s="105"/>
      <c r="Z216" s="105"/>
      <c r="AA216" s="105"/>
      <c r="AB216" s="105"/>
      <c r="AC216" s="105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  <c r="BK216" s="105"/>
      <c r="BL216" s="105"/>
      <c r="BM216" s="105"/>
      <c r="BN216" s="105"/>
      <c r="BO216" s="105"/>
      <c r="BP216" s="105"/>
      <c r="BQ216" s="105"/>
      <c r="BR216" s="105"/>
      <c r="BS216" s="105"/>
      <c r="BT216" s="105"/>
      <c r="BU216" s="105"/>
      <c r="BV216" s="105"/>
    </row>
    <row r="217" spans="1:74" s="83" customFormat="1" ht="18.75" x14ac:dyDescent="0.2">
      <c r="A217" s="77" t="s">
        <v>653</v>
      </c>
      <c r="B217" s="75" t="s">
        <v>654</v>
      </c>
      <c r="C217" s="190">
        <f>SUM(C218:C220)</f>
        <v>0</v>
      </c>
      <c r="D217" s="190">
        <f t="shared" ref="D217:N217" si="165">SUM(D218:D220)</f>
        <v>0</v>
      </c>
      <c r="E217" s="190">
        <f t="shared" si="165"/>
        <v>0</v>
      </c>
      <c r="F217" s="190">
        <f t="shared" si="165"/>
        <v>0</v>
      </c>
      <c r="G217" s="190">
        <f t="shared" si="165"/>
        <v>0</v>
      </c>
      <c r="H217" s="190">
        <f t="shared" si="165"/>
        <v>0</v>
      </c>
      <c r="I217" s="190">
        <f t="shared" si="165"/>
        <v>0</v>
      </c>
      <c r="J217" s="190">
        <f t="shared" si="165"/>
        <v>0</v>
      </c>
      <c r="K217" s="190">
        <f t="shared" si="165"/>
        <v>0</v>
      </c>
      <c r="L217" s="190">
        <f t="shared" si="165"/>
        <v>0</v>
      </c>
      <c r="M217" s="190">
        <f t="shared" si="165"/>
        <v>1506892011.03</v>
      </c>
      <c r="N217" s="190">
        <f t="shared" si="165"/>
        <v>0</v>
      </c>
      <c r="O217" s="136">
        <f t="shared" si="162"/>
        <v>1506892011.03</v>
      </c>
      <c r="P217" s="82">
        <v>0</v>
      </c>
      <c r="Q217" s="104">
        <f t="shared" si="160"/>
        <v>-1506892011.03</v>
      </c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</row>
    <row r="218" spans="1:74" s="83" customFormat="1" ht="14.25" x14ac:dyDescent="0.2">
      <c r="A218" s="72" t="s">
        <v>655</v>
      </c>
      <c r="B218" s="73" t="s">
        <v>656</v>
      </c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136">
        <f t="shared" si="162"/>
        <v>0</v>
      </c>
      <c r="P218" s="82">
        <v>0</v>
      </c>
      <c r="Q218" s="104">
        <f t="shared" si="160"/>
        <v>0</v>
      </c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</row>
    <row r="219" spans="1:74" s="83" customFormat="1" ht="14.25" x14ac:dyDescent="0.2">
      <c r="A219" s="72" t="s">
        <v>655</v>
      </c>
      <c r="B219" s="73" t="s">
        <v>656</v>
      </c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>
        <v>1506892011.03</v>
      </c>
      <c r="N219" s="39"/>
      <c r="O219" s="136">
        <f t="shared" si="162"/>
        <v>1506892011.03</v>
      </c>
      <c r="P219" s="82"/>
      <c r="Q219" s="104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</row>
    <row r="220" spans="1:74" s="83" customFormat="1" ht="28.5" x14ac:dyDescent="0.2">
      <c r="A220" s="72" t="s">
        <v>657</v>
      </c>
      <c r="B220" s="73" t="s">
        <v>658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36">
        <f t="shared" si="162"/>
        <v>0</v>
      </c>
      <c r="P220" s="82">
        <v>0</v>
      </c>
      <c r="Q220" s="104">
        <f t="shared" si="160"/>
        <v>0</v>
      </c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</row>
    <row r="221" spans="1:74" s="106" customFormat="1" ht="31.5" x14ac:dyDescent="0.2">
      <c r="A221" s="77" t="s">
        <v>659</v>
      </c>
      <c r="B221" s="75" t="s">
        <v>660</v>
      </c>
      <c r="C221" s="191">
        <f t="shared" ref="C221:N223" si="166">+C222</f>
        <v>0</v>
      </c>
      <c r="D221" s="191">
        <f t="shared" si="166"/>
        <v>0</v>
      </c>
      <c r="E221" s="191">
        <f t="shared" si="166"/>
        <v>0</v>
      </c>
      <c r="F221" s="191">
        <f t="shared" si="166"/>
        <v>0</v>
      </c>
      <c r="G221" s="191">
        <f t="shared" si="166"/>
        <v>0</v>
      </c>
      <c r="H221" s="191">
        <f t="shared" si="166"/>
        <v>0</v>
      </c>
      <c r="I221" s="191">
        <f t="shared" si="166"/>
        <v>0</v>
      </c>
      <c r="J221" s="191">
        <f t="shared" si="166"/>
        <v>0</v>
      </c>
      <c r="K221" s="191">
        <f t="shared" si="166"/>
        <v>0</v>
      </c>
      <c r="L221" s="191">
        <f t="shared" si="166"/>
        <v>0</v>
      </c>
      <c r="M221" s="191">
        <f t="shared" si="166"/>
        <v>0</v>
      </c>
      <c r="N221" s="191">
        <f t="shared" si="166"/>
        <v>0</v>
      </c>
      <c r="O221" s="136">
        <f t="shared" si="162"/>
        <v>0</v>
      </c>
      <c r="P221" s="105">
        <v>0</v>
      </c>
      <c r="Q221" s="104">
        <f t="shared" si="160"/>
        <v>0</v>
      </c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5"/>
      <c r="AP221" s="105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5"/>
      <c r="BN221" s="105"/>
      <c r="BO221" s="105"/>
      <c r="BP221" s="105"/>
      <c r="BQ221" s="105"/>
      <c r="BR221" s="105"/>
      <c r="BS221" s="105"/>
      <c r="BT221" s="105"/>
      <c r="BU221" s="105"/>
      <c r="BV221" s="105"/>
    </row>
    <row r="222" spans="1:74" s="83" customFormat="1" ht="63" x14ac:dyDescent="0.2">
      <c r="A222" s="77" t="s">
        <v>661</v>
      </c>
      <c r="B222" s="75" t="s">
        <v>662</v>
      </c>
      <c r="C222" s="188">
        <f t="shared" si="166"/>
        <v>0</v>
      </c>
      <c r="D222" s="188">
        <f t="shared" si="166"/>
        <v>0</v>
      </c>
      <c r="E222" s="188">
        <f t="shared" si="166"/>
        <v>0</v>
      </c>
      <c r="F222" s="188">
        <f t="shared" si="166"/>
        <v>0</v>
      </c>
      <c r="G222" s="188">
        <f t="shared" si="166"/>
        <v>0</v>
      </c>
      <c r="H222" s="188">
        <f t="shared" si="166"/>
        <v>0</v>
      </c>
      <c r="I222" s="188">
        <f t="shared" si="166"/>
        <v>0</v>
      </c>
      <c r="J222" s="188">
        <f t="shared" si="166"/>
        <v>0</v>
      </c>
      <c r="K222" s="188">
        <f t="shared" si="166"/>
        <v>0</v>
      </c>
      <c r="L222" s="188">
        <f t="shared" si="166"/>
        <v>0</v>
      </c>
      <c r="M222" s="188">
        <f t="shared" si="166"/>
        <v>0</v>
      </c>
      <c r="N222" s="188">
        <f t="shared" si="166"/>
        <v>0</v>
      </c>
      <c r="O222" s="136">
        <f t="shared" si="162"/>
        <v>0</v>
      </c>
      <c r="P222" s="82">
        <v>0</v>
      </c>
      <c r="Q222" s="104">
        <f t="shared" si="160"/>
        <v>0</v>
      </c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</row>
    <row r="223" spans="1:74" s="106" customFormat="1" ht="63" x14ac:dyDescent="0.2">
      <c r="A223" s="77" t="s">
        <v>663</v>
      </c>
      <c r="B223" s="75" t="s">
        <v>664</v>
      </c>
      <c r="C223" s="191">
        <f t="shared" si="166"/>
        <v>0</v>
      </c>
      <c r="D223" s="191">
        <f t="shared" si="166"/>
        <v>0</v>
      </c>
      <c r="E223" s="191">
        <f t="shared" si="166"/>
        <v>0</v>
      </c>
      <c r="F223" s="191">
        <f t="shared" si="166"/>
        <v>0</v>
      </c>
      <c r="G223" s="191">
        <f t="shared" si="166"/>
        <v>0</v>
      </c>
      <c r="H223" s="191">
        <f t="shared" si="166"/>
        <v>0</v>
      </c>
      <c r="I223" s="191">
        <f t="shared" si="166"/>
        <v>0</v>
      </c>
      <c r="J223" s="191">
        <f t="shared" si="166"/>
        <v>0</v>
      </c>
      <c r="K223" s="191">
        <f t="shared" si="166"/>
        <v>0</v>
      </c>
      <c r="L223" s="191">
        <f t="shared" si="166"/>
        <v>0</v>
      </c>
      <c r="M223" s="191">
        <f t="shared" si="166"/>
        <v>0</v>
      </c>
      <c r="N223" s="191">
        <f t="shared" si="166"/>
        <v>0</v>
      </c>
      <c r="O223" s="136">
        <f t="shared" si="162"/>
        <v>0</v>
      </c>
      <c r="P223" s="105">
        <v>0</v>
      </c>
      <c r="Q223" s="104">
        <f t="shared" si="160"/>
        <v>0</v>
      </c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5"/>
      <c r="BN223" s="105"/>
      <c r="BO223" s="105"/>
      <c r="BP223" s="105"/>
      <c r="BQ223" s="105"/>
      <c r="BR223" s="105"/>
      <c r="BS223" s="105"/>
      <c r="BT223" s="105"/>
      <c r="BU223" s="105"/>
      <c r="BV223" s="105"/>
    </row>
    <row r="224" spans="1:74" s="106" customFormat="1" ht="47.25" x14ac:dyDescent="0.2">
      <c r="A224" s="77" t="s">
        <v>665</v>
      </c>
      <c r="B224" s="75" t="s">
        <v>666</v>
      </c>
      <c r="C224" s="188">
        <f t="shared" ref="C224:N224" si="167">+C225+C236</f>
        <v>0</v>
      </c>
      <c r="D224" s="188">
        <f t="shared" si="167"/>
        <v>0</v>
      </c>
      <c r="E224" s="188">
        <f t="shared" si="167"/>
        <v>0</v>
      </c>
      <c r="F224" s="188">
        <f t="shared" si="167"/>
        <v>0</v>
      </c>
      <c r="G224" s="188">
        <f t="shared" si="167"/>
        <v>0</v>
      </c>
      <c r="H224" s="188">
        <f t="shared" si="167"/>
        <v>0</v>
      </c>
      <c r="I224" s="188">
        <f t="shared" si="167"/>
        <v>0</v>
      </c>
      <c r="J224" s="188">
        <f t="shared" si="167"/>
        <v>0</v>
      </c>
      <c r="K224" s="188">
        <f t="shared" si="167"/>
        <v>0</v>
      </c>
      <c r="L224" s="188">
        <f t="shared" si="167"/>
        <v>0</v>
      </c>
      <c r="M224" s="188">
        <f t="shared" si="167"/>
        <v>0</v>
      </c>
      <c r="N224" s="188">
        <f t="shared" si="167"/>
        <v>0</v>
      </c>
      <c r="O224" s="136">
        <f t="shared" si="162"/>
        <v>0</v>
      </c>
      <c r="P224" s="105">
        <v>0</v>
      </c>
      <c r="Q224" s="104">
        <f t="shared" si="160"/>
        <v>0</v>
      </c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5"/>
      <c r="BN224" s="105"/>
      <c r="BO224" s="105"/>
      <c r="BP224" s="105"/>
      <c r="BQ224" s="105"/>
      <c r="BR224" s="105"/>
      <c r="BS224" s="105"/>
      <c r="BT224" s="105"/>
      <c r="BU224" s="105"/>
      <c r="BV224" s="105"/>
    </row>
    <row r="225" spans="1:74" s="106" customFormat="1" ht="63" x14ac:dyDescent="0.2">
      <c r="A225" s="77" t="s">
        <v>667</v>
      </c>
      <c r="B225" s="75" t="s">
        <v>668</v>
      </c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136">
        <f t="shared" si="162"/>
        <v>0</v>
      </c>
      <c r="P225" s="105">
        <v>0</v>
      </c>
      <c r="Q225" s="104">
        <f t="shared" si="160"/>
        <v>0</v>
      </c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5"/>
      <c r="BN225" s="105"/>
      <c r="BO225" s="105"/>
      <c r="BP225" s="105"/>
      <c r="BQ225" s="105"/>
      <c r="BR225" s="105"/>
      <c r="BS225" s="105"/>
      <c r="BT225" s="105"/>
      <c r="BU225" s="105"/>
      <c r="BV225" s="105"/>
    </row>
    <row r="226" spans="1:74" s="106" customFormat="1" ht="42.75" x14ac:dyDescent="0.2">
      <c r="A226" s="72" t="s">
        <v>669</v>
      </c>
      <c r="B226" s="73" t="s">
        <v>279</v>
      </c>
      <c r="C226" s="39">
        <f t="shared" ref="C226:N226" si="168">+C225*0%</f>
        <v>0</v>
      </c>
      <c r="D226" s="39">
        <f t="shared" si="168"/>
        <v>0</v>
      </c>
      <c r="E226" s="39">
        <f t="shared" si="168"/>
        <v>0</v>
      </c>
      <c r="F226" s="39">
        <f t="shared" si="168"/>
        <v>0</v>
      </c>
      <c r="G226" s="39">
        <f t="shared" si="168"/>
        <v>0</v>
      </c>
      <c r="H226" s="39">
        <f t="shared" si="168"/>
        <v>0</v>
      </c>
      <c r="I226" s="39">
        <f t="shared" si="168"/>
        <v>0</v>
      </c>
      <c r="J226" s="39">
        <f t="shared" si="168"/>
        <v>0</v>
      </c>
      <c r="K226" s="39">
        <f t="shared" si="168"/>
        <v>0</v>
      </c>
      <c r="L226" s="39">
        <f t="shared" si="168"/>
        <v>0</v>
      </c>
      <c r="M226" s="39">
        <f t="shared" si="168"/>
        <v>0</v>
      </c>
      <c r="N226" s="39">
        <f t="shared" si="168"/>
        <v>0</v>
      </c>
      <c r="O226" s="136">
        <f t="shared" si="162"/>
        <v>0</v>
      </c>
      <c r="P226" s="105">
        <v>0</v>
      </c>
      <c r="Q226" s="104">
        <f t="shared" si="160"/>
        <v>0</v>
      </c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5"/>
      <c r="BN226" s="105"/>
      <c r="BO226" s="105"/>
      <c r="BP226" s="105"/>
      <c r="BQ226" s="105"/>
      <c r="BR226" s="105"/>
      <c r="BS226" s="105"/>
      <c r="BT226" s="105"/>
      <c r="BU226" s="105"/>
      <c r="BV226" s="105"/>
    </row>
    <row r="227" spans="1:74" s="106" customFormat="1" ht="42.75" x14ac:dyDescent="0.2">
      <c r="A227" s="72" t="s">
        <v>670</v>
      </c>
      <c r="B227" s="73" t="s">
        <v>280</v>
      </c>
      <c r="C227" s="39">
        <f t="shared" ref="C227:N227" si="169">+C225*0%</f>
        <v>0</v>
      </c>
      <c r="D227" s="39">
        <f t="shared" si="169"/>
        <v>0</v>
      </c>
      <c r="E227" s="39">
        <f t="shared" si="169"/>
        <v>0</v>
      </c>
      <c r="F227" s="39">
        <f t="shared" si="169"/>
        <v>0</v>
      </c>
      <c r="G227" s="39">
        <f t="shared" si="169"/>
        <v>0</v>
      </c>
      <c r="H227" s="39">
        <f t="shared" si="169"/>
        <v>0</v>
      </c>
      <c r="I227" s="39">
        <f t="shared" si="169"/>
        <v>0</v>
      </c>
      <c r="J227" s="39">
        <f t="shared" si="169"/>
        <v>0</v>
      </c>
      <c r="K227" s="39">
        <f t="shared" si="169"/>
        <v>0</v>
      </c>
      <c r="L227" s="39">
        <f t="shared" si="169"/>
        <v>0</v>
      </c>
      <c r="M227" s="39">
        <f t="shared" si="169"/>
        <v>0</v>
      </c>
      <c r="N227" s="39">
        <f t="shared" si="169"/>
        <v>0</v>
      </c>
      <c r="O227" s="136">
        <f t="shared" si="162"/>
        <v>0</v>
      </c>
      <c r="P227" s="105">
        <v>0</v>
      </c>
      <c r="Q227" s="104">
        <f t="shared" si="160"/>
        <v>0</v>
      </c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</row>
    <row r="228" spans="1:74" s="106" customFormat="1" ht="57" x14ac:dyDescent="0.2">
      <c r="A228" s="72" t="s">
        <v>671</v>
      </c>
      <c r="B228" s="73" t="s">
        <v>672</v>
      </c>
      <c r="C228" s="39">
        <f t="shared" ref="C228:N228" si="170">+C225*11.665%</f>
        <v>0</v>
      </c>
      <c r="D228" s="39">
        <f t="shared" si="170"/>
        <v>0</v>
      </c>
      <c r="E228" s="39">
        <f t="shared" si="170"/>
        <v>0</v>
      </c>
      <c r="F228" s="39">
        <f t="shared" si="170"/>
        <v>0</v>
      </c>
      <c r="G228" s="39">
        <f t="shared" si="170"/>
        <v>0</v>
      </c>
      <c r="H228" s="39">
        <f t="shared" si="170"/>
        <v>0</v>
      </c>
      <c r="I228" s="39">
        <f t="shared" si="170"/>
        <v>0</v>
      </c>
      <c r="J228" s="39">
        <f t="shared" si="170"/>
        <v>0</v>
      </c>
      <c r="K228" s="39">
        <f t="shared" si="170"/>
        <v>0</v>
      </c>
      <c r="L228" s="39">
        <f t="shared" si="170"/>
        <v>0</v>
      </c>
      <c r="M228" s="39">
        <f t="shared" si="170"/>
        <v>0</v>
      </c>
      <c r="N228" s="39">
        <f t="shared" si="170"/>
        <v>0</v>
      </c>
      <c r="O228" s="136">
        <f t="shared" si="162"/>
        <v>0</v>
      </c>
      <c r="P228" s="105">
        <v>0</v>
      </c>
      <c r="Q228" s="104">
        <f t="shared" si="160"/>
        <v>0</v>
      </c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5"/>
      <c r="BN228" s="105"/>
      <c r="BO228" s="105"/>
      <c r="BP228" s="105"/>
      <c r="BQ228" s="105"/>
      <c r="BR228" s="105"/>
      <c r="BS228" s="105"/>
      <c r="BT228" s="105"/>
      <c r="BU228" s="105"/>
      <c r="BV228" s="105"/>
    </row>
    <row r="229" spans="1:74" s="83" customFormat="1" ht="57" x14ac:dyDescent="0.2">
      <c r="A229" s="72" t="s">
        <v>673</v>
      </c>
      <c r="B229" s="73" t="s">
        <v>674</v>
      </c>
      <c r="C229" s="39">
        <f t="shared" ref="C229:N229" si="171">+C225*0%</f>
        <v>0</v>
      </c>
      <c r="D229" s="39">
        <f t="shared" si="171"/>
        <v>0</v>
      </c>
      <c r="E229" s="39">
        <f t="shared" si="171"/>
        <v>0</v>
      </c>
      <c r="F229" s="39">
        <f t="shared" si="171"/>
        <v>0</v>
      </c>
      <c r="G229" s="39">
        <f t="shared" si="171"/>
        <v>0</v>
      </c>
      <c r="H229" s="39">
        <f t="shared" si="171"/>
        <v>0</v>
      </c>
      <c r="I229" s="39">
        <f t="shared" si="171"/>
        <v>0</v>
      </c>
      <c r="J229" s="39">
        <f t="shared" si="171"/>
        <v>0</v>
      </c>
      <c r="K229" s="39">
        <f t="shared" si="171"/>
        <v>0</v>
      </c>
      <c r="L229" s="39">
        <f t="shared" si="171"/>
        <v>0</v>
      </c>
      <c r="M229" s="39">
        <f t="shared" si="171"/>
        <v>0</v>
      </c>
      <c r="N229" s="39">
        <f t="shared" si="171"/>
        <v>0</v>
      </c>
      <c r="O229" s="136">
        <f t="shared" si="162"/>
        <v>0</v>
      </c>
      <c r="P229" s="82">
        <v>0</v>
      </c>
      <c r="Q229" s="104">
        <f t="shared" si="160"/>
        <v>0</v>
      </c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</row>
    <row r="230" spans="1:74" s="83" customFormat="1" ht="42.75" x14ac:dyDescent="0.2">
      <c r="A230" s="72" t="s">
        <v>675</v>
      </c>
      <c r="B230" s="73" t="s">
        <v>676</v>
      </c>
      <c r="C230" s="39">
        <f t="shared" ref="C230:N230" si="172">+C225*60.7461638894%</f>
        <v>0</v>
      </c>
      <c r="D230" s="39">
        <f t="shared" si="172"/>
        <v>0</v>
      </c>
      <c r="E230" s="39">
        <f t="shared" si="172"/>
        <v>0</v>
      </c>
      <c r="F230" s="39">
        <f t="shared" si="172"/>
        <v>0</v>
      </c>
      <c r="G230" s="39">
        <f t="shared" si="172"/>
        <v>0</v>
      </c>
      <c r="H230" s="39">
        <f t="shared" si="172"/>
        <v>0</v>
      </c>
      <c r="I230" s="39">
        <f t="shared" si="172"/>
        <v>0</v>
      </c>
      <c r="J230" s="39">
        <f t="shared" si="172"/>
        <v>0</v>
      </c>
      <c r="K230" s="39">
        <f t="shared" si="172"/>
        <v>0</v>
      </c>
      <c r="L230" s="39">
        <f t="shared" si="172"/>
        <v>0</v>
      </c>
      <c r="M230" s="39">
        <f t="shared" si="172"/>
        <v>0</v>
      </c>
      <c r="N230" s="39">
        <f t="shared" si="172"/>
        <v>0</v>
      </c>
      <c r="O230" s="136">
        <f t="shared" si="162"/>
        <v>0</v>
      </c>
      <c r="P230" s="82">
        <v>0</v>
      </c>
      <c r="Q230" s="104">
        <f t="shared" si="160"/>
        <v>0</v>
      </c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</row>
    <row r="231" spans="1:74" s="106" customFormat="1" ht="28.5" x14ac:dyDescent="0.2">
      <c r="A231" s="72" t="s">
        <v>677</v>
      </c>
      <c r="B231" s="73" t="s">
        <v>678</v>
      </c>
      <c r="C231" s="39">
        <f t="shared" ref="C231:N231" si="173">+C225*0.07667%</f>
        <v>0</v>
      </c>
      <c r="D231" s="39">
        <f t="shared" si="173"/>
        <v>0</v>
      </c>
      <c r="E231" s="39">
        <f t="shared" si="173"/>
        <v>0</v>
      </c>
      <c r="F231" s="39">
        <f t="shared" si="173"/>
        <v>0</v>
      </c>
      <c r="G231" s="39">
        <f t="shared" si="173"/>
        <v>0</v>
      </c>
      <c r="H231" s="39">
        <f t="shared" si="173"/>
        <v>0</v>
      </c>
      <c r="I231" s="39">
        <f t="shared" si="173"/>
        <v>0</v>
      </c>
      <c r="J231" s="39">
        <f t="shared" si="173"/>
        <v>0</v>
      </c>
      <c r="K231" s="39">
        <f t="shared" si="173"/>
        <v>0</v>
      </c>
      <c r="L231" s="39">
        <f t="shared" si="173"/>
        <v>0</v>
      </c>
      <c r="M231" s="39">
        <f t="shared" si="173"/>
        <v>0</v>
      </c>
      <c r="N231" s="39">
        <f t="shared" si="173"/>
        <v>0</v>
      </c>
      <c r="O231" s="174">
        <f t="shared" si="162"/>
        <v>0</v>
      </c>
      <c r="P231" s="105">
        <v>0</v>
      </c>
      <c r="Q231" s="104">
        <f t="shared" si="160"/>
        <v>0</v>
      </c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5"/>
      <c r="BN231" s="105"/>
      <c r="BO231" s="105"/>
      <c r="BP231" s="105"/>
      <c r="BQ231" s="105"/>
      <c r="BR231" s="105"/>
      <c r="BS231" s="105"/>
      <c r="BT231" s="105"/>
      <c r="BU231" s="105"/>
      <c r="BV231" s="105"/>
    </row>
    <row r="232" spans="1:74" s="83" customFormat="1" ht="28.5" x14ac:dyDescent="0.2">
      <c r="A232" s="72" t="s">
        <v>679</v>
      </c>
      <c r="B232" s="73" t="s">
        <v>282</v>
      </c>
      <c r="C232" s="39">
        <f t="shared" ref="C232:N232" si="174">+C225*7.659333%</f>
        <v>0</v>
      </c>
      <c r="D232" s="39">
        <f t="shared" si="174"/>
        <v>0</v>
      </c>
      <c r="E232" s="39">
        <f t="shared" si="174"/>
        <v>0</v>
      </c>
      <c r="F232" s="39">
        <f t="shared" si="174"/>
        <v>0</v>
      </c>
      <c r="G232" s="39">
        <f t="shared" si="174"/>
        <v>0</v>
      </c>
      <c r="H232" s="39">
        <f t="shared" si="174"/>
        <v>0</v>
      </c>
      <c r="I232" s="39">
        <f t="shared" si="174"/>
        <v>0</v>
      </c>
      <c r="J232" s="39">
        <f t="shared" si="174"/>
        <v>0</v>
      </c>
      <c r="K232" s="39">
        <f t="shared" si="174"/>
        <v>0</v>
      </c>
      <c r="L232" s="39">
        <f t="shared" si="174"/>
        <v>0</v>
      </c>
      <c r="M232" s="39">
        <f t="shared" si="174"/>
        <v>0</v>
      </c>
      <c r="N232" s="39">
        <f t="shared" si="174"/>
        <v>0</v>
      </c>
      <c r="O232" s="136">
        <f t="shared" si="162"/>
        <v>0</v>
      </c>
      <c r="P232" s="82">
        <v>0</v>
      </c>
      <c r="Q232" s="104">
        <f t="shared" si="160"/>
        <v>0</v>
      </c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</row>
    <row r="233" spans="1:74" s="106" customFormat="1" ht="28.5" x14ac:dyDescent="0.2">
      <c r="A233" s="72" t="s">
        <v>680</v>
      </c>
      <c r="B233" s="73" t="s">
        <v>283</v>
      </c>
      <c r="C233" s="39">
        <f t="shared" ref="C233:N233" si="175">+C225*1.37867994%</f>
        <v>0</v>
      </c>
      <c r="D233" s="39">
        <f t="shared" si="175"/>
        <v>0</v>
      </c>
      <c r="E233" s="39">
        <f t="shared" si="175"/>
        <v>0</v>
      </c>
      <c r="F233" s="39">
        <f t="shared" si="175"/>
        <v>0</v>
      </c>
      <c r="G233" s="39">
        <f t="shared" si="175"/>
        <v>0</v>
      </c>
      <c r="H233" s="39">
        <f t="shared" si="175"/>
        <v>0</v>
      </c>
      <c r="I233" s="39">
        <f t="shared" si="175"/>
        <v>0</v>
      </c>
      <c r="J233" s="39">
        <f t="shared" si="175"/>
        <v>0</v>
      </c>
      <c r="K233" s="39">
        <f t="shared" si="175"/>
        <v>0</v>
      </c>
      <c r="L233" s="39">
        <f t="shared" si="175"/>
        <v>0</v>
      </c>
      <c r="M233" s="39">
        <f t="shared" si="175"/>
        <v>0</v>
      </c>
      <c r="N233" s="39">
        <f t="shared" si="175"/>
        <v>0</v>
      </c>
      <c r="O233" s="136">
        <f t="shared" si="162"/>
        <v>0</v>
      </c>
      <c r="P233" s="105">
        <v>0</v>
      </c>
      <c r="Q233" s="104">
        <f t="shared" si="160"/>
        <v>0</v>
      </c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5"/>
      <c r="BN233" s="105"/>
      <c r="BO233" s="105"/>
      <c r="BP233" s="105"/>
      <c r="BQ233" s="105"/>
      <c r="BR233" s="105"/>
      <c r="BS233" s="105"/>
      <c r="BT233" s="105"/>
      <c r="BU233" s="105"/>
      <c r="BV233" s="105"/>
    </row>
    <row r="234" spans="1:74" s="106" customFormat="1" ht="42.75" x14ac:dyDescent="0.2">
      <c r="A234" s="72" t="s">
        <v>681</v>
      </c>
      <c r="B234" s="73" t="s">
        <v>682</v>
      </c>
      <c r="C234" s="39">
        <f t="shared" ref="C234:N234" si="176">+C225*0.6755531706%</f>
        <v>0</v>
      </c>
      <c r="D234" s="39">
        <f t="shared" si="176"/>
        <v>0</v>
      </c>
      <c r="E234" s="39">
        <f t="shared" si="176"/>
        <v>0</v>
      </c>
      <c r="F234" s="39">
        <f t="shared" si="176"/>
        <v>0</v>
      </c>
      <c r="G234" s="39">
        <f t="shared" si="176"/>
        <v>0</v>
      </c>
      <c r="H234" s="39">
        <f t="shared" si="176"/>
        <v>0</v>
      </c>
      <c r="I234" s="39">
        <f t="shared" si="176"/>
        <v>0</v>
      </c>
      <c r="J234" s="39">
        <f t="shared" si="176"/>
        <v>0</v>
      </c>
      <c r="K234" s="39">
        <f t="shared" si="176"/>
        <v>0</v>
      </c>
      <c r="L234" s="39">
        <f t="shared" si="176"/>
        <v>0</v>
      </c>
      <c r="M234" s="39">
        <f t="shared" si="176"/>
        <v>0</v>
      </c>
      <c r="N234" s="39">
        <f t="shared" si="176"/>
        <v>0</v>
      </c>
      <c r="O234" s="136">
        <f t="shared" si="162"/>
        <v>0</v>
      </c>
      <c r="P234" s="105">
        <v>0</v>
      </c>
      <c r="Q234" s="104">
        <f t="shared" si="160"/>
        <v>0</v>
      </c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5"/>
      <c r="BN234" s="105"/>
      <c r="BO234" s="105"/>
      <c r="BP234" s="105"/>
      <c r="BQ234" s="105"/>
      <c r="BR234" s="105"/>
      <c r="BS234" s="105"/>
      <c r="BT234" s="105"/>
      <c r="BU234" s="105"/>
      <c r="BV234" s="105"/>
    </row>
    <row r="235" spans="1:74" s="83" customFormat="1" ht="28.5" x14ac:dyDescent="0.2">
      <c r="A235" s="72" t="s">
        <v>683</v>
      </c>
      <c r="B235" s="73" t="s">
        <v>684</v>
      </c>
      <c r="C235" s="39">
        <f t="shared" ref="C235:N235" si="177">+C225*6.1336%</f>
        <v>0</v>
      </c>
      <c r="D235" s="39">
        <f t="shared" si="177"/>
        <v>0</v>
      </c>
      <c r="E235" s="39">
        <f t="shared" si="177"/>
        <v>0</v>
      </c>
      <c r="F235" s="39">
        <f t="shared" si="177"/>
        <v>0</v>
      </c>
      <c r="G235" s="39">
        <f t="shared" si="177"/>
        <v>0</v>
      </c>
      <c r="H235" s="39">
        <f t="shared" si="177"/>
        <v>0</v>
      </c>
      <c r="I235" s="39">
        <f t="shared" si="177"/>
        <v>0</v>
      </c>
      <c r="J235" s="39">
        <f t="shared" si="177"/>
        <v>0</v>
      </c>
      <c r="K235" s="39">
        <f t="shared" si="177"/>
        <v>0</v>
      </c>
      <c r="L235" s="39">
        <f t="shared" si="177"/>
        <v>0</v>
      </c>
      <c r="M235" s="39">
        <f t="shared" si="177"/>
        <v>0</v>
      </c>
      <c r="N235" s="39">
        <f t="shared" si="177"/>
        <v>0</v>
      </c>
      <c r="O235" s="136">
        <f t="shared" si="162"/>
        <v>0</v>
      </c>
      <c r="P235" s="82">
        <v>0</v>
      </c>
      <c r="Q235" s="104">
        <f t="shared" si="160"/>
        <v>0</v>
      </c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</row>
    <row r="236" spans="1:74" s="83" customFormat="1" ht="63" x14ac:dyDescent="0.2">
      <c r="A236" s="77" t="s">
        <v>685</v>
      </c>
      <c r="B236" s="75" t="s">
        <v>686</v>
      </c>
      <c r="C236" s="191"/>
      <c r="D236" s="191"/>
      <c r="E236" s="191"/>
      <c r="F236" s="191"/>
      <c r="G236" s="191"/>
      <c r="H236" s="191"/>
      <c r="I236" s="191"/>
      <c r="J236" s="191"/>
      <c r="K236" s="191"/>
      <c r="L236" s="191"/>
      <c r="M236" s="191"/>
      <c r="N236" s="191"/>
      <c r="O236" s="136">
        <f t="shared" si="162"/>
        <v>0</v>
      </c>
      <c r="P236" s="82">
        <v>0</v>
      </c>
      <c r="Q236" s="104">
        <f t="shared" si="160"/>
        <v>0</v>
      </c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</row>
    <row r="237" spans="1:74" s="106" customFormat="1" ht="42.75" x14ac:dyDescent="0.2">
      <c r="A237" s="172" t="s">
        <v>687</v>
      </c>
      <c r="B237" s="73" t="s">
        <v>279</v>
      </c>
      <c r="C237" s="39">
        <f t="shared" ref="C237:N237" si="178">+C236*0%</f>
        <v>0</v>
      </c>
      <c r="D237" s="39">
        <f t="shared" si="178"/>
        <v>0</v>
      </c>
      <c r="E237" s="39">
        <f t="shared" si="178"/>
        <v>0</v>
      </c>
      <c r="F237" s="39">
        <f t="shared" si="178"/>
        <v>0</v>
      </c>
      <c r="G237" s="39">
        <f t="shared" si="178"/>
        <v>0</v>
      </c>
      <c r="H237" s="39">
        <f t="shared" si="178"/>
        <v>0</v>
      </c>
      <c r="I237" s="39">
        <f t="shared" si="178"/>
        <v>0</v>
      </c>
      <c r="J237" s="39">
        <f t="shared" si="178"/>
        <v>0</v>
      </c>
      <c r="K237" s="39">
        <f t="shared" si="178"/>
        <v>0</v>
      </c>
      <c r="L237" s="39">
        <f t="shared" si="178"/>
        <v>0</v>
      </c>
      <c r="M237" s="39">
        <f t="shared" si="178"/>
        <v>0</v>
      </c>
      <c r="N237" s="39">
        <f t="shared" si="178"/>
        <v>0</v>
      </c>
      <c r="O237" s="136">
        <f t="shared" si="162"/>
        <v>0</v>
      </c>
      <c r="P237" s="105">
        <v>0</v>
      </c>
      <c r="Q237" s="104">
        <f t="shared" si="160"/>
        <v>0</v>
      </c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5"/>
      <c r="BN237" s="105"/>
      <c r="BO237" s="105"/>
      <c r="BP237" s="105"/>
      <c r="BQ237" s="105"/>
      <c r="BR237" s="105"/>
      <c r="BS237" s="105"/>
      <c r="BT237" s="105"/>
      <c r="BU237" s="105"/>
      <c r="BV237" s="105"/>
    </row>
    <row r="238" spans="1:74" s="106" customFormat="1" ht="45" x14ac:dyDescent="0.2">
      <c r="A238" s="172" t="s">
        <v>688</v>
      </c>
      <c r="B238" s="173" t="s">
        <v>280</v>
      </c>
      <c r="C238" s="39">
        <f t="shared" ref="C238:N238" si="179">+C236*0%</f>
        <v>0</v>
      </c>
      <c r="D238" s="39">
        <f t="shared" si="179"/>
        <v>0</v>
      </c>
      <c r="E238" s="39">
        <f t="shared" si="179"/>
        <v>0</v>
      </c>
      <c r="F238" s="39">
        <f t="shared" si="179"/>
        <v>0</v>
      </c>
      <c r="G238" s="39">
        <f t="shared" si="179"/>
        <v>0</v>
      </c>
      <c r="H238" s="39">
        <f t="shared" si="179"/>
        <v>0</v>
      </c>
      <c r="I238" s="39">
        <f t="shared" si="179"/>
        <v>0</v>
      </c>
      <c r="J238" s="39">
        <f t="shared" si="179"/>
        <v>0</v>
      </c>
      <c r="K238" s="39">
        <f t="shared" si="179"/>
        <v>0</v>
      </c>
      <c r="L238" s="39">
        <f t="shared" si="179"/>
        <v>0</v>
      </c>
      <c r="M238" s="39">
        <f t="shared" si="179"/>
        <v>0</v>
      </c>
      <c r="N238" s="39">
        <f t="shared" si="179"/>
        <v>0</v>
      </c>
      <c r="O238" s="136">
        <f t="shared" si="162"/>
        <v>0</v>
      </c>
      <c r="P238" s="105">
        <v>0</v>
      </c>
      <c r="Q238" s="104">
        <f t="shared" si="160"/>
        <v>0</v>
      </c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  <c r="BS238" s="105"/>
      <c r="BT238" s="105"/>
      <c r="BU238" s="105"/>
      <c r="BV238" s="105"/>
    </row>
    <row r="239" spans="1:74" s="83" customFormat="1" ht="60" x14ac:dyDescent="0.2">
      <c r="A239" s="172" t="s">
        <v>689</v>
      </c>
      <c r="B239" s="173" t="s">
        <v>672</v>
      </c>
      <c r="C239" s="39">
        <f t="shared" ref="C239:N239" si="180">+C236*11.665%</f>
        <v>0</v>
      </c>
      <c r="D239" s="39">
        <f t="shared" si="180"/>
        <v>0</v>
      </c>
      <c r="E239" s="39">
        <f t="shared" si="180"/>
        <v>0</v>
      </c>
      <c r="F239" s="39">
        <f t="shared" si="180"/>
        <v>0</v>
      </c>
      <c r="G239" s="39">
        <f t="shared" si="180"/>
        <v>0</v>
      </c>
      <c r="H239" s="39">
        <f t="shared" si="180"/>
        <v>0</v>
      </c>
      <c r="I239" s="39">
        <f t="shared" si="180"/>
        <v>0</v>
      </c>
      <c r="J239" s="39">
        <f t="shared" si="180"/>
        <v>0</v>
      </c>
      <c r="K239" s="39">
        <f t="shared" si="180"/>
        <v>0</v>
      </c>
      <c r="L239" s="39">
        <f t="shared" si="180"/>
        <v>0</v>
      </c>
      <c r="M239" s="39">
        <f t="shared" si="180"/>
        <v>0</v>
      </c>
      <c r="N239" s="39">
        <f t="shared" si="180"/>
        <v>0</v>
      </c>
      <c r="O239" s="136">
        <f t="shared" si="162"/>
        <v>0</v>
      </c>
      <c r="P239" s="82">
        <v>0</v>
      </c>
      <c r="Q239" s="104">
        <f t="shared" si="160"/>
        <v>0</v>
      </c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</row>
    <row r="240" spans="1:74" s="83" customFormat="1" ht="57" x14ac:dyDescent="0.2">
      <c r="A240" s="72" t="s">
        <v>690</v>
      </c>
      <c r="B240" s="73" t="s">
        <v>674</v>
      </c>
      <c r="C240" s="39">
        <f t="shared" ref="C240:N240" si="181">+C236*0%</f>
        <v>0</v>
      </c>
      <c r="D240" s="39">
        <f t="shared" si="181"/>
        <v>0</v>
      </c>
      <c r="E240" s="39">
        <f t="shared" si="181"/>
        <v>0</v>
      </c>
      <c r="F240" s="39">
        <f t="shared" si="181"/>
        <v>0</v>
      </c>
      <c r="G240" s="39">
        <f t="shared" si="181"/>
        <v>0</v>
      </c>
      <c r="H240" s="39">
        <f t="shared" si="181"/>
        <v>0</v>
      </c>
      <c r="I240" s="39">
        <f t="shared" si="181"/>
        <v>0</v>
      </c>
      <c r="J240" s="39">
        <f t="shared" si="181"/>
        <v>0</v>
      </c>
      <c r="K240" s="39">
        <f t="shared" si="181"/>
        <v>0</v>
      </c>
      <c r="L240" s="39">
        <f t="shared" si="181"/>
        <v>0</v>
      </c>
      <c r="M240" s="39">
        <f t="shared" si="181"/>
        <v>0</v>
      </c>
      <c r="N240" s="39">
        <f t="shared" si="181"/>
        <v>0</v>
      </c>
      <c r="O240" s="136">
        <f t="shared" si="162"/>
        <v>0</v>
      </c>
      <c r="P240" s="82">
        <v>0</v>
      </c>
      <c r="Q240" s="104">
        <f t="shared" si="160"/>
        <v>0</v>
      </c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</row>
    <row r="241" spans="1:74" s="106" customFormat="1" ht="42.75" x14ac:dyDescent="0.2">
      <c r="A241" s="72" t="s">
        <v>691</v>
      </c>
      <c r="B241" s="73" t="s">
        <v>281</v>
      </c>
      <c r="C241" s="39">
        <f t="shared" ref="C241:N241" si="182">+C236*60.7461638894%</f>
        <v>0</v>
      </c>
      <c r="D241" s="39">
        <f t="shared" si="182"/>
        <v>0</v>
      </c>
      <c r="E241" s="39">
        <f t="shared" si="182"/>
        <v>0</v>
      </c>
      <c r="F241" s="39">
        <f t="shared" si="182"/>
        <v>0</v>
      </c>
      <c r="G241" s="39">
        <f t="shared" si="182"/>
        <v>0</v>
      </c>
      <c r="H241" s="39">
        <f t="shared" si="182"/>
        <v>0</v>
      </c>
      <c r="I241" s="39">
        <f t="shared" si="182"/>
        <v>0</v>
      </c>
      <c r="J241" s="39">
        <f t="shared" si="182"/>
        <v>0</v>
      </c>
      <c r="K241" s="39">
        <f t="shared" si="182"/>
        <v>0</v>
      </c>
      <c r="L241" s="39">
        <f t="shared" si="182"/>
        <v>0</v>
      </c>
      <c r="M241" s="39">
        <f t="shared" si="182"/>
        <v>0</v>
      </c>
      <c r="N241" s="39">
        <f t="shared" si="182"/>
        <v>0</v>
      </c>
      <c r="O241" s="136">
        <f t="shared" si="162"/>
        <v>0</v>
      </c>
      <c r="P241" s="105">
        <v>0</v>
      </c>
      <c r="Q241" s="104">
        <f t="shared" si="160"/>
        <v>0</v>
      </c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5"/>
      <c r="BN241" s="105"/>
      <c r="BO241" s="105"/>
      <c r="BP241" s="105"/>
      <c r="BQ241" s="105"/>
      <c r="BR241" s="105"/>
      <c r="BS241" s="105"/>
      <c r="BT241" s="105"/>
      <c r="BU241" s="105"/>
      <c r="BV241" s="105"/>
    </row>
    <row r="242" spans="1:74" s="106" customFormat="1" ht="28.5" x14ac:dyDescent="0.2">
      <c r="A242" s="72" t="s">
        <v>692</v>
      </c>
      <c r="B242" s="73" t="s">
        <v>678</v>
      </c>
      <c r="C242" s="39">
        <f t="shared" ref="C242:N242" si="183">+C236*0.07667%</f>
        <v>0</v>
      </c>
      <c r="D242" s="39">
        <f t="shared" si="183"/>
        <v>0</v>
      </c>
      <c r="E242" s="39">
        <f t="shared" si="183"/>
        <v>0</v>
      </c>
      <c r="F242" s="39">
        <f t="shared" si="183"/>
        <v>0</v>
      </c>
      <c r="G242" s="39">
        <f t="shared" si="183"/>
        <v>0</v>
      </c>
      <c r="H242" s="39">
        <f t="shared" si="183"/>
        <v>0</v>
      </c>
      <c r="I242" s="39">
        <f t="shared" si="183"/>
        <v>0</v>
      </c>
      <c r="J242" s="39">
        <f t="shared" si="183"/>
        <v>0</v>
      </c>
      <c r="K242" s="39">
        <f t="shared" si="183"/>
        <v>0</v>
      </c>
      <c r="L242" s="39">
        <f t="shared" si="183"/>
        <v>0</v>
      </c>
      <c r="M242" s="39">
        <f t="shared" si="183"/>
        <v>0</v>
      </c>
      <c r="N242" s="39">
        <f t="shared" si="183"/>
        <v>0</v>
      </c>
      <c r="O242" s="136">
        <f t="shared" si="162"/>
        <v>0</v>
      </c>
      <c r="P242" s="105">
        <v>0</v>
      </c>
      <c r="Q242" s="104">
        <f t="shared" si="160"/>
        <v>0</v>
      </c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5"/>
      <c r="BN242" s="105"/>
      <c r="BO242" s="105"/>
      <c r="BP242" s="105"/>
      <c r="BQ242" s="105"/>
      <c r="BR242" s="105"/>
      <c r="BS242" s="105"/>
      <c r="BT242" s="105"/>
      <c r="BU242" s="105"/>
      <c r="BV242" s="105"/>
    </row>
    <row r="243" spans="1:74" s="106" customFormat="1" ht="30" x14ac:dyDescent="0.2">
      <c r="A243" s="172" t="s">
        <v>693</v>
      </c>
      <c r="B243" s="173" t="s">
        <v>282</v>
      </c>
      <c r="C243" s="39">
        <f t="shared" ref="C243:N243" si="184">+C236*7.659333%</f>
        <v>0</v>
      </c>
      <c r="D243" s="39">
        <f t="shared" si="184"/>
        <v>0</v>
      </c>
      <c r="E243" s="39">
        <f t="shared" si="184"/>
        <v>0</v>
      </c>
      <c r="F243" s="39">
        <f t="shared" si="184"/>
        <v>0</v>
      </c>
      <c r="G243" s="39">
        <f t="shared" si="184"/>
        <v>0</v>
      </c>
      <c r="H243" s="39">
        <f t="shared" si="184"/>
        <v>0</v>
      </c>
      <c r="I243" s="39">
        <f t="shared" si="184"/>
        <v>0</v>
      </c>
      <c r="J243" s="39">
        <f t="shared" si="184"/>
        <v>0</v>
      </c>
      <c r="K243" s="39">
        <f t="shared" si="184"/>
        <v>0</v>
      </c>
      <c r="L243" s="39">
        <f t="shared" si="184"/>
        <v>0</v>
      </c>
      <c r="M243" s="39">
        <f t="shared" si="184"/>
        <v>0</v>
      </c>
      <c r="N243" s="39">
        <f t="shared" si="184"/>
        <v>0</v>
      </c>
      <c r="O243" s="136">
        <f t="shared" si="162"/>
        <v>0</v>
      </c>
      <c r="P243" s="105">
        <v>0</v>
      </c>
      <c r="Q243" s="104">
        <f t="shared" si="160"/>
        <v>0</v>
      </c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5"/>
      <c r="BN243" s="105"/>
      <c r="BO243" s="105"/>
      <c r="BP243" s="105"/>
      <c r="BQ243" s="105"/>
      <c r="BR243" s="105"/>
      <c r="BS243" s="105"/>
      <c r="BT243" s="105"/>
      <c r="BU243" s="105"/>
      <c r="BV243" s="105"/>
    </row>
    <row r="244" spans="1:74" s="83" customFormat="1" ht="28.5" x14ac:dyDescent="0.2">
      <c r="A244" s="72" t="s">
        <v>694</v>
      </c>
      <c r="B244" s="73" t="s">
        <v>283</v>
      </c>
      <c r="C244" s="39">
        <f t="shared" ref="C244:N244" si="185">+C236*1.37867994%</f>
        <v>0</v>
      </c>
      <c r="D244" s="39">
        <f t="shared" si="185"/>
        <v>0</v>
      </c>
      <c r="E244" s="39">
        <f t="shared" si="185"/>
        <v>0</v>
      </c>
      <c r="F244" s="39">
        <f t="shared" si="185"/>
        <v>0</v>
      </c>
      <c r="G244" s="39">
        <f t="shared" si="185"/>
        <v>0</v>
      </c>
      <c r="H244" s="39">
        <f t="shared" si="185"/>
        <v>0</v>
      </c>
      <c r="I244" s="39">
        <f t="shared" si="185"/>
        <v>0</v>
      </c>
      <c r="J244" s="39">
        <f t="shared" si="185"/>
        <v>0</v>
      </c>
      <c r="K244" s="39">
        <f t="shared" si="185"/>
        <v>0</v>
      </c>
      <c r="L244" s="39">
        <f t="shared" si="185"/>
        <v>0</v>
      </c>
      <c r="M244" s="39">
        <f t="shared" si="185"/>
        <v>0</v>
      </c>
      <c r="N244" s="39">
        <f t="shared" si="185"/>
        <v>0</v>
      </c>
      <c r="O244" s="136">
        <f t="shared" si="162"/>
        <v>0</v>
      </c>
      <c r="P244" s="82">
        <v>0</v>
      </c>
      <c r="Q244" s="104">
        <f t="shared" si="160"/>
        <v>0</v>
      </c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</row>
    <row r="245" spans="1:74" s="106" customFormat="1" ht="60" x14ac:dyDescent="0.2">
      <c r="A245" s="172" t="s">
        <v>695</v>
      </c>
      <c r="B245" s="173" t="s">
        <v>682</v>
      </c>
      <c r="C245" s="39">
        <f t="shared" ref="C245:N245" si="186">+C236*0.6755531706%</f>
        <v>0</v>
      </c>
      <c r="D245" s="39">
        <f t="shared" si="186"/>
        <v>0</v>
      </c>
      <c r="E245" s="39">
        <f t="shared" si="186"/>
        <v>0</v>
      </c>
      <c r="F245" s="39">
        <f t="shared" si="186"/>
        <v>0</v>
      </c>
      <c r="G245" s="39">
        <f t="shared" si="186"/>
        <v>0</v>
      </c>
      <c r="H245" s="39">
        <f t="shared" si="186"/>
        <v>0</v>
      </c>
      <c r="I245" s="39">
        <f t="shared" si="186"/>
        <v>0</v>
      </c>
      <c r="J245" s="39">
        <f t="shared" si="186"/>
        <v>0</v>
      </c>
      <c r="K245" s="39">
        <f t="shared" si="186"/>
        <v>0</v>
      </c>
      <c r="L245" s="39">
        <f t="shared" si="186"/>
        <v>0</v>
      </c>
      <c r="M245" s="39">
        <f t="shared" si="186"/>
        <v>0</v>
      </c>
      <c r="N245" s="39">
        <f t="shared" si="186"/>
        <v>0</v>
      </c>
      <c r="O245" s="136">
        <f t="shared" si="162"/>
        <v>0</v>
      </c>
      <c r="P245" s="105">
        <v>0</v>
      </c>
      <c r="Q245" s="104">
        <f t="shared" si="160"/>
        <v>0</v>
      </c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5"/>
      <c r="BN245" s="105"/>
      <c r="BO245" s="105"/>
      <c r="BP245" s="105"/>
      <c r="BQ245" s="105"/>
      <c r="BR245" s="105"/>
      <c r="BS245" s="105"/>
      <c r="BT245" s="105"/>
      <c r="BU245" s="105"/>
      <c r="BV245" s="105"/>
    </row>
    <row r="246" spans="1:74" s="83" customFormat="1" ht="28.5" x14ac:dyDescent="0.2">
      <c r="A246" s="72" t="s">
        <v>696</v>
      </c>
      <c r="B246" s="73" t="s">
        <v>684</v>
      </c>
      <c r="C246" s="39">
        <f t="shared" ref="C246:N246" si="187">+C236*6.1336%</f>
        <v>0</v>
      </c>
      <c r="D246" s="39">
        <f t="shared" si="187"/>
        <v>0</v>
      </c>
      <c r="E246" s="39">
        <f t="shared" si="187"/>
        <v>0</v>
      </c>
      <c r="F246" s="39">
        <f t="shared" si="187"/>
        <v>0</v>
      </c>
      <c r="G246" s="39">
        <f t="shared" si="187"/>
        <v>0</v>
      </c>
      <c r="H246" s="39">
        <f t="shared" si="187"/>
        <v>0</v>
      </c>
      <c r="I246" s="39">
        <f t="shared" si="187"/>
        <v>0</v>
      </c>
      <c r="J246" s="39">
        <f t="shared" si="187"/>
        <v>0</v>
      </c>
      <c r="K246" s="39">
        <f t="shared" si="187"/>
        <v>0</v>
      </c>
      <c r="L246" s="39">
        <f t="shared" si="187"/>
        <v>0</v>
      </c>
      <c r="M246" s="39">
        <f t="shared" si="187"/>
        <v>0</v>
      </c>
      <c r="N246" s="39">
        <f t="shared" si="187"/>
        <v>0</v>
      </c>
      <c r="O246" s="136">
        <f t="shared" si="162"/>
        <v>0</v>
      </c>
      <c r="P246" s="82">
        <v>0</v>
      </c>
      <c r="Q246" s="104">
        <f t="shared" si="160"/>
        <v>0</v>
      </c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</row>
    <row r="247" spans="1:74" s="106" customFormat="1" ht="19.5" x14ac:dyDescent="0.2">
      <c r="A247" s="77" t="s">
        <v>697</v>
      </c>
      <c r="B247" s="75" t="s">
        <v>85</v>
      </c>
      <c r="C247" s="188">
        <f t="shared" ref="C247:N247" si="188">+C254+C348+C605+C248+C251+C611+C337+C343+C696</f>
        <v>5734052268</v>
      </c>
      <c r="D247" s="188">
        <f t="shared" si="188"/>
        <v>0</v>
      </c>
      <c r="E247" s="188">
        <f t="shared" si="188"/>
        <v>19694419247.690002</v>
      </c>
      <c r="F247" s="188">
        <f t="shared" si="188"/>
        <v>97517512149.100006</v>
      </c>
      <c r="G247" s="188">
        <f t="shared" si="188"/>
        <v>199258599192.16998</v>
      </c>
      <c r="H247" s="188">
        <f t="shared" si="188"/>
        <v>1837938193.73</v>
      </c>
      <c r="I247" s="188">
        <f t="shared" si="188"/>
        <v>353771970.91000003</v>
      </c>
      <c r="J247" s="188">
        <f t="shared" si="188"/>
        <v>10707543195</v>
      </c>
      <c r="K247" s="188">
        <f t="shared" si="188"/>
        <v>3430279960.5199995</v>
      </c>
      <c r="L247" s="188">
        <f t="shared" si="188"/>
        <v>0</v>
      </c>
      <c r="M247" s="188">
        <f t="shared" si="188"/>
        <v>4172163655.79</v>
      </c>
      <c r="N247" s="188">
        <f t="shared" si="188"/>
        <v>19268744626</v>
      </c>
      <c r="O247" s="136">
        <f t="shared" si="162"/>
        <v>361975024458.90991</v>
      </c>
      <c r="P247" s="82">
        <v>273229606153.95999</v>
      </c>
      <c r="Q247" s="104">
        <f t="shared" si="160"/>
        <v>-88745418304.949921</v>
      </c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</row>
    <row r="248" spans="1:74" s="83" customFormat="1" ht="19.5" x14ac:dyDescent="0.2">
      <c r="A248" s="77" t="s">
        <v>698</v>
      </c>
      <c r="B248" s="75" t="s">
        <v>699</v>
      </c>
      <c r="C248" s="188">
        <f t="shared" ref="C248:N249" si="189">+C249</f>
        <v>0</v>
      </c>
      <c r="D248" s="188">
        <f t="shared" si="189"/>
        <v>0</v>
      </c>
      <c r="E248" s="188">
        <f t="shared" si="189"/>
        <v>0</v>
      </c>
      <c r="F248" s="188">
        <f t="shared" si="189"/>
        <v>0</v>
      </c>
      <c r="G248" s="188">
        <f t="shared" si="189"/>
        <v>0</v>
      </c>
      <c r="H248" s="188">
        <f t="shared" si="189"/>
        <v>0</v>
      </c>
      <c r="I248" s="188">
        <f t="shared" si="189"/>
        <v>0</v>
      </c>
      <c r="J248" s="188">
        <f t="shared" si="189"/>
        <v>0</v>
      </c>
      <c r="K248" s="188">
        <f t="shared" si="189"/>
        <v>0</v>
      </c>
      <c r="L248" s="188">
        <f t="shared" si="189"/>
        <v>0</v>
      </c>
      <c r="M248" s="188">
        <f t="shared" si="189"/>
        <v>0</v>
      </c>
      <c r="N248" s="188">
        <f t="shared" si="189"/>
        <v>0</v>
      </c>
      <c r="O248" s="136">
        <f t="shared" si="162"/>
        <v>0</v>
      </c>
      <c r="P248" s="82">
        <v>0</v>
      </c>
      <c r="Q248" s="104">
        <f t="shared" si="160"/>
        <v>0</v>
      </c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</row>
    <row r="249" spans="1:74" s="83" customFormat="1" ht="45" x14ac:dyDescent="0.2">
      <c r="A249" s="172" t="s">
        <v>700</v>
      </c>
      <c r="B249" s="173" t="s">
        <v>701</v>
      </c>
      <c r="C249" s="188">
        <f t="shared" si="189"/>
        <v>0</v>
      </c>
      <c r="D249" s="188">
        <f t="shared" si="189"/>
        <v>0</v>
      </c>
      <c r="E249" s="188">
        <f t="shared" si="189"/>
        <v>0</v>
      </c>
      <c r="F249" s="188">
        <f t="shared" si="189"/>
        <v>0</v>
      </c>
      <c r="G249" s="188">
        <f t="shared" si="189"/>
        <v>0</v>
      </c>
      <c r="H249" s="188">
        <f t="shared" si="189"/>
        <v>0</v>
      </c>
      <c r="I249" s="188">
        <f t="shared" si="189"/>
        <v>0</v>
      </c>
      <c r="J249" s="188">
        <f t="shared" si="189"/>
        <v>0</v>
      </c>
      <c r="K249" s="188">
        <f t="shared" si="189"/>
        <v>0</v>
      </c>
      <c r="L249" s="188">
        <f t="shared" si="189"/>
        <v>0</v>
      </c>
      <c r="M249" s="188">
        <f t="shared" si="189"/>
        <v>0</v>
      </c>
      <c r="N249" s="188">
        <f t="shared" si="189"/>
        <v>0</v>
      </c>
      <c r="O249" s="136">
        <f t="shared" si="162"/>
        <v>0</v>
      </c>
      <c r="P249" s="82">
        <v>0</v>
      </c>
      <c r="Q249" s="104">
        <f t="shared" si="160"/>
        <v>0</v>
      </c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</row>
    <row r="250" spans="1:74" s="83" customFormat="1" ht="15" x14ac:dyDescent="0.2">
      <c r="A250" s="72" t="s">
        <v>702</v>
      </c>
      <c r="B250" s="73" t="s">
        <v>262</v>
      </c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36">
        <f t="shared" si="162"/>
        <v>0</v>
      </c>
      <c r="P250" s="82">
        <v>0</v>
      </c>
      <c r="Q250" s="104">
        <f t="shared" si="160"/>
        <v>0</v>
      </c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</row>
    <row r="251" spans="1:74" s="83" customFormat="1" ht="31.5" x14ac:dyDescent="0.2">
      <c r="A251" s="77" t="s">
        <v>703</v>
      </c>
      <c r="B251" s="75" t="s">
        <v>704</v>
      </c>
      <c r="C251" s="188">
        <f t="shared" ref="C251:N252" si="190">+C252</f>
        <v>0</v>
      </c>
      <c r="D251" s="188">
        <f t="shared" si="190"/>
        <v>0</v>
      </c>
      <c r="E251" s="188">
        <f t="shared" si="190"/>
        <v>0</v>
      </c>
      <c r="F251" s="188">
        <f t="shared" si="190"/>
        <v>0</v>
      </c>
      <c r="G251" s="188">
        <f t="shared" si="190"/>
        <v>0</v>
      </c>
      <c r="H251" s="188">
        <f t="shared" si="190"/>
        <v>0</v>
      </c>
      <c r="I251" s="188">
        <f t="shared" si="190"/>
        <v>0</v>
      </c>
      <c r="J251" s="188">
        <f t="shared" si="190"/>
        <v>0</v>
      </c>
      <c r="K251" s="188">
        <f t="shared" si="190"/>
        <v>0</v>
      </c>
      <c r="L251" s="188">
        <f t="shared" si="190"/>
        <v>0</v>
      </c>
      <c r="M251" s="188">
        <f t="shared" si="190"/>
        <v>0</v>
      </c>
      <c r="N251" s="188">
        <f t="shared" si="190"/>
        <v>0</v>
      </c>
      <c r="O251" s="136">
        <f t="shared" si="162"/>
        <v>0</v>
      </c>
      <c r="P251" s="82">
        <v>0</v>
      </c>
      <c r="Q251" s="104">
        <f t="shared" si="160"/>
        <v>0</v>
      </c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</row>
    <row r="252" spans="1:74" s="83" customFormat="1" ht="47.25" x14ac:dyDescent="0.2">
      <c r="A252" s="77" t="s">
        <v>705</v>
      </c>
      <c r="B252" s="75" t="s">
        <v>701</v>
      </c>
      <c r="C252" s="188">
        <f t="shared" si="190"/>
        <v>0</v>
      </c>
      <c r="D252" s="188">
        <f t="shared" si="190"/>
        <v>0</v>
      </c>
      <c r="E252" s="188">
        <f t="shared" si="190"/>
        <v>0</v>
      </c>
      <c r="F252" s="188">
        <f t="shared" si="190"/>
        <v>0</v>
      </c>
      <c r="G252" s="188">
        <f t="shared" si="190"/>
        <v>0</v>
      </c>
      <c r="H252" s="188">
        <f t="shared" si="190"/>
        <v>0</v>
      </c>
      <c r="I252" s="188">
        <f t="shared" si="190"/>
        <v>0</v>
      </c>
      <c r="J252" s="188">
        <f t="shared" si="190"/>
        <v>0</v>
      </c>
      <c r="K252" s="188">
        <f t="shared" si="190"/>
        <v>0</v>
      </c>
      <c r="L252" s="188">
        <f t="shared" si="190"/>
        <v>0</v>
      </c>
      <c r="M252" s="188">
        <f t="shared" si="190"/>
        <v>0</v>
      </c>
      <c r="N252" s="188">
        <f t="shared" si="190"/>
        <v>0</v>
      </c>
      <c r="O252" s="136">
        <f t="shared" si="162"/>
        <v>0</v>
      </c>
      <c r="Q252" s="104">
        <f t="shared" si="160"/>
        <v>0</v>
      </c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</row>
    <row r="253" spans="1:74" s="106" customFormat="1" ht="14.25" x14ac:dyDescent="0.2">
      <c r="A253" s="72" t="s">
        <v>706</v>
      </c>
      <c r="B253" s="73" t="s">
        <v>103</v>
      </c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36">
        <f t="shared" si="162"/>
        <v>0</v>
      </c>
      <c r="Q253" s="104">
        <f t="shared" si="160"/>
        <v>0</v>
      </c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5"/>
      <c r="BN253" s="105"/>
      <c r="BO253" s="105"/>
      <c r="BP253" s="105"/>
      <c r="BQ253" s="105"/>
      <c r="BR253" s="105"/>
      <c r="BS253" s="105"/>
      <c r="BT253" s="105"/>
      <c r="BU253" s="105"/>
      <c r="BV253" s="105"/>
    </row>
    <row r="254" spans="1:74" s="106" customFormat="1" ht="19.5" x14ac:dyDescent="0.2">
      <c r="A254" s="77" t="s">
        <v>707</v>
      </c>
      <c r="B254" s="75" t="s">
        <v>708</v>
      </c>
      <c r="C254" s="188">
        <f t="shared" ref="C254:N254" si="191">+C255</f>
        <v>0</v>
      </c>
      <c r="D254" s="188">
        <f t="shared" si="191"/>
        <v>0</v>
      </c>
      <c r="E254" s="188">
        <f t="shared" si="191"/>
        <v>0</v>
      </c>
      <c r="F254" s="188">
        <f t="shared" si="191"/>
        <v>5619810</v>
      </c>
      <c r="G254" s="188">
        <f t="shared" si="191"/>
        <v>0</v>
      </c>
      <c r="H254" s="188">
        <f>+H255</f>
        <v>10403954</v>
      </c>
      <c r="I254" s="188">
        <f t="shared" si="191"/>
        <v>0</v>
      </c>
      <c r="J254" s="188">
        <f t="shared" si="191"/>
        <v>0</v>
      </c>
      <c r="K254" s="188">
        <f t="shared" si="191"/>
        <v>7363792.9699999997</v>
      </c>
      <c r="L254" s="188">
        <f t="shared" si="191"/>
        <v>0</v>
      </c>
      <c r="M254" s="188">
        <f t="shared" si="191"/>
        <v>134461640</v>
      </c>
      <c r="N254" s="188">
        <f t="shared" si="191"/>
        <v>0</v>
      </c>
      <c r="O254" s="136">
        <f t="shared" si="162"/>
        <v>157849196.97</v>
      </c>
      <c r="P254" s="82">
        <v>5619810</v>
      </c>
      <c r="Q254" s="104">
        <f t="shared" si="160"/>
        <v>-152229386.97</v>
      </c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5"/>
      <c r="BN254" s="105"/>
      <c r="BO254" s="105"/>
      <c r="BP254" s="105"/>
      <c r="BQ254" s="105"/>
      <c r="BR254" s="105"/>
      <c r="BS254" s="105"/>
      <c r="BT254" s="105"/>
      <c r="BU254" s="105"/>
      <c r="BV254" s="105"/>
    </row>
    <row r="255" spans="1:74" s="83" customFormat="1" ht="19.5" x14ac:dyDescent="0.2">
      <c r="A255" s="77" t="s">
        <v>709</v>
      </c>
      <c r="B255" s="75" t="s">
        <v>710</v>
      </c>
      <c r="C255" s="188">
        <f>+C256+C258+C259+C260+C261+C291+C292+C294+C295+C296+C297+C298+C300+C301+C302+C303+C304+C305+C306+C307+C308+C310+C311+C312+C313+C316+C317+C318+C319+C320+C321+C322+C323+C324+C325+C326+C327+C328+C329+C330+C331+C332+C299+C314+C333+C334+C257+C293+C309+C315+C335+C336</f>
        <v>0</v>
      </c>
      <c r="D255" s="188">
        <f t="shared" ref="D255:N255" si="192">+D256+D258+D259+D260+D261+D291+D292+D294+D295+D296+D297+D298+D300+D301+D302+D303+D304+D305+D306+D307+D308+D310+D311+D312+D313+D316+D317+D318+D319+D320+D321+D322+D323+D324+D325+D326+D327+D328+D329+D330+D331+D332+D299+D314+D333+D334+D257+D293+D309+D315+D335+D336</f>
        <v>0</v>
      </c>
      <c r="E255" s="188">
        <f t="shared" si="192"/>
        <v>0</v>
      </c>
      <c r="F255" s="188">
        <f t="shared" si="192"/>
        <v>5619810</v>
      </c>
      <c r="G255" s="188">
        <f t="shared" si="192"/>
        <v>0</v>
      </c>
      <c r="H255" s="188">
        <f t="shared" si="192"/>
        <v>10403954</v>
      </c>
      <c r="I255" s="188">
        <f t="shared" si="192"/>
        <v>0</v>
      </c>
      <c r="J255" s="188">
        <f t="shared" si="192"/>
        <v>0</v>
      </c>
      <c r="K255" s="188">
        <f t="shared" si="192"/>
        <v>7363792.9699999997</v>
      </c>
      <c r="L255" s="188">
        <f t="shared" si="192"/>
        <v>0</v>
      </c>
      <c r="M255" s="188">
        <f t="shared" si="192"/>
        <v>134461640</v>
      </c>
      <c r="N255" s="188">
        <f t="shared" si="192"/>
        <v>0</v>
      </c>
      <c r="O255" s="136">
        <f t="shared" si="162"/>
        <v>157849196.97</v>
      </c>
      <c r="P255" s="82">
        <v>5619810</v>
      </c>
      <c r="Q255" s="104">
        <f t="shared" si="160"/>
        <v>-152229386.97</v>
      </c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</row>
    <row r="256" spans="1:74" s="83" customFormat="1" ht="15" x14ac:dyDescent="0.2">
      <c r="A256" s="72" t="s">
        <v>711</v>
      </c>
      <c r="B256" s="73" t="s">
        <v>86</v>
      </c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36">
        <f t="shared" si="162"/>
        <v>0</v>
      </c>
      <c r="P256" s="82">
        <v>0</v>
      </c>
      <c r="Q256" s="104">
        <f t="shared" si="160"/>
        <v>0</v>
      </c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</row>
    <row r="257" spans="1:74" s="83" customFormat="1" ht="15" x14ac:dyDescent="0.2">
      <c r="A257" s="72" t="s">
        <v>711</v>
      </c>
      <c r="B257" s="73" t="s">
        <v>86</v>
      </c>
      <c r="C257" s="122"/>
      <c r="D257" s="122"/>
      <c r="E257" s="122"/>
      <c r="F257" s="122"/>
      <c r="G257" s="122"/>
      <c r="H257" s="122"/>
      <c r="I257" s="122"/>
      <c r="J257" s="122"/>
      <c r="K257" s="122">
        <v>7363792.9699999997</v>
      </c>
      <c r="L257" s="122"/>
      <c r="M257" s="122"/>
      <c r="N257" s="122"/>
      <c r="O257" s="136">
        <f t="shared" si="162"/>
        <v>7363792.9699999997</v>
      </c>
      <c r="P257" s="82"/>
      <c r="Q257" s="104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</row>
    <row r="258" spans="1:74" s="83" customFormat="1" ht="14.25" x14ac:dyDescent="0.2">
      <c r="A258" s="72" t="s">
        <v>712</v>
      </c>
      <c r="B258" s="73" t="s">
        <v>326</v>
      </c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136">
        <f t="shared" si="162"/>
        <v>0</v>
      </c>
      <c r="P258" s="82">
        <v>0</v>
      </c>
      <c r="Q258" s="104">
        <f t="shared" si="160"/>
        <v>0</v>
      </c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</row>
    <row r="259" spans="1:74" s="106" customFormat="1" ht="14.25" x14ac:dyDescent="0.2">
      <c r="A259" s="72" t="s">
        <v>713</v>
      </c>
      <c r="B259" s="73" t="s">
        <v>236</v>
      </c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136">
        <f t="shared" si="162"/>
        <v>0</v>
      </c>
      <c r="P259" s="82">
        <v>0</v>
      </c>
      <c r="Q259" s="104">
        <f t="shared" si="160"/>
        <v>0</v>
      </c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  <c r="BS259" s="105"/>
      <c r="BT259" s="105"/>
      <c r="BU259" s="105"/>
      <c r="BV259" s="105"/>
    </row>
    <row r="260" spans="1:74" s="106" customFormat="1" ht="14.25" x14ac:dyDescent="0.2">
      <c r="A260" s="72" t="s">
        <v>714</v>
      </c>
      <c r="B260" s="73" t="s">
        <v>87</v>
      </c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136">
        <f t="shared" si="162"/>
        <v>0</v>
      </c>
      <c r="P260" s="82">
        <v>0</v>
      </c>
      <c r="Q260" s="104">
        <f t="shared" si="160"/>
        <v>0</v>
      </c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/>
      <c r="BK260" s="105"/>
      <c r="BL260" s="105"/>
      <c r="BM260" s="105"/>
      <c r="BN260" s="105"/>
      <c r="BO260" s="105"/>
      <c r="BP260" s="105"/>
      <c r="BQ260" s="105"/>
      <c r="BR260" s="105"/>
      <c r="BS260" s="105"/>
      <c r="BT260" s="105"/>
      <c r="BU260" s="105"/>
      <c r="BV260" s="105"/>
    </row>
    <row r="261" spans="1:74" s="106" customFormat="1" ht="19.5" x14ac:dyDescent="0.2">
      <c r="A261" s="77" t="s">
        <v>715</v>
      </c>
      <c r="B261" s="97" t="s">
        <v>716</v>
      </c>
      <c r="C261" s="188">
        <f>+C262+C267+C272+C276+C280+C286+C288</f>
        <v>0</v>
      </c>
      <c r="D261" s="188">
        <f t="shared" ref="D261:N261" si="193">+D262+D267+D272+D276+D280+D286+D288</f>
        <v>0</v>
      </c>
      <c r="E261" s="188">
        <f t="shared" si="193"/>
        <v>0</v>
      </c>
      <c r="F261" s="188">
        <f t="shared" si="193"/>
        <v>3756634</v>
      </c>
      <c r="G261" s="188">
        <f t="shared" si="193"/>
        <v>0</v>
      </c>
      <c r="H261" s="188">
        <f t="shared" si="193"/>
        <v>0</v>
      </c>
      <c r="I261" s="188">
        <f t="shared" si="193"/>
        <v>0</v>
      </c>
      <c r="J261" s="188">
        <f t="shared" si="193"/>
        <v>0</v>
      </c>
      <c r="K261" s="188">
        <f t="shared" si="193"/>
        <v>0</v>
      </c>
      <c r="L261" s="188">
        <f t="shared" si="193"/>
        <v>0</v>
      </c>
      <c r="M261" s="188">
        <f t="shared" si="193"/>
        <v>0</v>
      </c>
      <c r="N261" s="188">
        <f t="shared" si="193"/>
        <v>0</v>
      </c>
      <c r="O261" s="136">
        <f t="shared" si="162"/>
        <v>3756634</v>
      </c>
      <c r="P261" s="82">
        <v>3756634</v>
      </c>
      <c r="Q261" s="104">
        <f t="shared" si="160"/>
        <v>0</v>
      </c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5"/>
      <c r="BN261" s="105"/>
      <c r="BO261" s="105"/>
      <c r="BP261" s="105"/>
      <c r="BQ261" s="105"/>
      <c r="BR261" s="105"/>
      <c r="BS261" s="105"/>
      <c r="BT261" s="105"/>
      <c r="BU261" s="105"/>
      <c r="BV261" s="105"/>
    </row>
    <row r="262" spans="1:74" s="106" customFormat="1" ht="15.75" x14ac:dyDescent="0.2">
      <c r="A262" s="77" t="s">
        <v>717</v>
      </c>
      <c r="B262" s="75" t="s">
        <v>718</v>
      </c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36">
        <f t="shared" si="162"/>
        <v>0</v>
      </c>
      <c r="P262" s="82">
        <v>0</v>
      </c>
      <c r="Q262" s="104">
        <f t="shared" si="160"/>
        <v>0</v>
      </c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5"/>
      <c r="BN262" s="105"/>
      <c r="BO262" s="105"/>
      <c r="BP262" s="105"/>
      <c r="BQ262" s="105"/>
      <c r="BR262" s="105"/>
      <c r="BS262" s="105"/>
      <c r="BT262" s="105"/>
      <c r="BU262" s="105"/>
      <c r="BV262" s="105"/>
    </row>
    <row r="263" spans="1:74" s="106" customFormat="1" ht="14.25" x14ac:dyDescent="0.2">
      <c r="A263" s="72" t="s">
        <v>719</v>
      </c>
      <c r="B263" s="73" t="s">
        <v>88</v>
      </c>
      <c r="C263" s="189">
        <f t="shared" ref="C263:N263" si="194">+C262*60%</f>
        <v>0</v>
      </c>
      <c r="D263" s="189">
        <f t="shared" si="194"/>
        <v>0</v>
      </c>
      <c r="E263" s="189">
        <f t="shared" si="194"/>
        <v>0</v>
      </c>
      <c r="F263" s="189">
        <f t="shared" si="194"/>
        <v>0</v>
      </c>
      <c r="G263" s="189">
        <f t="shared" si="194"/>
        <v>0</v>
      </c>
      <c r="H263" s="189">
        <f t="shared" si="194"/>
        <v>0</v>
      </c>
      <c r="I263" s="189">
        <f t="shared" si="194"/>
        <v>0</v>
      </c>
      <c r="J263" s="189">
        <f t="shared" si="194"/>
        <v>0</v>
      </c>
      <c r="K263" s="189">
        <f t="shared" si="194"/>
        <v>0</v>
      </c>
      <c r="L263" s="189">
        <f t="shared" si="194"/>
        <v>0</v>
      </c>
      <c r="M263" s="189">
        <f t="shared" si="194"/>
        <v>0</v>
      </c>
      <c r="N263" s="189">
        <f t="shared" si="194"/>
        <v>0</v>
      </c>
      <c r="O263" s="136">
        <f t="shared" si="162"/>
        <v>0</v>
      </c>
      <c r="P263" s="82">
        <v>0</v>
      </c>
      <c r="Q263" s="104">
        <f t="shared" si="160"/>
        <v>0</v>
      </c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5"/>
      <c r="BN263" s="105"/>
      <c r="BO263" s="105"/>
      <c r="BP263" s="105"/>
      <c r="BQ263" s="105"/>
      <c r="BR263" s="105"/>
      <c r="BS263" s="105"/>
      <c r="BT263" s="105"/>
      <c r="BU263" s="105"/>
      <c r="BV263" s="105"/>
    </row>
    <row r="264" spans="1:74" s="106" customFormat="1" ht="28.5" x14ac:dyDescent="0.2">
      <c r="A264" s="72" t="s">
        <v>720</v>
      </c>
      <c r="B264" s="73" t="s">
        <v>89</v>
      </c>
      <c r="C264" s="189">
        <f t="shared" ref="C264:N264" si="195">+C262*20%</f>
        <v>0</v>
      </c>
      <c r="D264" s="189">
        <f t="shared" si="195"/>
        <v>0</v>
      </c>
      <c r="E264" s="189">
        <f t="shared" si="195"/>
        <v>0</v>
      </c>
      <c r="F264" s="189">
        <f t="shared" si="195"/>
        <v>0</v>
      </c>
      <c r="G264" s="189">
        <f t="shared" si="195"/>
        <v>0</v>
      </c>
      <c r="H264" s="189">
        <f t="shared" si="195"/>
        <v>0</v>
      </c>
      <c r="I264" s="189">
        <f t="shared" si="195"/>
        <v>0</v>
      </c>
      <c r="J264" s="189">
        <f t="shared" si="195"/>
        <v>0</v>
      </c>
      <c r="K264" s="189">
        <f t="shared" si="195"/>
        <v>0</v>
      </c>
      <c r="L264" s="189">
        <f t="shared" si="195"/>
        <v>0</v>
      </c>
      <c r="M264" s="189">
        <f t="shared" si="195"/>
        <v>0</v>
      </c>
      <c r="N264" s="189">
        <f t="shared" si="195"/>
        <v>0</v>
      </c>
      <c r="O264" s="136">
        <f t="shared" si="162"/>
        <v>0</v>
      </c>
      <c r="P264" s="82">
        <v>0</v>
      </c>
      <c r="Q264" s="104">
        <f t="shared" si="160"/>
        <v>0</v>
      </c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5"/>
      <c r="BN264" s="105"/>
      <c r="BO264" s="105"/>
      <c r="BP264" s="105"/>
      <c r="BQ264" s="105"/>
      <c r="BR264" s="105"/>
      <c r="BS264" s="105"/>
      <c r="BT264" s="105"/>
      <c r="BU264" s="105"/>
      <c r="BV264" s="105"/>
    </row>
    <row r="265" spans="1:74" s="83" customFormat="1" ht="42.75" x14ac:dyDescent="0.2">
      <c r="A265" s="72" t="s">
        <v>721</v>
      </c>
      <c r="B265" s="73" t="s">
        <v>90</v>
      </c>
      <c r="C265" s="189">
        <f t="shared" ref="C265:N265" si="196">+C262*10%</f>
        <v>0</v>
      </c>
      <c r="D265" s="189">
        <f t="shared" si="196"/>
        <v>0</v>
      </c>
      <c r="E265" s="189">
        <f t="shared" si="196"/>
        <v>0</v>
      </c>
      <c r="F265" s="189">
        <f t="shared" si="196"/>
        <v>0</v>
      </c>
      <c r="G265" s="189">
        <f t="shared" si="196"/>
        <v>0</v>
      </c>
      <c r="H265" s="189">
        <f t="shared" si="196"/>
        <v>0</v>
      </c>
      <c r="I265" s="189">
        <f t="shared" si="196"/>
        <v>0</v>
      </c>
      <c r="J265" s="189">
        <f t="shared" si="196"/>
        <v>0</v>
      </c>
      <c r="K265" s="189">
        <f t="shared" si="196"/>
        <v>0</v>
      </c>
      <c r="L265" s="189">
        <f t="shared" si="196"/>
        <v>0</v>
      </c>
      <c r="M265" s="189">
        <f t="shared" si="196"/>
        <v>0</v>
      </c>
      <c r="N265" s="189">
        <f t="shared" si="196"/>
        <v>0</v>
      </c>
      <c r="O265" s="136">
        <f t="shared" si="162"/>
        <v>0</v>
      </c>
      <c r="P265" s="82">
        <v>0</v>
      </c>
      <c r="Q265" s="104">
        <f t="shared" si="160"/>
        <v>0</v>
      </c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</row>
    <row r="266" spans="1:74" s="106" customFormat="1" ht="28.5" x14ac:dyDescent="0.2">
      <c r="A266" s="147" t="s">
        <v>722</v>
      </c>
      <c r="B266" s="144" t="s">
        <v>237</v>
      </c>
      <c r="C266" s="189">
        <f t="shared" ref="C266:N266" si="197">+C262*10%</f>
        <v>0</v>
      </c>
      <c r="D266" s="189">
        <f t="shared" si="197"/>
        <v>0</v>
      </c>
      <c r="E266" s="189">
        <f t="shared" si="197"/>
        <v>0</v>
      </c>
      <c r="F266" s="189">
        <f t="shared" si="197"/>
        <v>0</v>
      </c>
      <c r="G266" s="189">
        <f t="shared" si="197"/>
        <v>0</v>
      </c>
      <c r="H266" s="189">
        <f t="shared" si="197"/>
        <v>0</v>
      </c>
      <c r="I266" s="189">
        <f t="shared" si="197"/>
        <v>0</v>
      </c>
      <c r="J266" s="189">
        <f t="shared" si="197"/>
        <v>0</v>
      </c>
      <c r="K266" s="189">
        <f t="shared" si="197"/>
        <v>0</v>
      </c>
      <c r="L266" s="189">
        <f t="shared" si="197"/>
        <v>0</v>
      </c>
      <c r="M266" s="189">
        <f t="shared" si="197"/>
        <v>0</v>
      </c>
      <c r="N266" s="189">
        <f t="shared" si="197"/>
        <v>0</v>
      </c>
      <c r="O266" s="136">
        <f t="shared" si="162"/>
        <v>0</v>
      </c>
      <c r="P266" s="82">
        <v>0</v>
      </c>
      <c r="Q266" s="104">
        <f t="shared" si="160"/>
        <v>0</v>
      </c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5"/>
      <c r="BN266" s="105"/>
      <c r="BO266" s="105"/>
      <c r="BP266" s="105"/>
      <c r="BQ266" s="105"/>
      <c r="BR266" s="105"/>
      <c r="BS266" s="105"/>
      <c r="BT266" s="105"/>
      <c r="BU266" s="105"/>
      <c r="BV266" s="105"/>
    </row>
    <row r="267" spans="1:74" s="83" customFormat="1" ht="15.75" x14ac:dyDescent="0.2">
      <c r="A267" s="146" t="s">
        <v>723</v>
      </c>
      <c r="B267" s="97" t="s">
        <v>724</v>
      </c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136">
        <f t="shared" si="162"/>
        <v>0</v>
      </c>
      <c r="P267" s="82">
        <v>0</v>
      </c>
      <c r="Q267" s="104">
        <f t="shared" si="160"/>
        <v>0</v>
      </c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</row>
    <row r="268" spans="1:74" s="83" customFormat="1" ht="28.5" x14ac:dyDescent="0.2">
      <c r="A268" s="147" t="s">
        <v>725</v>
      </c>
      <c r="B268" s="144" t="s">
        <v>91</v>
      </c>
      <c r="C268" s="189">
        <f t="shared" ref="C268:N268" si="198">+C267*40%</f>
        <v>0</v>
      </c>
      <c r="D268" s="189">
        <f t="shared" si="198"/>
        <v>0</v>
      </c>
      <c r="E268" s="189">
        <f t="shared" si="198"/>
        <v>0</v>
      </c>
      <c r="F268" s="189">
        <f t="shared" si="198"/>
        <v>0</v>
      </c>
      <c r="G268" s="189">
        <f t="shared" si="198"/>
        <v>0</v>
      </c>
      <c r="H268" s="189">
        <f t="shared" si="198"/>
        <v>0</v>
      </c>
      <c r="I268" s="189">
        <f t="shared" si="198"/>
        <v>0</v>
      </c>
      <c r="J268" s="189">
        <f t="shared" si="198"/>
        <v>0</v>
      </c>
      <c r="K268" s="189">
        <f t="shared" si="198"/>
        <v>0</v>
      </c>
      <c r="L268" s="189">
        <f t="shared" si="198"/>
        <v>0</v>
      </c>
      <c r="M268" s="189">
        <f t="shared" si="198"/>
        <v>0</v>
      </c>
      <c r="N268" s="189">
        <f t="shared" si="198"/>
        <v>0</v>
      </c>
      <c r="O268" s="136">
        <f t="shared" si="162"/>
        <v>0</v>
      </c>
      <c r="P268" s="82">
        <v>0</v>
      </c>
      <c r="Q268" s="104">
        <f t="shared" si="160"/>
        <v>0</v>
      </c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</row>
    <row r="269" spans="1:74" s="106" customFormat="1" ht="28.5" x14ac:dyDescent="0.2">
      <c r="A269" s="147" t="s">
        <v>726</v>
      </c>
      <c r="B269" s="144" t="s">
        <v>92</v>
      </c>
      <c r="C269" s="189">
        <f t="shared" ref="C269:N269" si="199">+C267*20%</f>
        <v>0</v>
      </c>
      <c r="D269" s="189">
        <f t="shared" si="199"/>
        <v>0</v>
      </c>
      <c r="E269" s="189">
        <f t="shared" si="199"/>
        <v>0</v>
      </c>
      <c r="F269" s="189">
        <f t="shared" si="199"/>
        <v>0</v>
      </c>
      <c r="G269" s="189">
        <f t="shared" si="199"/>
        <v>0</v>
      </c>
      <c r="H269" s="189">
        <f t="shared" si="199"/>
        <v>0</v>
      </c>
      <c r="I269" s="189">
        <f t="shared" si="199"/>
        <v>0</v>
      </c>
      <c r="J269" s="189">
        <f t="shared" si="199"/>
        <v>0</v>
      </c>
      <c r="K269" s="189">
        <f t="shared" si="199"/>
        <v>0</v>
      </c>
      <c r="L269" s="189">
        <f t="shared" si="199"/>
        <v>0</v>
      </c>
      <c r="M269" s="189">
        <f t="shared" si="199"/>
        <v>0</v>
      </c>
      <c r="N269" s="189">
        <f t="shared" si="199"/>
        <v>0</v>
      </c>
      <c r="O269" s="136">
        <f t="shared" si="162"/>
        <v>0</v>
      </c>
      <c r="P269" s="82">
        <v>0</v>
      </c>
      <c r="Q269" s="104">
        <f t="shared" si="160"/>
        <v>0</v>
      </c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5"/>
      <c r="BN269" s="105"/>
      <c r="BO269" s="105"/>
      <c r="BP269" s="105"/>
      <c r="BQ269" s="105"/>
      <c r="BR269" s="105"/>
      <c r="BS269" s="105"/>
      <c r="BT269" s="105"/>
      <c r="BU269" s="105"/>
      <c r="BV269" s="105"/>
    </row>
    <row r="270" spans="1:74" s="106" customFormat="1" ht="28.5" x14ac:dyDescent="0.2">
      <c r="A270" s="147" t="s">
        <v>727</v>
      </c>
      <c r="B270" s="144" t="s">
        <v>93</v>
      </c>
      <c r="C270" s="189">
        <f t="shared" ref="C270:N270" si="200">+C267*20%</f>
        <v>0</v>
      </c>
      <c r="D270" s="189">
        <f t="shared" si="200"/>
        <v>0</v>
      </c>
      <c r="E270" s="189">
        <f t="shared" si="200"/>
        <v>0</v>
      </c>
      <c r="F270" s="189">
        <f t="shared" si="200"/>
        <v>0</v>
      </c>
      <c r="G270" s="189">
        <f t="shared" si="200"/>
        <v>0</v>
      </c>
      <c r="H270" s="189">
        <f t="shared" si="200"/>
        <v>0</v>
      </c>
      <c r="I270" s="189">
        <f t="shared" si="200"/>
        <v>0</v>
      </c>
      <c r="J270" s="189">
        <f t="shared" si="200"/>
        <v>0</v>
      </c>
      <c r="K270" s="189">
        <f t="shared" si="200"/>
        <v>0</v>
      </c>
      <c r="L270" s="189">
        <f t="shared" si="200"/>
        <v>0</v>
      </c>
      <c r="M270" s="189">
        <f t="shared" si="200"/>
        <v>0</v>
      </c>
      <c r="N270" s="189">
        <f t="shared" si="200"/>
        <v>0</v>
      </c>
      <c r="O270" s="136">
        <f t="shared" si="162"/>
        <v>0</v>
      </c>
      <c r="P270" s="82">
        <v>0</v>
      </c>
      <c r="Q270" s="104">
        <f t="shared" si="160"/>
        <v>0</v>
      </c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5"/>
      <c r="BN270" s="105"/>
      <c r="BO270" s="105"/>
      <c r="BP270" s="105"/>
      <c r="BQ270" s="105"/>
      <c r="BR270" s="105"/>
      <c r="BS270" s="105"/>
      <c r="BT270" s="105"/>
      <c r="BU270" s="105"/>
      <c r="BV270" s="105"/>
    </row>
    <row r="271" spans="1:74" s="83" customFormat="1" ht="28.5" x14ac:dyDescent="0.2">
      <c r="A271" s="147" t="s">
        <v>728</v>
      </c>
      <c r="B271" s="144" t="s">
        <v>94</v>
      </c>
      <c r="C271" s="189">
        <f t="shared" ref="C271:N271" si="201">+C267*20%</f>
        <v>0</v>
      </c>
      <c r="D271" s="189">
        <f t="shared" si="201"/>
        <v>0</v>
      </c>
      <c r="E271" s="189">
        <f t="shared" si="201"/>
        <v>0</v>
      </c>
      <c r="F271" s="189">
        <f t="shared" si="201"/>
        <v>0</v>
      </c>
      <c r="G271" s="189">
        <f t="shared" si="201"/>
        <v>0</v>
      </c>
      <c r="H271" s="189">
        <f t="shared" si="201"/>
        <v>0</v>
      </c>
      <c r="I271" s="189">
        <f t="shared" si="201"/>
        <v>0</v>
      </c>
      <c r="J271" s="189">
        <f t="shared" si="201"/>
        <v>0</v>
      </c>
      <c r="K271" s="189">
        <f t="shared" si="201"/>
        <v>0</v>
      </c>
      <c r="L271" s="189">
        <f t="shared" si="201"/>
        <v>0</v>
      </c>
      <c r="M271" s="189">
        <f t="shared" si="201"/>
        <v>0</v>
      </c>
      <c r="N271" s="189">
        <f t="shared" si="201"/>
        <v>0</v>
      </c>
      <c r="O271" s="136">
        <f t="shared" si="162"/>
        <v>0</v>
      </c>
      <c r="P271" s="82">
        <v>0</v>
      </c>
      <c r="Q271" s="104">
        <f t="shared" si="160"/>
        <v>0</v>
      </c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</row>
    <row r="272" spans="1:74" s="106" customFormat="1" ht="31.5" x14ac:dyDescent="0.2">
      <c r="A272" s="146" t="s">
        <v>729</v>
      </c>
      <c r="B272" s="97" t="s">
        <v>730</v>
      </c>
      <c r="C272" s="141"/>
      <c r="D272" s="141"/>
      <c r="E272" s="141"/>
      <c r="F272" s="141">
        <f>SUM(F273:F275)</f>
        <v>3756634</v>
      </c>
      <c r="G272" s="141"/>
      <c r="H272" s="141"/>
      <c r="I272" s="141"/>
      <c r="J272" s="141"/>
      <c r="K272" s="141"/>
      <c r="L272" s="141"/>
      <c r="M272" s="141"/>
      <c r="N272" s="141"/>
      <c r="O272" s="136">
        <f t="shared" si="162"/>
        <v>3756634</v>
      </c>
      <c r="P272" s="82">
        <v>3756634</v>
      </c>
      <c r="Q272" s="104">
        <f t="shared" si="160"/>
        <v>0</v>
      </c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5"/>
      <c r="BN272" s="105"/>
      <c r="BO272" s="105"/>
      <c r="BP272" s="105"/>
      <c r="BQ272" s="105"/>
      <c r="BR272" s="105"/>
      <c r="BS272" s="105"/>
      <c r="BT272" s="105"/>
      <c r="BU272" s="105"/>
      <c r="BV272" s="105"/>
    </row>
    <row r="273" spans="1:74" s="106" customFormat="1" ht="28.5" x14ac:dyDescent="0.2">
      <c r="A273" s="147" t="s">
        <v>731</v>
      </c>
      <c r="B273" s="144" t="s">
        <v>95</v>
      </c>
      <c r="C273" s="189">
        <f t="shared" ref="C273:N273" si="202">+C272*80%</f>
        <v>0</v>
      </c>
      <c r="D273" s="189">
        <f t="shared" si="202"/>
        <v>0</v>
      </c>
      <c r="E273" s="189">
        <f t="shared" si="202"/>
        <v>0</v>
      </c>
      <c r="F273" s="189">
        <v>0</v>
      </c>
      <c r="G273" s="189">
        <f t="shared" si="202"/>
        <v>0</v>
      </c>
      <c r="H273" s="189">
        <f t="shared" si="202"/>
        <v>0</v>
      </c>
      <c r="I273" s="189">
        <f t="shared" si="202"/>
        <v>0</v>
      </c>
      <c r="J273" s="189">
        <f t="shared" si="202"/>
        <v>0</v>
      </c>
      <c r="K273" s="189">
        <f t="shared" si="202"/>
        <v>0</v>
      </c>
      <c r="L273" s="189">
        <f t="shared" si="202"/>
        <v>0</v>
      </c>
      <c r="M273" s="189">
        <f t="shared" si="202"/>
        <v>0</v>
      </c>
      <c r="N273" s="189">
        <f t="shared" si="202"/>
        <v>0</v>
      </c>
      <c r="O273" s="136">
        <f t="shared" si="162"/>
        <v>0</v>
      </c>
      <c r="P273" s="82">
        <v>0</v>
      </c>
      <c r="Q273" s="104">
        <f t="shared" ref="Q273:Q344" si="203">+P273-O273</f>
        <v>0</v>
      </c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5"/>
      <c r="BN273" s="105"/>
      <c r="BO273" s="105"/>
      <c r="BP273" s="105"/>
      <c r="BQ273" s="105"/>
      <c r="BR273" s="105"/>
      <c r="BS273" s="105"/>
      <c r="BT273" s="105"/>
      <c r="BU273" s="105"/>
      <c r="BV273" s="105"/>
    </row>
    <row r="274" spans="1:74" s="106" customFormat="1" ht="28.5" x14ac:dyDescent="0.2">
      <c r="A274" s="147" t="s">
        <v>731</v>
      </c>
      <c r="B274" s="144" t="s">
        <v>95</v>
      </c>
      <c r="C274" s="189"/>
      <c r="D274" s="189"/>
      <c r="E274" s="189"/>
      <c r="F274" s="189">
        <v>3756634</v>
      </c>
      <c r="G274" s="189"/>
      <c r="H274" s="189"/>
      <c r="I274" s="189"/>
      <c r="J274" s="189"/>
      <c r="K274" s="189"/>
      <c r="L274" s="189"/>
      <c r="M274" s="189"/>
      <c r="N274" s="189"/>
      <c r="O274" s="136">
        <f t="shared" si="162"/>
        <v>3756634</v>
      </c>
      <c r="P274" s="82">
        <v>3756634</v>
      </c>
      <c r="Q274" s="104">
        <f t="shared" si="203"/>
        <v>0</v>
      </c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5"/>
      <c r="BN274" s="105"/>
      <c r="BO274" s="105"/>
      <c r="BP274" s="105"/>
      <c r="BQ274" s="105"/>
      <c r="BR274" s="105"/>
      <c r="BS274" s="105"/>
      <c r="BT274" s="105"/>
      <c r="BU274" s="105"/>
      <c r="BV274" s="105"/>
    </row>
    <row r="275" spans="1:74" s="83" customFormat="1" ht="28.5" x14ac:dyDescent="0.2">
      <c r="A275" s="147" t="s">
        <v>732</v>
      </c>
      <c r="B275" s="145" t="s">
        <v>96</v>
      </c>
      <c r="C275" s="189">
        <f t="shared" ref="C275:N275" si="204">+C272*20%</f>
        <v>0</v>
      </c>
      <c r="D275" s="189">
        <f t="shared" si="204"/>
        <v>0</v>
      </c>
      <c r="E275" s="189">
        <f t="shared" si="204"/>
        <v>0</v>
      </c>
      <c r="F275" s="189">
        <v>0</v>
      </c>
      <c r="G275" s="189">
        <f t="shared" si="204"/>
        <v>0</v>
      </c>
      <c r="H275" s="189">
        <f t="shared" si="204"/>
        <v>0</v>
      </c>
      <c r="I275" s="189">
        <f t="shared" si="204"/>
        <v>0</v>
      </c>
      <c r="J275" s="189">
        <f t="shared" si="204"/>
        <v>0</v>
      </c>
      <c r="K275" s="189">
        <f t="shared" si="204"/>
        <v>0</v>
      </c>
      <c r="L275" s="189">
        <f t="shared" si="204"/>
        <v>0</v>
      </c>
      <c r="M275" s="189">
        <f t="shared" si="204"/>
        <v>0</v>
      </c>
      <c r="N275" s="189">
        <f t="shared" si="204"/>
        <v>0</v>
      </c>
      <c r="O275" s="136">
        <f t="shared" si="162"/>
        <v>0</v>
      </c>
      <c r="P275" s="82">
        <v>0</v>
      </c>
      <c r="Q275" s="104">
        <f t="shared" si="203"/>
        <v>0</v>
      </c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</row>
    <row r="276" spans="1:74" s="106" customFormat="1" ht="15.75" x14ac:dyDescent="0.2">
      <c r="A276" s="146" t="s">
        <v>733</v>
      </c>
      <c r="B276" s="76" t="s">
        <v>327</v>
      </c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136">
        <f t="shared" si="162"/>
        <v>0</v>
      </c>
      <c r="P276" s="82">
        <v>0</v>
      </c>
      <c r="Q276" s="104">
        <f t="shared" si="203"/>
        <v>0</v>
      </c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5"/>
      <c r="BN276" s="105"/>
      <c r="BO276" s="105"/>
      <c r="BP276" s="105"/>
      <c r="BQ276" s="105"/>
      <c r="BR276" s="105"/>
      <c r="BS276" s="105"/>
      <c r="BT276" s="105"/>
      <c r="BU276" s="105"/>
      <c r="BV276" s="105"/>
    </row>
    <row r="277" spans="1:74" s="106" customFormat="1" ht="14.25" x14ac:dyDescent="0.2">
      <c r="A277" s="147" t="s">
        <v>734</v>
      </c>
      <c r="B277" s="145" t="s">
        <v>327</v>
      </c>
      <c r="C277" s="189">
        <f t="shared" ref="C277:N277" si="205">+(C276-C278)*75%</f>
        <v>0</v>
      </c>
      <c r="D277" s="189">
        <f t="shared" si="205"/>
        <v>0</v>
      </c>
      <c r="E277" s="189">
        <f t="shared" si="205"/>
        <v>0</v>
      </c>
      <c r="F277" s="189">
        <f t="shared" si="205"/>
        <v>0</v>
      </c>
      <c r="G277" s="189">
        <f t="shared" si="205"/>
        <v>0</v>
      </c>
      <c r="H277" s="189">
        <f t="shared" si="205"/>
        <v>0</v>
      </c>
      <c r="I277" s="189">
        <f t="shared" si="205"/>
        <v>0</v>
      </c>
      <c r="J277" s="189">
        <f t="shared" si="205"/>
        <v>0</v>
      </c>
      <c r="K277" s="189">
        <f t="shared" si="205"/>
        <v>0</v>
      </c>
      <c r="L277" s="189">
        <f t="shared" si="205"/>
        <v>0</v>
      </c>
      <c r="M277" s="189">
        <f t="shared" si="205"/>
        <v>0</v>
      </c>
      <c r="N277" s="189">
        <f t="shared" si="205"/>
        <v>0</v>
      </c>
      <c r="O277" s="136">
        <f t="shared" si="162"/>
        <v>0</v>
      </c>
      <c r="P277" s="82">
        <v>0</v>
      </c>
      <c r="Q277" s="104">
        <f t="shared" si="203"/>
        <v>0</v>
      </c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5"/>
      <c r="BN277" s="105"/>
      <c r="BO277" s="105"/>
      <c r="BP277" s="105"/>
      <c r="BQ277" s="105"/>
      <c r="BR277" s="105"/>
      <c r="BS277" s="105"/>
      <c r="BT277" s="105"/>
      <c r="BU277" s="105"/>
      <c r="BV277" s="105"/>
    </row>
    <row r="278" spans="1:74" s="106" customFormat="1" ht="42.75" x14ac:dyDescent="0.2">
      <c r="A278" s="147" t="s">
        <v>735</v>
      </c>
      <c r="B278" s="144" t="s">
        <v>328</v>
      </c>
      <c r="C278" s="189">
        <f t="shared" ref="C278:N278" si="206">+C276*20%</f>
        <v>0</v>
      </c>
      <c r="D278" s="189">
        <f t="shared" si="206"/>
        <v>0</v>
      </c>
      <c r="E278" s="189">
        <f t="shared" si="206"/>
        <v>0</v>
      </c>
      <c r="F278" s="189">
        <f t="shared" si="206"/>
        <v>0</v>
      </c>
      <c r="G278" s="189">
        <f t="shared" si="206"/>
        <v>0</v>
      </c>
      <c r="H278" s="189">
        <f t="shared" si="206"/>
        <v>0</v>
      </c>
      <c r="I278" s="189">
        <f t="shared" si="206"/>
        <v>0</v>
      </c>
      <c r="J278" s="189">
        <f t="shared" si="206"/>
        <v>0</v>
      </c>
      <c r="K278" s="189">
        <f t="shared" si="206"/>
        <v>0</v>
      </c>
      <c r="L278" s="189">
        <f t="shared" si="206"/>
        <v>0</v>
      </c>
      <c r="M278" s="189">
        <f t="shared" si="206"/>
        <v>0</v>
      </c>
      <c r="N278" s="189">
        <f t="shared" si="206"/>
        <v>0</v>
      </c>
      <c r="O278" s="136">
        <f t="shared" si="162"/>
        <v>0</v>
      </c>
      <c r="P278" s="82">
        <v>0</v>
      </c>
      <c r="Q278" s="104">
        <f t="shared" si="203"/>
        <v>0</v>
      </c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5"/>
      <c r="BN278" s="105"/>
      <c r="BO278" s="105"/>
      <c r="BP278" s="105"/>
      <c r="BQ278" s="105"/>
      <c r="BR278" s="105"/>
      <c r="BS278" s="105"/>
      <c r="BT278" s="105"/>
      <c r="BU278" s="105"/>
      <c r="BV278" s="105"/>
    </row>
    <row r="279" spans="1:74" s="106" customFormat="1" ht="42.75" x14ac:dyDescent="0.2">
      <c r="A279" s="147" t="s">
        <v>736</v>
      </c>
      <c r="B279" s="145" t="s">
        <v>329</v>
      </c>
      <c r="C279" s="189">
        <f t="shared" ref="C279:N279" si="207">+C276-C277-C278</f>
        <v>0</v>
      </c>
      <c r="D279" s="189">
        <f t="shared" si="207"/>
        <v>0</v>
      </c>
      <c r="E279" s="189">
        <f t="shared" si="207"/>
        <v>0</v>
      </c>
      <c r="F279" s="189">
        <f t="shared" si="207"/>
        <v>0</v>
      </c>
      <c r="G279" s="189">
        <f t="shared" si="207"/>
        <v>0</v>
      </c>
      <c r="H279" s="189">
        <f t="shared" si="207"/>
        <v>0</v>
      </c>
      <c r="I279" s="189">
        <f t="shared" si="207"/>
        <v>0</v>
      </c>
      <c r="J279" s="189">
        <f t="shared" si="207"/>
        <v>0</v>
      </c>
      <c r="K279" s="189">
        <f t="shared" si="207"/>
        <v>0</v>
      </c>
      <c r="L279" s="189">
        <f t="shared" si="207"/>
        <v>0</v>
      </c>
      <c r="M279" s="189">
        <f t="shared" si="207"/>
        <v>0</v>
      </c>
      <c r="N279" s="189">
        <f t="shared" si="207"/>
        <v>0</v>
      </c>
      <c r="O279" s="136">
        <f t="shared" si="162"/>
        <v>0</v>
      </c>
      <c r="P279" s="82">
        <v>0</v>
      </c>
      <c r="Q279" s="104">
        <f t="shared" si="203"/>
        <v>0</v>
      </c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5"/>
      <c r="BN279" s="105"/>
      <c r="BO279" s="105"/>
      <c r="BP279" s="105"/>
      <c r="BQ279" s="105"/>
      <c r="BR279" s="105"/>
      <c r="BS279" s="105"/>
      <c r="BT279" s="105"/>
      <c r="BU279" s="105"/>
      <c r="BV279" s="105"/>
    </row>
    <row r="280" spans="1:74" s="106" customFormat="1" ht="15.75" x14ac:dyDescent="0.2">
      <c r="A280" s="146" t="s">
        <v>737</v>
      </c>
      <c r="B280" s="186" t="s">
        <v>738</v>
      </c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136">
        <f t="shared" si="162"/>
        <v>0</v>
      </c>
      <c r="P280" s="82">
        <v>0</v>
      </c>
      <c r="Q280" s="104">
        <f t="shared" si="203"/>
        <v>0</v>
      </c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5"/>
      <c r="BN280" s="105"/>
      <c r="BO280" s="105"/>
      <c r="BP280" s="105"/>
      <c r="BQ280" s="105"/>
      <c r="BR280" s="105"/>
      <c r="BS280" s="105"/>
      <c r="BT280" s="105"/>
      <c r="BU280" s="105"/>
      <c r="BV280" s="105"/>
    </row>
    <row r="281" spans="1:74" s="83" customFormat="1" ht="28.5" x14ac:dyDescent="0.2">
      <c r="A281" s="147" t="s">
        <v>739</v>
      </c>
      <c r="B281" s="145" t="s">
        <v>97</v>
      </c>
      <c r="C281" s="189">
        <f t="shared" ref="C281:N281" si="208">+C280*75%</f>
        <v>0</v>
      </c>
      <c r="D281" s="189">
        <f t="shared" si="208"/>
        <v>0</v>
      </c>
      <c r="E281" s="189">
        <f t="shared" si="208"/>
        <v>0</v>
      </c>
      <c r="F281" s="189">
        <f t="shared" si="208"/>
        <v>0</v>
      </c>
      <c r="G281" s="189">
        <f t="shared" si="208"/>
        <v>0</v>
      </c>
      <c r="H281" s="189">
        <f t="shared" si="208"/>
        <v>0</v>
      </c>
      <c r="I281" s="189">
        <f t="shared" si="208"/>
        <v>0</v>
      </c>
      <c r="J281" s="189">
        <f t="shared" si="208"/>
        <v>0</v>
      </c>
      <c r="K281" s="189">
        <f t="shared" si="208"/>
        <v>0</v>
      </c>
      <c r="L281" s="189">
        <f t="shared" si="208"/>
        <v>0</v>
      </c>
      <c r="M281" s="189">
        <f t="shared" si="208"/>
        <v>0</v>
      </c>
      <c r="N281" s="189">
        <f t="shared" si="208"/>
        <v>0</v>
      </c>
      <c r="O281" s="136">
        <f t="shared" si="162"/>
        <v>0</v>
      </c>
      <c r="P281" s="82">
        <v>0</v>
      </c>
      <c r="Q281" s="104">
        <f t="shared" si="203"/>
        <v>0</v>
      </c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</row>
    <row r="282" spans="1:74" s="83" customFormat="1" ht="28.5" x14ac:dyDescent="0.2">
      <c r="A282" s="72" t="s">
        <v>740</v>
      </c>
      <c r="B282" s="73" t="s">
        <v>98</v>
      </c>
      <c r="C282" s="189">
        <f t="shared" ref="C282:N282" si="209">+C280*12%</f>
        <v>0</v>
      </c>
      <c r="D282" s="189">
        <f t="shared" si="209"/>
        <v>0</v>
      </c>
      <c r="E282" s="189">
        <f t="shared" si="209"/>
        <v>0</v>
      </c>
      <c r="F282" s="189">
        <f t="shared" si="209"/>
        <v>0</v>
      </c>
      <c r="G282" s="189">
        <f t="shared" si="209"/>
        <v>0</v>
      </c>
      <c r="H282" s="189">
        <f t="shared" si="209"/>
        <v>0</v>
      </c>
      <c r="I282" s="189">
        <f t="shared" si="209"/>
        <v>0</v>
      </c>
      <c r="J282" s="189">
        <f t="shared" si="209"/>
        <v>0</v>
      </c>
      <c r="K282" s="189">
        <f t="shared" si="209"/>
        <v>0</v>
      </c>
      <c r="L282" s="189">
        <f t="shared" si="209"/>
        <v>0</v>
      </c>
      <c r="M282" s="189">
        <f t="shared" si="209"/>
        <v>0</v>
      </c>
      <c r="N282" s="189">
        <f t="shared" si="209"/>
        <v>0</v>
      </c>
      <c r="O282" s="136">
        <f t="shared" si="162"/>
        <v>0</v>
      </c>
      <c r="P282" s="82">
        <v>0</v>
      </c>
      <c r="Q282" s="104">
        <f t="shared" si="203"/>
        <v>0</v>
      </c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</row>
    <row r="283" spans="1:74" s="83" customFormat="1" ht="28.5" x14ac:dyDescent="0.2">
      <c r="A283" s="72" t="s">
        <v>741</v>
      </c>
      <c r="B283" s="73" t="s">
        <v>99</v>
      </c>
      <c r="C283" s="189">
        <f t="shared" ref="C283:N283" si="210">+C280*8%</f>
        <v>0</v>
      </c>
      <c r="D283" s="189">
        <f t="shared" si="210"/>
        <v>0</v>
      </c>
      <c r="E283" s="189">
        <f t="shared" si="210"/>
        <v>0</v>
      </c>
      <c r="F283" s="189">
        <f t="shared" si="210"/>
        <v>0</v>
      </c>
      <c r="G283" s="189">
        <f t="shared" si="210"/>
        <v>0</v>
      </c>
      <c r="H283" s="189">
        <f t="shared" si="210"/>
        <v>0</v>
      </c>
      <c r="I283" s="189">
        <f t="shared" si="210"/>
        <v>0</v>
      </c>
      <c r="J283" s="189">
        <f t="shared" si="210"/>
        <v>0</v>
      </c>
      <c r="K283" s="189">
        <f t="shared" si="210"/>
        <v>0</v>
      </c>
      <c r="L283" s="189">
        <f t="shared" si="210"/>
        <v>0</v>
      </c>
      <c r="M283" s="189">
        <f t="shared" si="210"/>
        <v>0</v>
      </c>
      <c r="N283" s="189">
        <f t="shared" si="210"/>
        <v>0</v>
      </c>
      <c r="O283" s="136">
        <f t="shared" si="162"/>
        <v>0</v>
      </c>
      <c r="P283" s="82">
        <v>0</v>
      </c>
      <c r="Q283" s="104">
        <f t="shared" si="203"/>
        <v>0</v>
      </c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</row>
    <row r="284" spans="1:74" s="83" customFormat="1" ht="28.5" x14ac:dyDescent="0.2">
      <c r="A284" s="72" t="s">
        <v>742</v>
      </c>
      <c r="B284" s="73" t="s">
        <v>100</v>
      </c>
      <c r="C284" s="189">
        <f t="shared" ref="C284:N284" si="211">+C280*3%</f>
        <v>0</v>
      </c>
      <c r="D284" s="189">
        <f t="shared" si="211"/>
        <v>0</v>
      </c>
      <c r="E284" s="189">
        <f t="shared" si="211"/>
        <v>0</v>
      </c>
      <c r="F284" s="189">
        <f t="shared" si="211"/>
        <v>0</v>
      </c>
      <c r="G284" s="189">
        <f t="shared" si="211"/>
        <v>0</v>
      </c>
      <c r="H284" s="189">
        <f t="shared" si="211"/>
        <v>0</v>
      </c>
      <c r="I284" s="189">
        <f t="shared" si="211"/>
        <v>0</v>
      </c>
      <c r="J284" s="189">
        <f t="shared" si="211"/>
        <v>0</v>
      </c>
      <c r="K284" s="189">
        <f t="shared" si="211"/>
        <v>0</v>
      </c>
      <c r="L284" s="189">
        <f t="shared" si="211"/>
        <v>0</v>
      </c>
      <c r="M284" s="189">
        <f t="shared" si="211"/>
        <v>0</v>
      </c>
      <c r="N284" s="189">
        <f t="shared" si="211"/>
        <v>0</v>
      </c>
      <c r="O284" s="136">
        <f t="shared" si="162"/>
        <v>0</v>
      </c>
      <c r="P284" s="82">
        <v>0</v>
      </c>
      <c r="Q284" s="104">
        <f t="shared" si="203"/>
        <v>0</v>
      </c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</row>
    <row r="285" spans="1:74" s="83" customFormat="1" ht="28.5" x14ac:dyDescent="0.2">
      <c r="A285" s="72" t="s">
        <v>743</v>
      </c>
      <c r="B285" s="73" t="s">
        <v>101</v>
      </c>
      <c r="C285" s="189">
        <f t="shared" ref="C285:N285" si="212">+C280*2%</f>
        <v>0</v>
      </c>
      <c r="D285" s="189">
        <f t="shared" si="212"/>
        <v>0</v>
      </c>
      <c r="E285" s="189">
        <f t="shared" si="212"/>
        <v>0</v>
      </c>
      <c r="F285" s="189">
        <f t="shared" si="212"/>
        <v>0</v>
      </c>
      <c r="G285" s="189">
        <f t="shared" si="212"/>
        <v>0</v>
      </c>
      <c r="H285" s="189">
        <f t="shared" si="212"/>
        <v>0</v>
      </c>
      <c r="I285" s="189">
        <f t="shared" si="212"/>
        <v>0</v>
      </c>
      <c r="J285" s="189">
        <f t="shared" si="212"/>
        <v>0</v>
      </c>
      <c r="K285" s="189">
        <f t="shared" si="212"/>
        <v>0</v>
      </c>
      <c r="L285" s="189">
        <f t="shared" si="212"/>
        <v>0</v>
      </c>
      <c r="M285" s="189">
        <f t="shared" si="212"/>
        <v>0</v>
      </c>
      <c r="N285" s="189">
        <f t="shared" si="212"/>
        <v>0</v>
      </c>
      <c r="O285" s="136">
        <f t="shared" si="162"/>
        <v>0</v>
      </c>
      <c r="P285" s="82">
        <v>0</v>
      </c>
      <c r="Q285" s="104">
        <f t="shared" si="203"/>
        <v>0</v>
      </c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</row>
    <row r="286" spans="1:74" s="83" customFormat="1" ht="31.5" x14ac:dyDescent="0.2">
      <c r="A286" s="77" t="s">
        <v>744</v>
      </c>
      <c r="B286" s="75" t="s">
        <v>745</v>
      </c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136">
        <f t="shared" si="162"/>
        <v>0</v>
      </c>
      <c r="P286" s="82">
        <v>0</v>
      </c>
      <c r="Q286" s="104">
        <f t="shared" si="203"/>
        <v>0</v>
      </c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</row>
    <row r="287" spans="1:74" s="83" customFormat="1" ht="28.5" x14ac:dyDescent="0.2">
      <c r="A287" s="72" t="s">
        <v>746</v>
      </c>
      <c r="B287" s="73" t="s">
        <v>102</v>
      </c>
      <c r="C287" s="124">
        <f t="shared" ref="C287:N287" si="213">+C286</f>
        <v>0</v>
      </c>
      <c r="D287" s="124">
        <f t="shared" si="213"/>
        <v>0</v>
      </c>
      <c r="E287" s="124">
        <f t="shared" si="213"/>
        <v>0</v>
      </c>
      <c r="F287" s="124">
        <f t="shared" si="213"/>
        <v>0</v>
      </c>
      <c r="G287" s="124">
        <f t="shared" si="213"/>
        <v>0</v>
      </c>
      <c r="H287" s="124">
        <f t="shared" si="213"/>
        <v>0</v>
      </c>
      <c r="I287" s="124">
        <f t="shared" si="213"/>
        <v>0</v>
      </c>
      <c r="J287" s="124">
        <f t="shared" si="213"/>
        <v>0</v>
      </c>
      <c r="K287" s="124">
        <f t="shared" si="213"/>
        <v>0</v>
      </c>
      <c r="L287" s="124">
        <f t="shared" si="213"/>
        <v>0</v>
      </c>
      <c r="M287" s="124">
        <f t="shared" si="213"/>
        <v>0</v>
      </c>
      <c r="N287" s="124">
        <f t="shared" si="213"/>
        <v>0</v>
      </c>
      <c r="O287" s="136">
        <f t="shared" si="162"/>
        <v>0</v>
      </c>
      <c r="P287" s="82">
        <v>0</v>
      </c>
      <c r="Q287" s="104">
        <f t="shared" si="203"/>
        <v>0</v>
      </c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</row>
    <row r="288" spans="1:74" s="83" customFormat="1" ht="15.75" x14ac:dyDescent="0.2">
      <c r="A288" s="77" t="s">
        <v>747</v>
      </c>
      <c r="B288" s="75" t="s">
        <v>748</v>
      </c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136">
        <f t="shared" si="162"/>
        <v>0</v>
      </c>
      <c r="P288" s="82">
        <v>0</v>
      </c>
      <c r="Q288" s="104">
        <f t="shared" si="203"/>
        <v>0</v>
      </c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</row>
    <row r="289" spans="1:74" s="83" customFormat="1" ht="28.5" x14ac:dyDescent="0.2">
      <c r="A289" s="72" t="s">
        <v>749</v>
      </c>
      <c r="B289" s="73" t="s">
        <v>238</v>
      </c>
      <c r="C289" s="189">
        <f t="shared" ref="C289:N289" si="214">+C288*80%</f>
        <v>0</v>
      </c>
      <c r="D289" s="189">
        <f t="shared" si="214"/>
        <v>0</v>
      </c>
      <c r="E289" s="189">
        <f t="shared" si="214"/>
        <v>0</v>
      </c>
      <c r="F289" s="189">
        <f t="shared" si="214"/>
        <v>0</v>
      </c>
      <c r="G289" s="189">
        <f t="shared" si="214"/>
        <v>0</v>
      </c>
      <c r="H289" s="189">
        <f t="shared" si="214"/>
        <v>0</v>
      </c>
      <c r="I289" s="189">
        <f t="shared" si="214"/>
        <v>0</v>
      </c>
      <c r="J289" s="189">
        <f t="shared" si="214"/>
        <v>0</v>
      </c>
      <c r="K289" s="189">
        <f t="shared" si="214"/>
        <v>0</v>
      </c>
      <c r="L289" s="189">
        <f t="shared" si="214"/>
        <v>0</v>
      </c>
      <c r="M289" s="189">
        <f t="shared" si="214"/>
        <v>0</v>
      </c>
      <c r="N289" s="189">
        <f t="shared" si="214"/>
        <v>0</v>
      </c>
      <c r="O289" s="136">
        <f t="shared" ref="O289:O291" si="215">SUM(C289:N289)</f>
        <v>0</v>
      </c>
      <c r="P289" s="82">
        <v>0</v>
      </c>
      <c r="Q289" s="104">
        <f t="shared" si="203"/>
        <v>0</v>
      </c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</row>
    <row r="290" spans="1:74" s="83" customFormat="1" ht="28.5" x14ac:dyDescent="0.2">
      <c r="A290" s="72" t="s">
        <v>750</v>
      </c>
      <c r="B290" s="73" t="s">
        <v>751</v>
      </c>
      <c r="C290" s="189">
        <f t="shared" ref="C290:N290" si="216">+C288*20%</f>
        <v>0</v>
      </c>
      <c r="D290" s="189">
        <f t="shared" si="216"/>
        <v>0</v>
      </c>
      <c r="E290" s="189">
        <f t="shared" si="216"/>
        <v>0</v>
      </c>
      <c r="F290" s="189">
        <f t="shared" si="216"/>
        <v>0</v>
      </c>
      <c r="G290" s="189">
        <f t="shared" si="216"/>
        <v>0</v>
      </c>
      <c r="H290" s="189">
        <f t="shared" si="216"/>
        <v>0</v>
      </c>
      <c r="I290" s="189">
        <f t="shared" si="216"/>
        <v>0</v>
      </c>
      <c r="J290" s="189">
        <f t="shared" si="216"/>
        <v>0</v>
      </c>
      <c r="K290" s="189">
        <f t="shared" si="216"/>
        <v>0</v>
      </c>
      <c r="L290" s="189">
        <f t="shared" si="216"/>
        <v>0</v>
      </c>
      <c r="M290" s="189">
        <f t="shared" si="216"/>
        <v>0</v>
      </c>
      <c r="N290" s="189">
        <f t="shared" si="216"/>
        <v>0</v>
      </c>
      <c r="O290" s="136">
        <f t="shared" si="215"/>
        <v>0</v>
      </c>
      <c r="P290" s="82">
        <v>0</v>
      </c>
      <c r="Q290" s="104">
        <f t="shared" si="203"/>
        <v>0</v>
      </c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</row>
    <row r="291" spans="1:74" s="83" customFormat="1" ht="28.5" x14ac:dyDescent="0.2">
      <c r="A291" s="72" t="s">
        <v>752</v>
      </c>
      <c r="B291" s="73" t="s">
        <v>753</v>
      </c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36">
        <f t="shared" si="215"/>
        <v>0</v>
      </c>
      <c r="P291" s="82">
        <v>0</v>
      </c>
      <c r="Q291" s="104">
        <f t="shared" si="203"/>
        <v>0</v>
      </c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</row>
    <row r="292" spans="1:74" s="83" customFormat="1" ht="14.25" x14ac:dyDescent="0.2">
      <c r="A292" s="72" t="s">
        <v>754</v>
      </c>
      <c r="B292" s="73" t="s">
        <v>239</v>
      </c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36">
        <f t="shared" ref="O292:O293" si="217">SUM(C292:N292)</f>
        <v>0</v>
      </c>
      <c r="P292" s="105">
        <v>0</v>
      </c>
      <c r="Q292" s="104">
        <f t="shared" si="203"/>
        <v>0</v>
      </c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</row>
    <row r="293" spans="1:74" s="83" customFormat="1" ht="15" x14ac:dyDescent="0.2">
      <c r="A293" s="72" t="s">
        <v>754</v>
      </c>
      <c r="B293" s="73" t="s">
        <v>239</v>
      </c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2">
        <v>1001942</v>
      </c>
      <c r="N293" s="124"/>
      <c r="O293" s="136">
        <f t="shared" si="217"/>
        <v>1001942</v>
      </c>
      <c r="P293" s="105"/>
      <c r="Q293" s="104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</row>
    <row r="294" spans="1:74" s="83" customFormat="1" ht="28.5" x14ac:dyDescent="0.2">
      <c r="A294" s="72" t="s">
        <v>755</v>
      </c>
      <c r="B294" s="73" t="s">
        <v>756</v>
      </c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36">
        <f t="shared" ref="O294:O549" si="218">SUM(C294:N294)</f>
        <v>0</v>
      </c>
      <c r="P294" s="107">
        <v>0</v>
      </c>
      <c r="Q294" s="104">
        <f t="shared" si="203"/>
        <v>0</v>
      </c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</row>
    <row r="295" spans="1:74" s="83" customFormat="1" ht="15.75" x14ac:dyDescent="0.2">
      <c r="A295" s="72" t="s">
        <v>757</v>
      </c>
      <c r="B295" s="73" t="s">
        <v>758</v>
      </c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36">
        <f t="shared" si="218"/>
        <v>0</v>
      </c>
      <c r="P295" s="107">
        <v>0</v>
      </c>
      <c r="Q295" s="104">
        <f t="shared" si="203"/>
        <v>0</v>
      </c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</row>
    <row r="296" spans="1:74" s="83" customFormat="1" ht="28.5" x14ac:dyDescent="0.2">
      <c r="A296" s="72" t="s">
        <v>759</v>
      </c>
      <c r="B296" s="73" t="s">
        <v>760</v>
      </c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36">
        <f t="shared" si="218"/>
        <v>0</v>
      </c>
      <c r="P296" s="107">
        <v>0</v>
      </c>
      <c r="Q296" s="104">
        <f t="shared" si="203"/>
        <v>0</v>
      </c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</row>
    <row r="297" spans="1:74" s="83" customFormat="1" ht="14.25" x14ac:dyDescent="0.2">
      <c r="A297" s="72" t="s">
        <v>761</v>
      </c>
      <c r="B297" s="73" t="s">
        <v>762</v>
      </c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36">
        <f t="shared" si="218"/>
        <v>0</v>
      </c>
      <c r="P297" s="82">
        <v>0</v>
      </c>
      <c r="Q297" s="104">
        <f t="shared" si="203"/>
        <v>0</v>
      </c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</row>
    <row r="298" spans="1:74" s="83" customFormat="1" ht="14.25" x14ac:dyDescent="0.2">
      <c r="A298" s="72" t="s">
        <v>763</v>
      </c>
      <c r="B298" s="73" t="s">
        <v>764</v>
      </c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36">
        <f t="shared" si="218"/>
        <v>0</v>
      </c>
      <c r="P298" s="82">
        <v>0</v>
      </c>
      <c r="Q298" s="104">
        <f t="shared" si="203"/>
        <v>0</v>
      </c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</row>
    <row r="299" spans="1:74" s="83" customFormat="1" ht="14.25" x14ac:dyDescent="0.2">
      <c r="A299" s="72" t="s">
        <v>765</v>
      </c>
      <c r="B299" s="73" t="s">
        <v>766</v>
      </c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36">
        <f t="shared" si="218"/>
        <v>0</v>
      </c>
      <c r="P299" s="82">
        <v>0</v>
      </c>
      <c r="Q299" s="104">
        <f t="shared" si="203"/>
        <v>0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</row>
    <row r="300" spans="1:74" s="83" customFormat="1" ht="28.5" x14ac:dyDescent="0.2">
      <c r="A300" s="72" t="s">
        <v>767</v>
      </c>
      <c r="B300" s="73" t="s">
        <v>768</v>
      </c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136">
        <f t="shared" si="218"/>
        <v>0</v>
      </c>
      <c r="P300" s="82">
        <v>0</v>
      </c>
      <c r="Q300" s="104">
        <f t="shared" si="203"/>
        <v>0</v>
      </c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</row>
    <row r="301" spans="1:74" s="83" customFormat="1" ht="28.5" x14ac:dyDescent="0.2">
      <c r="A301" s="72" t="s">
        <v>769</v>
      </c>
      <c r="B301" s="73" t="s">
        <v>770</v>
      </c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136">
        <f t="shared" si="218"/>
        <v>0</v>
      </c>
      <c r="P301" s="82">
        <v>0</v>
      </c>
      <c r="Q301" s="104">
        <f t="shared" si="203"/>
        <v>0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</row>
    <row r="302" spans="1:74" s="83" customFormat="1" ht="14.25" x14ac:dyDescent="0.2">
      <c r="A302" s="72" t="s">
        <v>771</v>
      </c>
      <c r="B302" s="73" t="s">
        <v>772</v>
      </c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36">
        <f t="shared" si="218"/>
        <v>0</v>
      </c>
      <c r="P302" s="82">
        <v>0</v>
      </c>
      <c r="Q302" s="104">
        <f t="shared" si="203"/>
        <v>0</v>
      </c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</row>
    <row r="303" spans="1:74" s="83" customFormat="1" ht="28.5" x14ac:dyDescent="0.2">
      <c r="A303" s="72" t="s">
        <v>773</v>
      </c>
      <c r="B303" s="73" t="s">
        <v>774</v>
      </c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36">
        <f t="shared" si="218"/>
        <v>0</v>
      </c>
      <c r="P303" s="82">
        <v>0</v>
      </c>
      <c r="Q303" s="104">
        <f t="shared" si="203"/>
        <v>0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</row>
    <row r="304" spans="1:74" s="83" customFormat="1" ht="28.5" x14ac:dyDescent="0.2">
      <c r="A304" s="72" t="s">
        <v>775</v>
      </c>
      <c r="B304" s="73" t="s">
        <v>776</v>
      </c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36">
        <f t="shared" si="218"/>
        <v>0</v>
      </c>
      <c r="P304" s="82">
        <v>0</v>
      </c>
      <c r="Q304" s="104">
        <f t="shared" si="203"/>
        <v>0</v>
      </c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</row>
    <row r="305" spans="1:74" s="83" customFormat="1" ht="28.5" x14ac:dyDescent="0.2">
      <c r="A305" s="72" t="s">
        <v>777</v>
      </c>
      <c r="B305" s="73" t="s">
        <v>778</v>
      </c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136">
        <f t="shared" si="218"/>
        <v>0</v>
      </c>
      <c r="P305" s="82">
        <v>0</v>
      </c>
      <c r="Q305" s="104">
        <f t="shared" si="203"/>
        <v>0</v>
      </c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</row>
    <row r="306" spans="1:74" s="83" customFormat="1" ht="28.5" x14ac:dyDescent="0.2">
      <c r="A306" s="72" t="s">
        <v>779</v>
      </c>
      <c r="B306" s="73" t="s">
        <v>780</v>
      </c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136">
        <f t="shared" si="218"/>
        <v>0</v>
      </c>
      <c r="P306" s="82">
        <v>0</v>
      </c>
      <c r="Q306" s="104">
        <f t="shared" si="203"/>
        <v>0</v>
      </c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</row>
    <row r="307" spans="1:74" s="83" customFormat="1" ht="28.5" x14ac:dyDescent="0.2">
      <c r="A307" s="72" t="s">
        <v>781</v>
      </c>
      <c r="B307" s="73" t="s">
        <v>782</v>
      </c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136">
        <f t="shared" si="218"/>
        <v>0</v>
      </c>
      <c r="P307" s="82">
        <v>0</v>
      </c>
      <c r="Q307" s="104">
        <f t="shared" si="203"/>
        <v>0</v>
      </c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</row>
    <row r="308" spans="1:74" s="83" customFormat="1" ht="28.5" x14ac:dyDescent="0.2">
      <c r="A308" s="72" t="s">
        <v>783</v>
      </c>
      <c r="B308" s="73" t="s">
        <v>784</v>
      </c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36">
        <f t="shared" si="218"/>
        <v>0</v>
      </c>
      <c r="P308" s="82">
        <v>0</v>
      </c>
      <c r="Q308" s="104">
        <f t="shared" si="203"/>
        <v>0</v>
      </c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</row>
    <row r="309" spans="1:74" s="83" customFormat="1" ht="28.5" x14ac:dyDescent="0.2">
      <c r="A309" s="72" t="s">
        <v>783</v>
      </c>
      <c r="B309" s="73" t="s">
        <v>784</v>
      </c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>
        <v>44267561</v>
      </c>
      <c r="N309" s="124"/>
      <c r="O309" s="136">
        <f t="shared" si="218"/>
        <v>44267561</v>
      </c>
      <c r="P309" s="82"/>
      <c r="Q309" s="104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</row>
    <row r="310" spans="1:74" s="83" customFormat="1" ht="14.25" x14ac:dyDescent="0.2">
      <c r="A310" s="72" t="s">
        <v>785</v>
      </c>
      <c r="B310" s="73" t="s">
        <v>786</v>
      </c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36">
        <f t="shared" si="218"/>
        <v>0</v>
      </c>
      <c r="P310" s="82">
        <v>0</v>
      </c>
      <c r="Q310" s="104">
        <f t="shared" si="203"/>
        <v>0</v>
      </c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</row>
    <row r="311" spans="1:74" s="83" customFormat="1" ht="14.25" x14ac:dyDescent="0.2">
      <c r="A311" s="72" t="s">
        <v>787</v>
      </c>
      <c r="B311" s="73" t="s">
        <v>330</v>
      </c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136">
        <f t="shared" si="218"/>
        <v>0</v>
      </c>
      <c r="P311" s="82">
        <v>0</v>
      </c>
      <c r="Q311" s="104">
        <f t="shared" si="203"/>
        <v>0</v>
      </c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</row>
    <row r="312" spans="1:74" s="83" customFormat="1" ht="28.5" x14ac:dyDescent="0.2">
      <c r="A312" s="72" t="s">
        <v>788</v>
      </c>
      <c r="B312" s="73" t="s">
        <v>331</v>
      </c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136">
        <f t="shared" si="218"/>
        <v>0</v>
      </c>
      <c r="P312" s="82">
        <v>0</v>
      </c>
      <c r="Q312" s="104">
        <f t="shared" si="203"/>
        <v>0</v>
      </c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</row>
    <row r="313" spans="1:74" s="83" customFormat="1" ht="28.5" x14ac:dyDescent="0.2">
      <c r="A313" s="72" t="s">
        <v>789</v>
      </c>
      <c r="B313" s="73" t="s">
        <v>332</v>
      </c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136">
        <f t="shared" si="218"/>
        <v>0</v>
      </c>
      <c r="P313" s="82">
        <v>0</v>
      </c>
      <c r="Q313" s="104">
        <f t="shared" si="203"/>
        <v>0</v>
      </c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</row>
    <row r="314" spans="1:74" s="83" customFormat="1" ht="28.5" x14ac:dyDescent="0.2">
      <c r="A314" s="72" t="s">
        <v>789</v>
      </c>
      <c r="B314" s="73" t="s">
        <v>332</v>
      </c>
      <c r="C314" s="39"/>
      <c r="D314" s="39"/>
      <c r="E314" s="39"/>
      <c r="F314" s="39">
        <v>1863176</v>
      </c>
      <c r="G314" s="39"/>
      <c r="H314" s="39"/>
      <c r="I314" s="39"/>
      <c r="J314" s="39"/>
      <c r="K314" s="39"/>
      <c r="L314" s="39"/>
      <c r="M314" s="39"/>
      <c r="N314" s="39"/>
      <c r="O314" s="136">
        <f t="shared" si="218"/>
        <v>1863176</v>
      </c>
      <c r="P314" s="82">
        <v>1863176</v>
      </c>
      <c r="Q314" s="104">
        <f t="shared" si="203"/>
        <v>0</v>
      </c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</row>
    <row r="315" spans="1:74" s="83" customFormat="1" ht="28.5" x14ac:dyDescent="0.2">
      <c r="A315" s="72" t="s">
        <v>789</v>
      </c>
      <c r="B315" s="73" t="s">
        <v>332</v>
      </c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>
        <v>2077885</v>
      </c>
      <c r="N315" s="39"/>
      <c r="O315" s="136">
        <f t="shared" si="218"/>
        <v>2077885</v>
      </c>
      <c r="P315" s="82"/>
      <c r="Q315" s="104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</row>
    <row r="316" spans="1:74" s="83" customFormat="1" ht="14.25" x14ac:dyDescent="0.2">
      <c r="A316" s="72" t="s">
        <v>790</v>
      </c>
      <c r="B316" s="73" t="s">
        <v>333</v>
      </c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136">
        <f t="shared" si="218"/>
        <v>0</v>
      </c>
      <c r="P316" s="112">
        <v>0</v>
      </c>
      <c r="Q316" s="104">
        <f t="shared" si="203"/>
        <v>0</v>
      </c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</row>
    <row r="317" spans="1:74" s="83" customFormat="1" ht="28.5" x14ac:dyDescent="0.2">
      <c r="A317" s="72" t="s">
        <v>791</v>
      </c>
      <c r="B317" s="73" t="s">
        <v>334</v>
      </c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136">
        <f t="shared" si="218"/>
        <v>0</v>
      </c>
      <c r="P317" s="82">
        <v>0</v>
      </c>
      <c r="Q317" s="104">
        <f t="shared" si="203"/>
        <v>0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</row>
    <row r="318" spans="1:74" s="83" customFormat="1" ht="28.5" x14ac:dyDescent="0.2">
      <c r="A318" s="72" t="s">
        <v>792</v>
      </c>
      <c r="B318" s="73" t="s">
        <v>335</v>
      </c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136">
        <f t="shared" si="218"/>
        <v>0</v>
      </c>
      <c r="P318" s="82">
        <v>0</v>
      </c>
      <c r="Q318" s="104">
        <f t="shared" si="203"/>
        <v>0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</row>
    <row r="319" spans="1:74" s="83" customFormat="1" ht="28.5" x14ac:dyDescent="0.2">
      <c r="A319" s="72" t="s">
        <v>793</v>
      </c>
      <c r="B319" s="73" t="s">
        <v>336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136">
        <f t="shared" si="218"/>
        <v>0</v>
      </c>
      <c r="P319" s="82">
        <v>0</v>
      </c>
      <c r="Q319" s="104">
        <f t="shared" si="203"/>
        <v>0</v>
      </c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</row>
    <row r="320" spans="1:74" s="83" customFormat="1" ht="28.5" x14ac:dyDescent="0.2">
      <c r="A320" s="72" t="s">
        <v>794</v>
      </c>
      <c r="B320" s="73" t="s">
        <v>337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136">
        <f t="shared" si="218"/>
        <v>0</v>
      </c>
      <c r="P320" s="107">
        <v>0</v>
      </c>
      <c r="Q320" s="104">
        <f t="shared" si="203"/>
        <v>0</v>
      </c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</row>
    <row r="321" spans="1:74" s="83" customFormat="1" ht="42.75" x14ac:dyDescent="0.2">
      <c r="A321" s="72" t="s">
        <v>795</v>
      </c>
      <c r="B321" s="73" t="s">
        <v>338</v>
      </c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136">
        <f t="shared" si="218"/>
        <v>0</v>
      </c>
      <c r="P321" s="82">
        <v>0</v>
      </c>
      <c r="Q321" s="104">
        <f t="shared" si="203"/>
        <v>0</v>
      </c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</row>
    <row r="322" spans="1:74" s="83" customFormat="1" ht="28.5" x14ac:dyDescent="0.2">
      <c r="A322" s="72" t="s">
        <v>796</v>
      </c>
      <c r="B322" s="73" t="s">
        <v>339</v>
      </c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136">
        <f t="shared" si="218"/>
        <v>0</v>
      </c>
      <c r="P322" s="82">
        <v>0</v>
      </c>
      <c r="Q322" s="104">
        <f t="shared" si="203"/>
        <v>0</v>
      </c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</row>
    <row r="323" spans="1:74" s="83" customFormat="1" ht="28.5" x14ac:dyDescent="0.2">
      <c r="A323" s="72" t="s">
        <v>797</v>
      </c>
      <c r="B323" s="73" t="s">
        <v>340</v>
      </c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136">
        <f t="shared" si="218"/>
        <v>0</v>
      </c>
      <c r="P323" s="82">
        <v>0</v>
      </c>
      <c r="Q323" s="104">
        <f t="shared" si="203"/>
        <v>0</v>
      </c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</row>
    <row r="324" spans="1:74" s="83" customFormat="1" ht="28.5" x14ac:dyDescent="0.2">
      <c r="A324" s="72" t="s">
        <v>798</v>
      </c>
      <c r="B324" s="73" t="s">
        <v>341</v>
      </c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136">
        <f t="shared" si="218"/>
        <v>0</v>
      </c>
      <c r="P324" s="82">
        <v>0</v>
      </c>
      <c r="Q324" s="104">
        <f t="shared" si="203"/>
        <v>0</v>
      </c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</row>
    <row r="325" spans="1:74" s="83" customFormat="1" ht="42.75" x14ac:dyDescent="0.2">
      <c r="A325" s="72" t="s">
        <v>799</v>
      </c>
      <c r="B325" s="73" t="s">
        <v>800</v>
      </c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136">
        <f t="shared" si="218"/>
        <v>0</v>
      </c>
      <c r="P325" s="82">
        <v>0</v>
      </c>
      <c r="Q325" s="104">
        <f t="shared" si="203"/>
        <v>0</v>
      </c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</row>
    <row r="326" spans="1:74" s="83" customFormat="1" ht="42.75" x14ac:dyDescent="0.2">
      <c r="A326" s="72" t="s">
        <v>801</v>
      </c>
      <c r="B326" s="73" t="s">
        <v>802</v>
      </c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136">
        <f t="shared" si="218"/>
        <v>0</v>
      </c>
      <c r="P326" s="82">
        <v>0</v>
      </c>
      <c r="Q326" s="104">
        <f t="shared" si="203"/>
        <v>0</v>
      </c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</row>
    <row r="327" spans="1:74" s="83" customFormat="1" ht="71.25" x14ac:dyDescent="0.2">
      <c r="A327" s="72" t="s">
        <v>803</v>
      </c>
      <c r="B327" s="73" t="s">
        <v>804</v>
      </c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136">
        <f t="shared" si="218"/>
        <v>0</v>
      </c>
      <c r="P327" s="82">
        <v>0</v>
      </c>
      <c r="Q327" s="104">
        <f t="shared" si="203"/>
        <v>0</v>
      </c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</row>
    <row r="328" spans="1:74" s="83" customFormat="1" ht="57" x14ac:dyDescent="0.2">
      <c r="A328" s="72" t="s">
        <v>805</v>
      </c>
      <c r="B328" s="73" t="s">
        <v>806</v>
      </c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136">
        <f t="shared" si="218"/>
        <v>0</v>
      </c>
      <c r="P328" s="82">
        <v>0</v>
      </c>
      <c r="Q328" s="104">
        <f t="shared" si="203"/>
        <v>0</v>
      </c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</row>
    <row r="329" spans="1:74" s="83" customFormat="1" ht="14.25" x14ac:dyDescent="0.2">
      <c r="A329" s="72" t="s">
        <v>807</v>
      </c>
      <c r="B329" s="73" t="s">
        <v>342</v>
      </c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136">
        <f t="shared" si="218"/>
        <v>0</v>
      </c>
      <c r="P329" s="82">
        <v>0</v>
      </c>
      <c r="Q329" s="104">
        <f t="shared" si="203"/>
        <v>0</v>
      </c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</row>
    <row r="330" spans="1:74" s="83" customFormat="1" ht="14.25" x14ac:dyDescent="0.2">
      <c r="A330" s="72" t="s">
        <v>808</v>
      </c>
      <c r="B330" s="73" t="s">
        <v>809</v>
      </c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136">
        <f t="shared" si="218"/>
        <v>0</v>
      </c>
      <c r="P330" s="82">
        <v>0</v>
      </c>
      <c r="Q330" s="104">
        <f t="shared" si="203"/>
        <v>0</v>
      </c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</row>
    <row r="331" spans="1:74" s="83" customFormat="1" ht="28.5" x14ac:dyDescent="0.2">
      <c r="A331" s="72" t="s">
        <v>810</v>
      </c>
      <c r="B331" s="73" t="s">
        <v>343</v>
      </c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136">
        <f t="shared" si="218"/>
        <v>0</v>
      </c>
      <c r="P331" s="82">
        <v>0</v>
      </c>
      <c r="Q331" s="104">
        <f t="shared" si="203"/>
        <v>0</v>
      </c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</row>
    <row r="332" spans="1:74" s="106" customFormat="1" ht="28.5" x14ac:dyDescent="0.2">
      <c r="A332" s="72" t="s">
        <v>811</v>
      </c>
      <c r="B332" s="73" t="s">
        <v>344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136">
        <f t="shared" si="218"/>
        <v>0</v>
      </c>
      <c r="P332" s="82">
        <v>0</v>
      </c>
      <c r="Q332" s="104">
        <f t="shared" si="203"/>
        <v>0</v>
      </c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</row>
    <row r="333" spans="1:74" s="106" customFormat="1" ht="28.5" x14ac:dyDescent="0.2">
      <c r="A333" s="72" t="s">
        <v>1826</v>
      </c>
      <c r="B333" s="73" t="s">
        <v>1827</v>
      </c>
      <c r="C333" s="39"/>
      <c r="D333" s="39"/>
      <c r="E333" s="39"/>
      <c r="F333" s="39"/>
      <c r="G333" s="39"/>
      <c r="H333" s="39">
        <v>6600708</v>
      </c>
      <c r="I333" s="39"/>
      <c r="J333" s="39"/>
      <c r="K333" s="39"/>
      <c r="L333" s="39"/>
      <c r="M333" s="39"/>
      <c r="N333" s="39"/>
      <c r="O333" s="136">
        <f t="shared" si="218"/>
        <v>6600708</v>
      </c>
      <c r="P333" s="82"/>
      <c r="Q333" s="104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</row>
    <row r="334" spans="1:74" s="106" customFormat="1" ht="28.5" x14ac:dyDescent="0.2">
      <c r="A334" s="72" t="s">
        <v>1828</v>
      </c>
      <c r="B334" s="73" t="s">
        <v>1829</v>
      </c>
      <c r="C334" s="39"/>
      <c r="D334" s="39"/>
      <c r="E334" s="39"/>
      <c r="F334" s="39"/>
      <c r="G334" s="39"/>
      <c r="H334" s="39">
        <v>3803246</v>
      </c>
      <c r="I334" s="39"/>
      <c r="J334" s="39"/>
      <c r="K334" s="39"/>
      <c r="L334" s="39"/>
      <c r="M334" s="39"/>
      <c r="N334" s="39"/>
      <c r="O334" s="136">
        <f t="shared" si="218"/>
        <v>3803246</v>
      </c>
      <c r="P334" s="82"/>
      <c r="Q334" s="104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</row>
    <row r="335" spans="1:74" s="106" customFormat="1" ht="28.5" x14ac:dyDescent="0.2">
      <c r="A335" s="72" t="s">
        <v>1888</v>
      </c>
      <c r="B335" s="73" t="s">
        <v>1889</v>
      </c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>
        <v>48678228</v>
      </c>
      <c r="N335" s="39"/>
      <c r="O335" s="136">
        <f t="shared" si="218"/>
        <v>48678228</v>
      </c>
      <c r="P335" s="82"/>
      <c r="Q335" s="104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</row>
    <row r="336" spans="1:74" s="106" customFormat="1" ht="42.75" x14ac:dyDescent="0.2">
      <c r="A336" s="72" t="s">
        <v>1890</v>
      </c>
      <c r="B336" s="73" t="s">
        <v>1891</v>
      </c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>
        <v>38436024</v>
      </c>
      <c r="N336" s="39"/>
      <c r="O336" s="136">
        <f t="shared" si="218"/>
        <v>38436024</v>
      </c>
      <c r="P336" s="82"/>
      <c r="Q336" s="104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</row>
    <row r="337" spans="1:74" s="108" customFormat="1" ht="15.75" x14ac:dyDescent="0.2">
      <c r="A337" s="77" t="s">
        <v>1221</v>
      </c>
      <c r="B337" s="75" t="s">
        <v>1222</v>
      </c>
      <c r="C337" s="141">
        <f>+C338</f>
        <v>0</v>
      </c>
      <c r="D337" s="141">
        <f t="shared" ref="D337:N338" si="219">+D338</f>
        <v>0</v>
      </c>
      <c r="E337" s="141">
        <f t="shared" si="219"/>
        <v>0</v>
      </c>
      <c r="F337" s="141">
        <f>+F338</f>
        <v>90630434222.26001</v>
      </c>
      <c r="G337" s="141">
        <f t="shared" si="219"/>
        <v>48974976703</v>
      </c>
      <c r="H337" s="141">
        <f t="shared" si="219"/>
        <v>0</v>
      </c>
      <c r="I337" s="141">
        <f t="shared" si="219"/>
        <v>0</v>
      </c>
      <c r="J337" s="141">
        <f t="shared" si="219"/>
        <v>0</v>
      </c>
      <c r="K337" s="141">
        <f t="shared" si="219"/>
        <v>0</v>
      </c>
      <c r="L337" s="141">
        <f t="shared" si="219"/>
        <v>0</v>
      </c>
      <c r="M337" s="141">
        <f t="shared" si="219"/>
        <v>0</v>
      </c>
      <c r="N337" s="141">
        <f t="shared" si="219"/>
        <v>0</v>
      </c>
      <c r="O337" s="136">
        <f t="shared" si="218"/>
        <v>139605410925.26001</v>
      </c>
      <c r="P337" s="82">
        <v>90630434222.259995</v>
      </c>
      <c r="Q337" s="104">
        <f t="shared" si="203"/>
        <v>-48974976703.000015</v>
      </c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</row>
    <row r="338" spans="1:74" s="108" customFormat="1" ht="31.5" x14ac:dyDescent="0.2">
      <c r="A338" s="77" t="s">
        <v>1223</v>
      </c>
      <c r="B338" s="75" t="s">
        <v>1224</v>
      </c>
      <c r="C338" s="141">
        <f>+C339</f>
        <v>0</v>
      </c>
      <c r="D338" s="141">
        <f t="shared" si="219"/>
        <v>0</v>
      </c>
      <c r="E338" s="141">
        <f t="shared" si="219"/>
        <v>0</v>
      </c>
      <c r="F338" s="141">
        <f>+F339</f>
        <v>90630434222.26001</v>
      </c>
      <c r="G338" s="141">
        <f t="shared" si="219"/>
        <v>48974976703</v>
      </c>
      <c r="H338" s="141">
        <f t="shared" si="219"/>
        <v>0</v>
      </c>
      <c r="I338" s="141">
        <f t="shared" si="219"/>
        <v>0</v>
      </c>
      <c r="J338" s="141">
        <f t="shared" si="219"/>
        <v>0</v>
      </c>
      <c r="K338" s="141">
        <f t="shared" si="219"/>
        <v>0</v>
      </c>
      <c r="L338" s="141">
        <f t="shared" si="219"/>
        <v>0</v>
      </c>
      <c r="M338" s="141">
        <f t="shared" si="219"/>
        <v>0</v>
      </c>
      <c r="N338" s="141">
        <f t="shared" si="219"/>
        <v>0</v>
      </c>
      <c r="O338" s="136">
        <f t="shared" si="218"/>
        <v>139605410925.26001</v>
      </c>
      <c r="P338" s="82">
        <v>90630434222.259995</v>
      </c>
      <c r="Q338" s="104">
        <f t="shared" si="203"/>
        <v>-48974976703.000015</v>
      </c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</row>
    <row r="339" spans="1:74" s="108" customFormat="1" ht="15.75" x14ac:dyDescent="0.2">
      <c r="A339" s="77" t="s">
        <v>1225</v>
      </c>
      <c r="B339" s="75" t="s">
        <v>1226</v>
      </c>
      <c r="C339" s="141">
        <f>SUM(C340:C342)</f>
        <v>0</v>
      </c>
      <c r="D339" s="141">
        <f t="shared" ref="D339:N339" si="220">SUM(D340:D342)</f>
        <v>0</v>
      </c>
      <c r="E339" s="141">
        <f t="shared" si="220"/>
        <v>0</v>
      </c>
      <c r="F339" s="141">
        <f t="shared" si="220"/>
        <v>90630434222.26001</v>
      </c>
      <c r="G339" s="141">
        <f t="shared" si="220"/>
        <v>48974976703</v>
      </c>
      <c r="H339" s="141">
        <f t="shared" si="220"/>
        <v>0</v>
      </c>
      <c r="I339" s="141">
        <f t="shared" si="220"/>
        <v>0</v>
      </c>
      <c r="J339" s="141">
        <f t="shared" si="220"/>
        <v>0</v>
      </c>
      <c r="K339" s="141">
        <f t="shared" si="220"/>
        <v>0</v>
      </c>
      <c r="L339" s="141">
        <f t="shared" si="220"/>
        <v>0</v>
      </c>
      <c r="M339" s="141">
        <f t="shared" si="220"/>
        <v>0</v>
      </c>
      <c r="N339" s="141">
        <f t="shared" si="220"/>
        <v>0</v>
      </c>
      <c r="O339" s="136">
        <f t="shared" si="218"/>
        <v>139605410925.26001</v>
      </c>
      <c r="P339" s="82">
        <v>90630434222.259995</v>
      </c>
      <c r="Q339" s="104">
        <f t="shared" si="203"/>
        <v>-48974976703.000015</v>
      </c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</row>
    <row r="340" spans="1:74" s="83" customFormat="1" ht="28.5" x14ac:dyDescent="0.2">
      <c r="A340" s="72" t="s">
        <v>1217</v>
      </c>
      <c r="B340" s="73" t="s">
        <v>1218</v>
      </c>
      <c r="C340" s="39"/>
      <c r="D340" s="39"/>
      <c r="E340" s="39"/>
      <c r="F340" s="39">
        <v>79982811133.960007</v>
      </c>
      <c r="G340" s="39"/>
      <c r="H340" s="39"/>
      <c r="I340" s="39"/>
      <c r="J340" s="39"/>
      <c r="K340" s="39"/>
      <c r="L340" s="39"/>
      <c r="M340" s="39"/>
      <c r="N340" s="39"/>
      <c r="O340" s="136">
        <f t="shared" si="218"/>
        <v>79982811133.960007</v>
      </c>
      <c r="P340" s="238">
        <v>79982811133.960007</v>
      </c>
      <c r="Q340" s="104">
        <f t="shared" si="203"/>
        <v>0</v>
      </c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</row>
    <row r="341" spans="1:74" s="83" customFormat="1" ht="28.5" x14ac:dyDescent="0.2">
      <c r="A341" s="72" t="s">
        <v>1219</v>
      </c>
      <c r="B341" s="73" t="s">
        <v>1220</v>
      </c>
      <c r="C341" s="39"/>
      <c r="D341" s="39"/>
      <c r="E341" s="39"/>
      <c r="F341" s="39">
        <v>10647623088.299999</v>
      </c>
      <c r="G341" s="39"/>
      <c r="H341" s="39"/>
      <c r="I341" s="39"/>
      <c r="J341" s="39"/>
      <c r="K341" s="39"/>
      <c r="L341" s="39"/>
      <c r="M341" s="39"/>
      <c r="N341" s="39"/>
      <c r="O341" s="136">
        <f t="shared" si="218"/>
        <v>10647623088.299999</v>
      </c>
      <c r="P341" s="238">
        <v>10647623088.299999</v>
      </c>
      <c r="Q341" s="104">
        <f t="shared" si="203"/>
        <v>0</v>
      </c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</row>
    <row r="342" spans="1:74" s="83" customFormat="1" ht="28.5" x14ac:dyDescent="0.2">
      <c r="A342" s="72" t="s">
        <v>1821</v>
      </c>
      <c r="B342" s="73" t="s">
        <v>1822</v>
      </c>
      <c r="C342" s="39"/>
      <c r="D342" s="39"/>
      <c r="E342" s="39"/>
      <c r="F342" s="39"/>
      <c r="G342" s="39">
        <v>48974976703</v>
      </c>
      <c r="H342" s="39"/>
      <c r="I342" s="39"/>
      <c r="J342" s="39"/>
      <c r="K342" s="39"/>
      <c r="L342" s="39"/>
      <c r="M342" s="39"/>
      <c r="N342" s="39"/>
      <c r="O342" s="136">
        <f t="shared" si="218"/>
        <v>48974976703</v>
      </c>
      <c r="P342" s="238"/>
      <c r="Q342" s="104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</row>
    <row r="343" spans="1:74" s="83" customFormat="1" ht="19.5" x14ac:dyDescent="0.2">
      <c r="A343" s="77" t="s">
        <v>812</v>
      </c>
      <c r="B343" s="75" t="s">
        <v>813</v>
      </c>
      <c r="C343" s="188">
        <f t="shared" ref="C343:N345" si="221">+C344</f>
        <v>0</v>
      </c>
      <c r="D343" s="188">
        <f t="shared" si="221"/>
        <v>0</v>
      </c>
      <c r="E343" s="188">
        <f t="shared" si="221"/>
        <v>0</v>
      </c>
      <c r="F343" s="188">
        <f t="shared" si="221"/>
        <v>0</v>
      </c>
      <c r="G343" s="188">
        <f t="shared" si="221"/>
        <v>0</v>
      </c>
      <c r="H343" s="188">
        <f t="shared" si="221"/>
        <v>0</v>
      </c>
      <c r="I343" s="188">
        <f t="shared" si="221"/>
        <v>0</v>
      </c>
      <c r="J343" s="188">
        <f t="shared" si="221"/>
        <v>0</v>
      </c>
      <c r="K343" s="188">
        <f t="shared" si="221"/>
        <v>0</v>
      </c>
      <c r="L343" s="188">
        <f t="shared" si="221"/>
        <v>0</v>
      </c>
      <c r="M343" s="188">
        <f t="shared" si="221"/>
        <v>0</v>
      </c>
      <c r="N343" s="188">
        <f t="shared" si="221"/>
        <v>0</v>
      </c>
      <c r="O343" s="136">
        <f t="shared" si="218"/>
        <v>0</v>
      </c>
      <c r="P343" s="82">
        <v>0</v>
      </c>
      <c r="Q343" s="104">
        <f t="shared" si="203"/>
        <v>0</v>
      </c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</row>
    <row r="344" spans="1:74" s="83" customFormat="1" ht="31.5" x14ac:dyDescent="0.2">
      <c r="A344" s="77" t="s">
        <v>814</v>
      </c>
      <c r="B344" s="75" t="s">
        <v>815</v>
      </c>
      <c r="C344" s="188">
        <f t="shared" si="221"/>
        <v>0</v>
      </c>
      <c r="D344" s="188">
        <f t="shared" si="221"/>
        <v>0</v>
      </c>
      <c r="E344" s="188">
        <f t="shared" si="221"/>
        <v>0</v>
      </c>
      <c r="F344" s="188">
        <f t="shared" si="221"/>
        <v>0</v>
      </c>
      <c r="G344" s="188">
        <f t="shared" si="221"/>
        <v>0</v>
      </c>
      <c r="H344" s="188">
        <f t="shared" si="221"/>
        <v>0</v>
      </c>
      <c r="I344" s="188">
        <f t="shared" si="221"/>
        <v>0</v>
      </c>
      <c r="J344" s="188">
        <f t="shared" si="221"/>
        <v>0</v>
      </c>
      <c r="K344" s="188">
        <f t="shared" si="221"/>
        <v>0</v>
      </c>
      <c r="L344" s="188">
        <f t="shared" si="221"/>
        <v>0</v>
      </c>
      <c r="M344" s="188">
        <f t="shared" si="221"/>
        <v>0</v>
      </c>
      <c r="N344" s="188">
        <f t="shared" si="221"/>
        <v>0</v>
      </c>
      <c r="O344" s="136">
        <f t="shared" si="218"/>
        <v>0</v>
      </c>
      <c r="Q344" s="104">
        <f t="shared" si="203"/>
        <v>0</v>
      </c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</row>
    <row r="345" spans="1:74" s="83" customFormat="1" ht="31.5" x14ac:dyDescent="0.2">
      <c r="A345" s="77" t="s">
        <v>816</v>
      </c>
      <c r="B345" s="75" t="s">
        <v>817</v>
      </c>
      <c r="C345" s="188">
        <f t="shared" si="221"/>
        <v>0</v>
      </c>
      <c r="D345" s="188">
        <f t="shared" si="221"/>
        <v>0</v>
      </c>
      <c r="E345" s="188">
        <f t="shared" si="221"/>
        <v>0</v>
      </c>
      <c r="F345" s="188">
        <f t="shared" si="221"/>
        <v>0</v>
      </c>
      <c r="G345" s="188">
        <f t="shared" si="221"/>
        <v>0</v>
      </c>
      <c r="H345" s="188">
        <f t="shared" si="221"/>
        <v>0</v>
      </c>
      <c r="I345" s="188">
        <f t="shared" si="221"/>
        <v>0</v>
      </c>
      <c r="J345" s="188">
        <f t="shared" si="221"/>
        <v>0</v>
      </c>
      <c r="K345" s="188">
        <f t="shared" si="221"/>
        <v>0</v>
      </c>
      <c r="L345" s="188">
        <f t="shared" si="221"/>
        <v>0</v>
      </c>
      <c r="M345" s="188">
        <f t="shared" si="221"/>
        <v>0</v>
      </c>
      <c r="N345" s="188">
        <f t="shared" si="221"/>
        <v>0</v>
      </c>
      <c r="O345" s="136">
        <f t="shared" si="218"/>
        <v>0</v>
      </c>
      <c r="Q345" s="104">
        <f t="shared" ref="Q345:Q416" si="222">+P345-O345</f>
        <v>0</v>
      </c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</row>
    <row r="346" spans="1:74" s="83" customFormat="1" ht="19.5" x14ac:dyDescent="0.2">
      <c r="A346" s="77" t="s">
        <v>818</v>
      </c>
      <c r="B346" s="75" t="s">
        <v>819</v>
      </c>
      <c r="C346" s="188">
        <f>SUM(C347:C347)</f>
        <v>0</v>
      </c>
      <c r="D346" s="188">
        <f t="shared" ref="D346:N346" si="223">SUM(D347:D347)</f>
        <v>0</v>
      </c>
      <c r="E346" s="188">
        <f t="shared" si="223"/>
        <v>0</v>
      </c>
      <c r="F346" s="188">
        <f t="shared" si="223"/>
        <v>0</v>
      </c>
      <c r="G346" s="188">
        <f t="shared" si="223"/>
        <v>0</v>
      </c>
      <c r="H346" s="188">
        <f t="shared" si="223"/>
        <v>0</v>
      </c>
      <c r="I346" s="188">
        <f t="shared" si="223"/>
        <v>0</v>
      </c>
      <c r="J346" s="188">
        <f t="shared" si="223"/>
        <v>0</v>
      </c>
      <c r="K346" s="188">
        <f t="shared" si="223"/>
        <v>0</v>
      </c>
      <c r="L346" s="188">
        <f t="shared" si="223"/>
        <v>0</v>
      </c>
      <c r="M346" s="188">
        <f t="shared" si="223"/>
        <v>0</v>
      </c>
      <c r="N346" s="188">
        <f t="shared" si="223"/>
        <v>0</v>
      </c>
      <c r="O346" s="136">
        <f t="shared" si="218"/>
        <v>0</v>
      </c>
      <c r="Q346" s="104">
        <f t="shared" si="222"/>
        <v>0</v>
      </c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</row>
    <row r="347" spans="1:74" s="83" customFormat="1" ht="28.5" x14ac:dyDescent="0.2">
      <c r="A347" s="72" t="s">
        <v>820</v>
      </c>
      <c r="B347" s="73" t="s">
        <v>235</v>
      </c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136">
        <f t="shared" si="218"/>
        <v>0</v>
      </c>
      <c r="Q347" s="104">
        <f t="shared" si="222"/>
        <v>0</v>
      </c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</row>
    <row r="348" spans="1:74" s="83" customFormat="1" ht="19.5" x14ac:dyDescent="0.2">
      <c r="A348" s="77" t="s">
        <v>821</v>
      </c>
      <c r="B348" s="75" t="s">
        <v>108</v>
      </c>
      <c r="C348" s="152">
        <f>+C349</f>
        <v>5734052268</v>
      </c>
      <c r="D348" s="152">
        <f t="shared" ref="D348:N348" si="224">+D349</f>
        <v>0</v>
      </c>
      <c r="E348" s="152">
        <f t="shared" si="224"/>
        <v>19694419247.690002</v>
      </c>
      <c r="F348" s="152">
        <f t="shared" si="224"/>
        <v>0</v>
      </c>
      <c r="G348" s="152">
        <f>+G349</f>
        <v>145383496457.16998</v>
      </c>
      <c r="H348" s="152">
        <f t="shared" si="224"/>
        <v>0</v>
      </c>
      <c r="I348" s="152">
        <f t="shared" si="224"/>
        <v>0</v>
      </c>
      <c r="J348" s="152">
        <f t="shared" si="224"/>
        <v>455605295</v>
      </c>
      <c r="K348" s="152">
        <f t="shared" si="224"/>
        <v>2645652911.5499997</v>
      </c>
      <c r="L348" s="152">
        <f t="shared" si="224"/>
        <v>0</v>
      </c>
      <c r="M348" s="152">
        <f t="shared" si="224"/>
        <v>19709161</v>
      </c>
      <c r="N348" s="152">
        <f t="shared" si="224"/>
        <v>0</v>
      </c>
      <c r="O348" s="136">
        <f t="shared" si="218"/>
        <v>173932935340.40997</v>
      </c>
      <c r="P348" s="82">
        <v>170811967972.85999</v>
      </c>
      <c r="Q348" s="104">
        <f t="shared" si="222"/>
        <v>-3120967367.5499878</v>
      </c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</row>
    <row r="349" spans="1:74" s="83" customFormat="1" ht="19.5" x14ac:dyDescent="0.2">
      <c r="A349" s="77" t="s">
        <v>822</v>
      </c>
      <c r="B349" s="75" t="s">
        <v>823</v>
      </c>
      <c r="C349" s="152">
        <f>+C350+C354+C415+C419+C423+C432+C473+C480+C513+C515+C517+C519+C521+C524+C526+C528+C530+C532+C534+C536+C538+C540+C542+C544+C546+C549+C551+C553+C555+C557+C559+C561+C563+C565+C567+C569+C571+C573+C575+C577+C586+C589+C592+C595+C596+C598+C600+C602+C604</f>
        <v>5734052268</v>
      </c>
      <c r="D349" s="152">
        <f t="shared" ref="D349:N349" si="225">+D350+D354+D415+D419+D423+D432+D473+D480+D513+D515+D517+D519+D521+D524+D526+D528+D530+D532+D534+D536+D538+D540+D542+D544+D546+D549+D551+D553+D555+D557+D559+D561+D563+D565+D567+D569+D571+D573+D575+D577+D586+D589+D592+D595+D596+D598+D600+D602+D604</f>
        <v>0</v>
      </c>
      <c r="E349" s="152">
        <f t="shared" si="225"/>
        <v>19694419247.690002</v>
      </c>
      <c r="F349" s="152">
        <f t="shared" si="225"/>
        <v>0</v>
      </c>
      <c r="G349" s="152">
        <f t="shared" si="225"/>
        <v>145383496457.16998</v>
      </c>
      <c r="H349" s="152">
        <f t="shared" si="225"/>
        <v>0</v>
      </c>
      <c r="I349" s="152">
        <f t="shared" si="225"/>
        <v>0</v>
      </c>
      <c r="J349" s="152">
        <f t="shared" si="225"/>
        <v>455605295</v>
      </c>
      <c r="K349" s="152">
        <f t="shared" si="225"/>
        <v>2645652911.5499997</v>
      </c>
      <c r="L349" s="152">
        <f t="shared" si="225"/>
        <v>0</v>
      </c>
      <c r="M349" s="152">
        <f t="shared" si="225"/>
        <v>19709161</v>
      </c>
      <c r="N349" s="152">
        <f t="shared" si="225"/>
        <v>0</v>
      </c>
      <c r="O349" s="253">
        <f t="shared" ref="O349" si="226">+O350+O354+O415+O419+O423+O432+O473+O480+O513+O515+O517+O519+O521+O524+O526+O528+O530+O532+O534+O536+O538+O540+O542+O544+O546+O549+O551+O553+O555+O557+O559+O561+O563+O565+O567+O569+O571+O573+O575+O577+O586+O589</f>
        <v>172596707241.68002</v>
      </c>
      <c r="P349" s="82">
        <v>170811967972.85999</v>
      </c>
      <c r="Q349" s="104">
        <f t="shared" si="222"/>
        <v>-1784739268.8200378</v>
      </c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</row>
    <row r="350" spans="1:74" s="83" customFormat="1" ht="58.5" customHeight="1" x14ac:dyDescent="0.2">
      <c r="A350" s="77" t="s">
        <v>824</v>
      </c>
      <c r="B350" s="75" t="s">
        <v>825</v>
      </c>
      <c r="C350" s="152">
        <f t="shared" ref="C350" si="227">SUM(C351:C353)</f>
        <v>5727988989</v>
      </c>
      <c r="D350" s="152">
        <f t="shared" ref="D350:N350" si="228">SUM(D351:D353)</f>
        <v>0</v>
      </c>
      <c r="E350" s="152">
        <f t="shared" si="228"/>
        <v>0</v>
      </c>
      <c r="F350" s="152">
        <f t="shared" si="228"/>
        <v>0</v>
      </c>
      <c r="G350" s="152">
        <f>SUM(G351:G353)</f>
        <v>0</v>
      </c>
      <c r="H350" s="152">
        <f t="shared" si="228"/>
        <v>0</v>
      </c>
      <c r="I350" s="152">
        <f t="shared" si="228"/>
        <v>0</v>
      </c>
      <c r="J350" s="152">
        <f t="shared" si="228"/>
        <v>0</v>
      </c>
      <c r="K350" s="152">
        <f t="shared" si="228"/>
        <v>0</v>
      </c>
      <c r="L350" s="152">
        <f t="shared" si="228"/>
        <v>0</v>
      </c>
      <c r="M350" s="152">
        <f t="shared" si="228"/>
        <v>0</v>
      </c>
      <c r="N350" s="152">
        <f t="shared" si="228"/>
        <v>0</v>
      </c>
      <c r="O350" s="136">
        <f t="shared" si="218"/>
        <v>5727988989</v>
      </c>
      <c r="P350" s="82">
        <v>5727988989</v>
      </c>
      <c r="Q350" s="104">
        <f t="shared" si="222"/>
        <v>0</v>
      </c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</row>
    <row r="351" spans="1:74" s="83" customFormat="1" ht="28.5" x14ac:dyDescent="0.2">
      <c r="A351" s="72" t="s">
        <v>826</v>
      </c>
      <c r="B351" s="73" t="s">
        <v>827</v>
      </c>
      <c r="C351" s="39">
        <v>574700</v>
      </c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136">
        <f t="shared" si="218"/>
        <v>574700</v>
      </c>
      <c r="P351" s="82">
        <v>574700</v>
      </c>
      <c r="Q351" s="104">
        <f t="shared" si="222"/>
        <v>0</v>
      </c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</row>
    <row r="352" spans="1:74" s="83" customFormat="1" ht="57" x14ac:dyDescent="0.2">
      <c r="A352" s="72" t="s">
        <v>828</v>
      </c>
      <c r="B352" s="73" t="s">
        <v>829</v>
      </c>
      <c r="C352" s="39">
        <v>5709414289</v>
      </c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136">
        <f t="shared" si="218"/>
        <v>5709414289</v>
      </c>
      <c r="P352" s="82">
        <v>5709414289</v>
      </c>
      <c r="Q352" s="104">
        <f t="shared" si="222"/>
        <v>0</v>
      </c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</row>
    <row r="353" spans="1:74" s="83" customFormat="1" ht="42.75" x14ac:dyDescent="0.2">
      <c r="A353" s="72" t="s">
        <v>830</v>
      </c>
      <c r="B353" s="73" t="s">
        <v>831</v>
      </c>
      <c r="C353" s="39">
        <v>18000000</v>
      </c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136">
        <f t="shared" si="218"/>
        <v>18000000</v>
      </c>
      <c r="P353" s="82">
        <v>18000000</v>
      </c>
      <c r="Q353" s="104">
        <f t="shared" si="222"/>
        <v>0</v>
      </c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</row>
    <row r="354" spans="1:74" s="83" customFormat="1" ht="31.5" x14ac:dyDescent="0.2">
      <c r="A354" s="77" t="s">
        <v>832</v>
      </c>
      <c r="B354" s="75" t="s">
        <v>833</v>
      </c>
      <c r="C354" s="152">
        <f>+C355+C357+C361+C363+C383+C384+C385+C386+C387+C388+C389+C390+C391+C392+C393+C394+C395+C396+C397+C398+C399+C400+C401+C402+C403+C404+C405+C406+C408+C410+C411+C412+C413+C414+C407+C409</f>
        <v>6063279</v>
      </c>
      <c r="D354" s="152">
        <f t="shared" ref="D354:N354" si="229">+D355+D357+D361+D363+D383+D384+D385+D386+D387+D388+D389+D390+D391+D392+D393+D394+D395+D396+D397+D398+D399+D400+D401+D402+D403+D404+D405+D406+D408+D410+D411+D412+D413+D414+D407+D409</f>
        <v>0</v>
      </c>
      <c r="E354" s="152">
        <f t="shared" si="229"/>
        <v>779972439.33000004</v>
      </c>
      <c r="F354" s="152">
        <f t="shared" si="229"/>
        <v>0</v>
      </c>
      <c r="G354" s="152">
        <f t="shared" si="229"/>
        <v>7839414227.6299992</v>
      </c>
      <c r="H354" s="152">
        <f t="shared" si="229"/>
        <v>0</v>
      </c>
      <c r="I354" s="152">
        <f t="shared" si="229"/>
        <v>0</v>
      </c>
      <c r="J354" s="152">
        <f t="shared" si="229"/>
        <v>86303116</v>
      </c>
      <c r="K354" s="152">
        <f t="shared" si="229"/>
        <v>209582434.37</v>
      </c>
      <c r="L354" s="152">
        <f t="shared" si="229"/>
        <v>0</v>
      </c>
      <c r="M354" s="152">
        <f t="shared" si="229"/>
        <v>0</v>
      </c>
      <c r="N354" s="152">
        <f t="shared" si="229"/>
        <v>0</v>
      </c>
      <c r="O354" s="136">
        <f t="shared" si="218"/>
        <v>8921335496.3299999</v>
      </c>
      <c r="P354" s="82">
        <v>8625449945.9599991</v>
      </c>
      <c r="Q354" s="104">
        <f t="shared" si="222"/>
        <v>-295885550.37000084</v>
      </c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</row>
    <row r="355" spans="1:74" s="83" customFormat="1" ht="31.5" x14ac:dyDescent="0.2">
      <c r="A355" s="77" t="s">
        <v>834</v>
      </c>
      <c r="B355" s="75" t="s">
        <v>835</v>
      </c>
      <c r="C355" s="152">
        <f>+C356</f>
        <v>6063279</v>
      </c>
      <c r="D355" s="152">
        <f t="shared" ref="D355:N355" si="230">+D356</f>
        <v>0</v>
      </c>
      <c r="E355" s="152">
        <f t="shared" si="230"/>
        <v>0</v>
      </c>
      <c r="F355" s="152">
        <f t="shared" si="230"/>
        <v>0</v>
      </c>
      <c r="G355" s="152">
        <f t="shared" si="230"/>
        <v>0</v>
      </c>
      <c r="H355" s="152">
        <f t="shared" si="230"/>
        <v>0</v>
      </c>
      <c r="I355" s="152">
        <f t="shared" si="230"/>
        <v>0</v>
      </c>
      <c r="J355" s="152">
        <f t="shared" si="230"/>
        <v>0</v>
      </c>
      <c r="K355" s="152">
        <f t="shared" si="230"/>
        <v>0</v>
      </c>
      <c r="L355" s="152">
        <f t="shared" si="230"/>
        <v>0</v>
      </c>
      <c r="M355" s="152">
        <f t="shared" si="230"/>
        <v>0</v>
      </c>
      <c r="N355" s="152">
        <f t="shared" si="230"/>
        <v>0</v>
      </c>
      <c r="O355" s="136">
        <f t="shared" si="218"/>
        <v>6063279</v>
      </c>
      <c r="P355" s="82">
        <v>6063279</v>
      </c>
      <c r="Q355" s="104">
        <f t="shared" si="222"/>
        <v>0</v>
      </c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</row>
    <row r="356" spans="1:74" s="83" customFormat="1" ht="28.5" x14ac:dyDescent="0.2">
      <c r="A356" s="72" t="s">
        <v>836</v>
      </c>
      <c r="B356" s="73" t="s">
        <v>835</v>
      </c>
      <c r="C356" s="39">
        <v>6063279</v>
      </c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136">
        <f t="shared" si="218"/>
        <v>6063279</v>
      </c>
      <c r="P356" s="82">
        <v>6063279</v>
      </c>
      <c r="Q356" s="104">
        <f t="shared" si="222"/>
        <v>0</v>
      </c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</row>
    <row r="357" spans="1:74" s="83" customFormat="1" ht="31.5" x14ac:dyDescent="0.2">
      <c r="A357" s="77" t="s">
        <v>1171</v>
      </c>
      <c r="B357" s="75" t="s">
        <v>1172</v>
      </c>
      <c r="C357" s="152">
        <f>SUM(C358:C360)</f>
        <v>0</v>
      </c>
      <c r="D357" s="152">
        <f t="shared" ref="D357:N357" si="231">SUM(D358:D360)</f>
        <v>0</v>
      </c>
      <c r="E357" s="152">
        <f t="shared" si="231"/>
        <v>725437500</v>
      </c>
      <c r="F357" s="152">
        <f t="shared" si="231"/>
        <v>0</v>
      </c>
      <c r="G357" s="152">
        <f t="shared" si="231"/>
        <v>612356670.00999999</v>
      </c>
      <c r="H357" s="152">
        <f t="shared" si="231"/>
        <v>0</v>
      </c>
      <c r="I357" s="152">
        <f t="shared" si="231"/>
        <v>0</v>
      </c>
      <c r="J357" s="152">
        <f t="shared" si="231"/>
        <v>0</v>
      </c>
      <c r="K357" s="152">
        <f t="shared" si="231"/>
        <v>209499980</v>
      </c>
      <c r="L357" s="152">
        <f t="shared" si="231"/>
        <v>0</v>
      </c>
      <c r="M357" s="152">
        <f t="shared" si="231"/>
        <v>0</v>
      </c>
      <c r="N357" s="152">
        <f t="shared" si="231"/>
        <v>0</v>
      </c>
      <c r="O357" s="136">
        <f t="shared" si="218"/>
        <v>1547294150.01</v>
      </c>
      <c r="P357" s="82">
        <v>1337794170.01</v>
      </c>
      <c r="Q357" s="104">
        <f t="shared" si="222"/>
        <v>-209499980</v>
      </c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</row>
    <row r="358" spans="1:74" s="234" customFormat="1" ht="28.5" x14ac:dyDescent="0.2">
      <c r="A358" s="72" t="s">
        <v>1173</v>
      </c>
      <c r="B358" s="73" t="s">
        <v>1172</v>
      </c>
      <c r="C358" s="124"/>
      <c r="D358" s="124"/>
      <c r="E358" s="124"/>
      <c r="F358" s="124"/>
      <c r="G358" s="124">
        <v>612356670.00999999</v>
      </c>
      <c r="H358" s="124"/>
      <c r="I358" s="124"/>
      <c r="J358" s="124"/>
      <c r="K358" s="124"/>
      <c r="L358" s="124"/>
      <c r="M358" s="124"/>
      <c r="N358" s="124"/>
      <c r="O358" s="136">
        <f t="shared" si="218"/>
        <v>612356670.00999999</v>
      </c>
      <c r="P358" s="82">
        <v>612356670.00999999</v>
      </c>
      <c r="Q358" s="104">
        <f t="shared" si="222"/>
        <v>0</v>
      </c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</row>
    <row r="359" spans="1:74" s="83" customFormat="1" ht="28.5" x14ac:dyDescent="0.2">
      <c r="A359" s="72" t="s">
        <v>1173</v>
      </c>
      <c r="B359" s="73" t="s">
        <v>1172</v>
      </c>
      <c r="C359" s="39"/>
      <c r="D359" s="39"/>
      <c r="E359" s="39">
        <v>725437500</v>
      </c>
      <c r="F359" s="39"/>
      <c r="G359" s="39"/>
      <c r="H359" s="39"/>
      <c r="I359" s="39"/>
      <c r="J359" s="39"/>
      <c r="K359" s="39"/>
      <c r="L359" s="39"/>
      <c r="M359" s="39"/>
      <c r="N359" s="39"/>
      <c r="O359" s="136">
        <f t="shared" si="218"/>
        <v>725437500</v>
      </c>
      <c r="P359" s="82">
        <v>725437500</v>
      </c>
      <c r="Q359" s="104">
        <f t="shared" si="222"/>
        <v>0</v>
      </c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</row>
    <row r="360" spans="1:74" s="83" customFormat="1" ht="28.5" x14ac:dyDescent="0.2">
      <c r="A360" s="72" t="s">
        <v>1173</v>
      </c>
      <c r="B360" s="73" t="s">
        <v>1172</v>
      </c>
      <c r="C360" s="39"/>
      <c r="D360" s="39"/>
      <c r="E360" s="39"/>
      <c r="F360" s="39"/>
      <c r="G360" s="39"/>
      <c r="H360" s="39"/>
      <c r="I360" s="39"/>
      <c r="J360" s="39"/>
      <c r="K360" s="39">
        <v>209499980</v>
      </c>
      <c r="L360" s="39"/>
      <c r="M360" s="39"/>
      <c r="N360" s="39"/>
      <c r="O360" s="136">
        <f t="shared" si="218"/>
        <v>209499980</v>
      </c>
      <c r="P360" s="82"/>
      <c r="Q360" s="104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</row>
    <row r="361" spans="1:74" s="83" customFormat="1" ht="47.25" x14ac:dyDescent="0.2">
      <c r="A361" s="77" t="s">
        <v>1174</v>
      </c>
      <c r="B361" s="75" t="s">
        <v>1175</v>
      </c>
      <c r="C361" s="152">
        <f>+C362</f>
        <v>0</v>
      </c>
      <c r="D361" s="152">
        <f t="shared" ref="D361:N361" si="232">+D362</f>
        <v>0</v>
      </c>
      <c r="E361" s="152">
        <f t="shared" si="232"/>
        <v>54534939.329999998</v>
      </c>
      <c r="F361" s="152">
        <f t="shared" si="232"/>
        <v>0</v>
      </c>
      <c r="G361" s="152">
        <f>+G362</f>
        <v>0</v>
      </c>
      <c r="H361" s="152">
        <f t="shared" si="232"/>
        <v>0</v>
      </c>
      <c r="I361" s="152">
        <f t="shared" si="232"/>
        <v>0</v>
      </c>
      <c r="J361" s="152">
        <f t="shared" si="232"/>
        <v>0</v>
      </c>
      <c r="K361" s="152">
        <f t="shared" si="232"/>
        <v>0</v>
      </c>
      <c r="L361" s="152">
        <f t="shared" si="232"/>
        <v>0</v>
      </c>
      <c r="M361" s="152">
        <f t="shared" si="232"/>
        <v>0</v>
      </c>
      <c r="N361" s="152">
        <f t="shared" si="232"/>
        <v>0</v>
      </c>
      <c r="O361" s="136">
        <f t="shared" si="218"/>
        <v>54534939.329999998</v>
      </c>
      <c r="P361" s="82">
        <v>54534939.329999998</v>
      </c>
      <c r="Q361" s="104">
        <f t="shared" si="222"/>
        <v>0</v>
      </c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</row>
    <row r="362" spans="1:74" s="83" customFormat="1" ht="57" x14ac:dyDescent="0.2">
      <c r="A362" s="72" t="s">
        <v>1176</v>
      </c>
      <c r="B362" s="73" t="s">
        <v>1177</v>
      </c>
      <c r="C362" s="39"/>
      <c r="D362" s="39"/>
      <c r="E362" s="39">
        <v>54534939.329999998</v>
      </c>
      <c r="F362" s="39"/>
      <c r="G362" s="39"/>
      <c r="H362" s="39"/>
      <c r="I362" s="39"/>
      <c r="J362" s="39"/>
      <c r="K362" s="39"/>
      <c r="L362" s="39"/>
      <c r="M362" s="39"/>
      <c r="N362" s="39"/>
      <c r="O362" s="136">
        <f t="shared" si="218"/>
        <v>54534939.329999998</v>
      </c>
      <c r="P362" s="82">
        <v>54534939.329999998</v>
      </c>
      <c r="Q362" s="104">
        <f t="shared" si="222"/>
        <v>0</v>
      </c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</row>
    <row r="363" spans="1:74" s="108" customFormat="1" ht="31.5" x14ac:dyDescent="0.2">
      <c r="A363" s="77" t="s">
        <v>1229</v>
      </c>
      <c r="B363" s="75" t="s">
        <v>1230</v>
      </c>
      <c r="C363" s="141">
        <f>SUM(C364:C382)</f>
        <v>0</v>
      </c>
      <c r="D363" s="141">
        <f t="shared" ref="D363:N363" si="233">SUM(D364:D382)</f>
        <v>0</v>
      </c>
      <c r="E363" s="141">
        <f t="shared" si="233"/>
        <v>0</v>
      </c>
      <c r="F363" s="141">
        <f t="shared" si="233"/>
        <v>0</v>
      </c>
      <c r="G363" s="141">
        <f t="shared" si="233"/>
        <v>3598645853.5599999</v>
      </c>
      <c r="H363" s="141">
        <f t="shared" si="233"/>
        <v>0</v>
      </c>
      <c r="I363" s="141">
        <f t="shared" si="233"/>
        <v>0</v>
      </c>
      <c r="J363" s="141">
        <f t="shared" si="233"/>
        <v>0</v>
      </c>
      <c r="K363" s="141">
        <f t="shared" si="233"/>
        <v>0</v>
      </c>
      <c r="L363" s="141">
        <f t="shared" si="233"/>
        <v>0</v>
      </c>
      <c r="M363" s="141">
        <f t="shared" si="233"/>
        <v>0</v>
      </c>
      <c r="N363" s="141">
        <f t="shared" si="233"/>
        <v>0</v>
      </c>
      <c r="O363" s="136">
        <f t="shared" si="218"/>
        <v>3598645853.5599999</v>
      </c>
      <c r="P363" s="82">
        <v>3598645853.5599999</v>
      </c>
      <c r="Q363" s="104">
        <f t="shared" si="222"/>
        <v>0</v>
      </c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</row>
    <row r="364" spans="1:74" s="83" customFormat="1" ht="28.5" x14ac:dyDescent="0.2">
      <c r="A364" s="72" t="s">
        <v>1231</v>
      </c>
      <c r="B364" s="73" t="s">
        <v>1232</v>
      </c>
      <c r="C364" s="39"/>
      <c r="D364" s="39"/>
      <c r="E364" s="39"/>
      <c r="F364" s="39"/>
      <c r="G364" s="39">
        <v>1902148.61</v>
      </c>
      <c r="H364" s="39"/>
      <c r="I364" s="39"/>
      <c r="J364" s="39"/>
      <c r="K364" s="39"/>
      <c r="L364" s="39"/>
      <c r="M364" s="39"/>
      <c r="N364" s="39"/>
      <c r="O364" s="136">
        <f t="shared" si="218"/>
        <v>1902148.61</v>
      </c>
      <c r="P364" s="82">
        <v>1902148.61</v>
      </c>
      <c r="Q364" s="104">
        <f t="shared" si="222"/>
        <v>0</v>
      </c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</row>
    <row r="365" spans="1:74" s="83" customFormat="1" ht="28.5" x14ac:dyDescent="0.2">
      <c r="A365" s="72" t="s">
        <v>1233</v>
      </c>
      <c r="B365" s="73" t="s">
        <v>1234</v>
      </c>
      <c r="C365" s="39"/>
      <c r="D365" s="39"/>
      <c r="E365" s="39"/>
      <c r="F365" s="39"/>
      <c r="G365" s="39">
        <v>1621491649.77</v>
      </c>
      <c r="H365" s="39"/>
      <c r="I365" s="39"/>
      <c r="J365" s="39"/>
      <c r="K365" s="39"/>
      <c r="L365" s="39"/>
      <c r="M365" s="39"/>
      <c r="N365" s="39"/>
      <c r="O365" s="136">
        <f t="shared" si="218"/>
        <v>1621491649.77</v>
      </c>
      <c r="P365" s="82">
        <v>1621491649.77</v>
      </c>
      <c r="Q365" s="104">
        <f t="shared" si="222"/>
        <v>0</v>
      </c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</row>
    <row r="366" spans="1:74" s="83" customFormat="1" ht="42.75" x14ac:dyDescent="0.2">
      <c r="A366" s="72" t="s">
        <v>1235</v>
      </c>
      <c r="B366" s="73" t="s">
        <v>1236</v>
      </c>
      <c r="C366" s="39"/>
      <c r="D366" s="39"/>
      <c r="E366" s="39"/>
      <c r="F366" s="39"/>
      <c r="G366" s="39">
        <v>177998545.74000001</v>
      </c>
      <c r="H366" s="39"/>
      <c r="I366" s="39"/>
      <c r="J366" s="39"/>
      <c r="K366" s="39"/>
      <c r="L366" s="39"/>
      <c r="M366" s="39"/>
      <c r="N366" s="39"/>
      <c r="O366" s="136">
        <f t="shared" si="218"/>
        <v>177998545.74000001</v>
      </c>
      <c r="P366" s="82">
        <v>177998545.74000001</v>
      </c>
      <c r="Q366" s="104">
        <f t="shared" si="222"/>
        <v>0</v>
      </c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</row>
    <row r="367" spans="1:74" s="83" customFormat="1" ht="28.5" x14ac:dyDescent="0.2">
      <c r="A367" s="72" t="s">
        <v>1237</v>
      </c>
      <c r="B367" s="73" t="s">
        <v>1238</v>
      </c>
      <c r="C367" s="39"/>
      <c r="D367" s="39"/>
      <c r="E367" s="39"/>
      <c r="F367" s="39"/>
      <c r="G367" s="39">
        <v>381321589.42000002</v>
      </c>
      <c r="H367" s="39"/>
      <c r="I367" s="39"/>
      <c r="J367" s="39"/>
      <c r="K367" s="39"/>
      <c r="L367" s="39"/>
      <c r="M367" s="39"/>
      <c r="N367" s="39"/>
      <c r="O367" s="136">
        <f t="shared" si="218"/>
        <v>381321589.42000002</v>
      </c>
      <c r="P367" s="82">
        <v>381321589.42000002</v>
      </c>
      <c r="Q367" s="104">
        <f t="shared" si="222"/>
        <v>0</v>
      </c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</row>
    <row r="368" spans="1:74" s="83" customFormat="1" ht="28.5" x14ac:dyDescent="0.2">
      <c r="A368" s="72" t="s">
        <v>1239</v>
      </c>
      <c r="B368" s="73" t="s">
        <v>1240</v>
      </c>
      <c r="C368" s="39"/>
      <c r="D368" s="39"/>
      <c r="E368" s="39"/>
      <c r="F368" s="39"/>
      <c r="G368" s="39">
        <v>84461834.549999997</v>
      </c>
      <c r="H368" s="39"/>
      <c r="I368" s="39"/>
      <c r="J368" s="39"/>
      <c r="K368" s="39"/>
      <c r="L368" s="39"/>
      <c r="M368" s="39"/>
      <c r="N368" s="39"/>
      <c r="O368" s="136">
        <f t="shared" si="218"/>
        <v>84461834.549999997</v>
      </c>
      <c r="P368" s="82">
        <v>84461834.549999997</v>
      </c>
      <c r="Q368" s="104">
        <f t="shared" si="222"/>
        <v>0</v>
      </c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</row>
    <row r="369" spans="1:74" s="83" customFormat="1" ht="28.5" x14ac:dyDescent="0.2">
      <c r="A369" s="72" t="s">
        <v>1241</v>
      </c>
      <c r="B369" s="73" t="s">
        <v>1242</v>
      </c>
      <c r="C369" s="39"/>
      <c r="D369" s="39"/>
      <c r="E369" s="39"/>
      <c r="F369" s="39"/>
      <c r="G369" s="39">
        <v>130177270.2</v>
      </c>
      <c r="H369" s="39"/>
      <c r="I369" s="39"/>
      <c r="J369" s="39"/>
      <c r="K369" s="39"/>
      <c r="L369" s="39"/>
      <c r="M369" s="39"/>
      <c r="N369" s="39"/>
      <c r="O369" s="136">
        <f t="shared" si="218"/>
        <v>130177270.2</v>
      </c>
      <c r="P369" s="82">
        <v>130177270.2</v>
      </c>
      <c r="Q369" s="104">
        <f t="shared" si="222"/>
        <v>0</v>
      </c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</row>
    <row r="370" spans="1:74" s="83" customFormat="1" ht="57" x14ac:dyDescent="0.2">
      <c r="A370" s="72" t="s">
        <v>1243</v>
      </c>
      <c r="B370" s="73" t="s">
        <v>1244</v>
      </c>
      <c r="C370" s="39"/>
      <c r="D370" s="39"/>
      <c r="E370" s="39"/>
      <c r="F370" s="39"/>
      <c r="G370" s="39">
        <v>132503403.73999999</v>
      </c>
      <c r="H370" s="39"/>
      <c r="I370" s="39"/>
      <c r="J370" s="39"/>
      <c r="K370" s="39"/>
      <c r="L370" s="39"/>
      <c r="M370" s="39"/>
      <c r="N370" s="39"/>
      <c r="O370" s="136">
        <f t="shared" si="218"/>
        <v>132503403.73999999</v>
      </c>
      <c r="P370" s="82">
        <v>132503403.73999999</v>
      </c>
      <c r="Q370" s="104">
        <f t="shared" si="222"/>
        <v>0</v>
      </c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</row>
    <row r="371" spans="1:74" s="83" customFormat="1" ht="42.75" x14ac:dyDescent="0.2">
      <c r="A371" s="72" t="s">
        <v>1245</v>
      </c>
      <c r="B371" s="73" t="s">
        <v>1246</v>
      </c>
      <c r="C371" s="39"/>
      <c r="D371" s="39"/>
      <c r="E371" s="39"/>
      <c r="F371" s="39"/>
      <c r="G371" s="39">
        <v>2966244.44</v>
      </c>
      <c r="H371" s="39"/>
      <c r="I371" s="39"/>
      <c r="J371" s="39"/>
      <c r="K371" s="39"/>
      <c r="L371" s="39"/>
      <c r="M371" s="39"/>
      <c r="N371" s="39"/>
      <c r="O371" s="136">
        <f t="shared" si="218"/>
        <v>2966244.44</v>
      </c>
      <c r="P371" s="82">
        <v>2966244.44</v>
      </c>
      <c r="Q371" s="104">
        <f t="shared" si="222"/>
        <v>0</v>
      </c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</row>
    <row r="372" spans="1:74" s="83" customFormat="1" ht="42.75" x14ac:dyDescent="0.2">
      <c r="A372" s="72" t="s">
        <v>1247</v>
      </c>
      <c r="B372" s="73" t="s">
        <v>1248</v>
      </c>
      <c r="C372" s="39"/>
      <c r="D372" s="39"/>
      <c r="E372" s="39"/>
      <c r="F372" s="39"/>
      <c r="G372" s="39">
        <v>77303408.400000006</v>
      </c>
      <c r="H372" s="39"/>
      <c r="I372" s="39"/>
      <c r="J372" s="39"/>
      <c r="K372" s="39"/>
      <c r="L372" s="39"/>
      <c r="M372" s="39"/>
      <c r="N372" s="39"/>
      <c r="O372" s="136">
        <f t="shared" si="218"/>
        <v>77303408.400000006</v>
      </c>
      <c r="P372" s="82">
        <v>77303408.400000006</v>
      </c>
      <c r="Q372" s="104">
        <f t="shared" si="222"/>
        <v>0</v>
      </c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</row>
    <row r="373" spans="1:74" s="83" customFormat="1" ht="42.75" x14ac:dyDescent="0.2">
      <c r="A373" s="72" t="s">
        <v>1249</v>
      </c>
      <c r="B373" s="73" t="s">
        <v>1250</v>
      </c>
      <c r="C373" s="39"/>
      <c r="D373" s="39"/>
      <c r="E373" s="39"/>
      <c r="F373" s="39"/>
      <c r="G373" s="39">
        <v>113234205.3</v>
      </c>
      <c r="H373" s="39"/>
      <c r="I373" s="39"/>
      <c r="J373" s="39"/>
      <c r="K373" s="39"/>
      <c r="L373" s="39"/>
      <c r="M373" s="39"/>
      <c r="N373" s="39"/>
      <c r="O373" s="136">
        <f t="shared" si="218"/>
        <v>113234205.3</v>
      </c>
      <c r="P373" s="82">
        <v>113234205.3</v>
      </c>
      <c r="Q373" s="104">
        <f t="shared" si="222"/>
        <v>0</v>
      </c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</row>
    <row r="374" spans="1:74" s="83" customFormat="1" ht="42.75" x14ac:dyDescent="0.2">
      <c r="A374" s="72" t="s">
        <v>1251</v>
      </c>
      <c r="B374" s="73" t="s">
        <v>1252</v>
      </c>
      <c r="C374" s="39"/>
      <c r="D374" s="39"/>
      <c r="E374" s="39"/>
      <c r="F374" s="39"/>
      <c r="G374" s="39">
        <v>153953647.03999999</v>
      </c>
      <c r="H374" s="39"/>
      <c r="I374" s="39"/>
      <c r="J374" s="39"/>
      <c r="K374" s="39"/>
      <c r="L374" s="39"/>
      <c r="M374" s="39"/>
      <c r="N374" s="39"/>
      <c r="O374" s="136">
        <f t="shared" si="218"/>
        <v>153953647.03999999</v>
      </c>
      <c r="P374" s="82">
        <v>153953647.03999999</v>
      </c>
      <c r="Q374" s="104">
        <f t="shared" si="222"/>
        <v>0</v>
      </c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</row>
    <row r="375" spans="1:74" s="83" customFormat="1" ht="42.75" x14ac:dyDescent="0.2">
      <c r="A375" s="72" t="s">
        <v>1253</v>
      </c>
      <c r="B375" s="73" t="s">
        <v>1254</v>
      </c>
      <c r="C375" s="39"/>
      <c r="D375" s="39"/>
      <c r="E375" s="39"/>
      <c r="F375" s="39"/>
      <c r="G375" s="39">
        <v>315352581.86000001</v>
      </c>
      <c r="H375" s="39"/>
      <c r="I375" s="39"/>
      <c r="J375" s="39"/>
      <c r="K375" s="39"/>
      <c r="L375" s="39"/>
      <c r="M375" s="39"/>
      <c r="N375" s="39"/>
      <c r="O375" s="136">
        <f t="shared" si="218"/>
        <v>315352581.86000001</v>
      </c>
      <c r="P375" s="82">
        <v>315352581.86000001</v>
      </c>
      <c r="Q375" s="104">
        <f t="shared" si="222"/>
        <v>0</v>
      </c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</row>
    <row r="376" spans="1:74" s="83" customFormat="1" ht="42.75" x14ac:dyDescent="0.2">
      <c r="A376" s="72" t="s">
        <v>1255</v>
      </c>
      <c r="B376" s="73" t="s">
        <v>1256</v>
      </c>
      <c r="C376" s="39"/>
      <c r="D376" s="39"/>
      <c r="E376" s="39"/>
      <c r="F376" s="39"/>
      <c r="G376" s="39">
        <v>103246582.93000001</v>
      </c>
      <c r="H376" s="39"/>
      <c r="I376" s="39"/>
      <c r="J376" s="39"/>
      <c r="K376" s="39"/>
      <c r="L376" s="39"/>
      <c r="M376" s="39"/>
      <c r="N376" s="39"/>
      <c r="O376" s="136">
        <f t="shared" si="218"/>
        <v>103246582.93000001</v>
      </c>
      <c r="P376" s="82">
        <v>103246582.93000001</v>
      </c>
      <c r="Q376" s="104">
        <f t="shared" si="222"/>
        <v>0</v>
      </c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</row>
    <row r="377" spans="1:74" s="83" customFormat="1" ht="42.75" x14ac:dyDescent="0.2">
      <c r="A377" s="72" t="s">
        <v>1257</v>
      </c>
      <c r="B377" s="73" t="s">
        <v>1258</v>
      </c>
      <c r="C377" s="39"/>
      <c r="D377" s="39"/>
      <c r="E377" s="39"/>
      <c r="F377" s="39"/>
      <c r="G377" s="39">
        <v>99917502.230000004</v>
      </c>
      <c r="H377" s="39"/>
      <c r="I377" s="39"/>
      <c r="J377" s="39"/>
      <c r="K377" s="39"/>
      <c r="L377" s="39"/>
      <c r="M377" s="39"/>
      <c r="N377" s="39"/>
      <c r="O377" s="136">
        <f t="shared" si="218"/>
        <v>99917502.230000004</v>
      </c>
      <c r="P377" s="82">
        <v>99917502.230000004</v>
      </c>
      <c r="Q377" s="104">
        <f t="shared" si="222"/>
        <v>0</v>
      </c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</row>
    <row r="378" spans="1:74" s="83" customFormat="1" ht="42.75" x14ac:dyDescent="0.2">
      <c r="A378" s="72" t="s">
        <v>1259</v>
      </c>
      <c r="B378" s="73" t="s">
        <v>1260</v>
      </c>
      <c r="C378" s="39"/>
      <c r="D378" s="39"/>
      <c r="E378" s="39"/>
      <c r="F378" s="39"/>
      <c r="G378" s="39">
        <v>63729352.200000003</v>
      </c>
      <c r="H378" s="39"/>
      <c r="I378" s="39"/>
      <c r="J378" s="39"/>
      <c r="K378" s="39"/>
      <c r="L378" s="39"/>
      <c r="M378" s="39"/>
      <c r="N378" s="39"/>
      <c r="O378" s="136">
        <f t="shared" si="218"/>
        <v>63729352.200000003</v>
      </c>
      <c r="P378" s="82">
        <v>63729352.200000003</v>
      </c>
      <c r="Q378" s="104">
        <f t="shared" si="222"/>
        <v>0</v>
      </c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</row>
    <row r="379" spans="1:74" s="239" customFormat="1" ht="28.5" x14ac:dyDescent="0.2">
      <c r="A379" s="236" t="s">
        <v>1261</v>
      </c>
      <c r="B379" s="237" t="s">
        <v>1262</v>
      </c>
      <c r="C379" s="246"/>
      <c r="D379" s="246"/>
      <c r="E379" s="246"/>
      <c r="F379" s="246"/>
      <c r="G379" s="246">
        <v>15067397.539999999</v>
      </c>
      <c r="H379" s="246"/>
      <c r="I379" s="246"/>
      <c r="J379" s="246"/>
      <c r="K379" s="246"/>
      <c r="L379" s="246"/>
      <c r="M379" s="246"/>
      <c r="N379" s="246"/>
      <c r="O379" s="136">
        <f t="shared" si="218"/>
        <v>15067397.539999999</v>
      </c>
      <c r="P379" s="105">
        <v>15067397.539999999</v>
      </c>
      <c r="Q379" s="104">
        <f t="shared" si="222"/>
        <v>0</v>
      </c>
      <c r="R379" s="238"/>
      <c r="S379" s="238"/>
      <c r="T379" s="238"/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</row>
    <row r="380" spans="1:74" s="83" customFormat="1" ht="57" x14ac:dyDescent="0.2">
      <c r="A380" s="72" t="s">
        <v>1264</v>
      </c>
      <c r="B380" s="73" t="s">
        <v>1265</v>
      </c>
      <c r="C380" s="39"/>
      <c r="D380" s="39"/>
      <c r="E380" s="39"/>
      <c r="F380" s="39"/>
      <c r="G380" s="39">
        <v>67466552.810000002</v>
      </c>
      <c r="H380" s="39"/>
      <c r="I380" s="39"/>
      <c r="J380" s="39"/>
      <c r="K380" s="39"/>
      <c r="L380" s="39"/>
      <c r="M380" s="39"/>
      <c r="N380" s="39"/>
      <c r="O380" s="136">
        <f t="shared" si="218"/>
        <v>67466552.810000002</v>
      </c>
      <c r="P380" s="82">
        <v>67466552.810000002</v>
      </c>
      <c r="Q380" s="104">
        <f t="shared" si="222"/>
        <v>0</v>
      </c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</row>
    <row r="381" spans="1:74" s="83" customFormat="1" ht="28.5" x14ac:dyDescent="0.2">
      <c r="A381" s="72" t="s">
        <v>1830</v>
      </c>
      <c r="B381" s="73" t="s">
        <v>1263</v>
      </c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136">
        <f t="shared" si="218"/>
        <v>0</v>
      </c>
      <c r="P381" s="82"/>
      <c r="Q381" s="104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</row>
    <row r="382" spans="1:74" s="239" customFormat="1" ht="28.5" x14ac:dyDescent="0.2">
      <c r="A382" s="236" t="s">
        <v>1820</v>
      </c>
      <c r="B382" s="237" t="s">
        <v>1263</v>
      </c>
      <c r="C382" s="246"/>
      <c r="D382" s="246"/>
      <c r="E382" s="246"/>
      <c r="F382" s="246"/>
      <c r="G382" s="246">
        <v>56551936.780000001</v>
      </c>
      <c r="H382" s="246"/>
      <c r="I382" s="246"/>
      <c r="J382" s="246"/>
      <c r="K382" s="246"/>
      <c r="L382" s="246"/>
      <c r="M382" s="246"/>
      <c r="N382" s="246"/>
      <c r="O382" s="136">
        <f t="shared" si="218"/>
        <v>56551936.780000001</v>
      </c>
      <c r="P382" s="105">
        <v>56551936.780000001</v>
      </c>
      <c r="Q382" s="104">
        <f>+P382-O382</f>
        <v>0</v>
      </c>
      <c r="R382" s="238"/>
      <c r="S382" s="238"/>
      <c r="T382" s="238"/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</row>
    <row r="383" spans="1:74" s="83" customFormat="1" ht="28.5" x14ac:dyDescent="0.2">
      <c r="A383" s="72" t="s">
        <v>1266</v>
      </c>
      <c r="B383" s="73" t="s">
        <v>1267</v>
      </c>
      <c r="C383" s="39"/>
      <c r="D383" s="39"/>
      <c r="E383" s="39"/>
      <c r="F383" s="39"/>
      <c r="G383" s="39">
        <v>10991322</v>
      </c>
      <c r="H383" s="39"/>
      <c r="I383" s="39"/>
      <c r="J383" s="39"/>
      <c r="K383" s="39"/>
      <c r="L383" s="39"/>
      <c r="M383" s="39"/>
      <c r="N383" s="39"/>
      <c r="O383" s="136">
        <f t="shared" si="218"/>
        <v>10991322</v>
      </c>
      <c r="P383" s="82">
        <v>10991322</v>
      </c>
      <c r="Q383" s="104">
        <f t="shared" si="222"/>
        <v>0</v>
      </c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</row>
    <row r="384" spans="1:74" s="83" customFormat="1" ht="28.5" x14ac:dyDescent="0.2">
      <c r="A384" s="72" t="s">
        <v>1268</v>
      </c>
      <c r="B384" s="73" t="s">
        <v>1269</v>
      </c>
      <c r="C384" s="39"/>
      <c r="D384" s="39"/>
      <c r="E384" s="39"/>
      <c r="F384" s="39"/>
      <c r="G384" s="39">
        <v>9502617</v>
      </c>
      <c r="H384" s="39"/>
      <c r="I384" s="39"/>
      <c r="J384" s="39"/>
      <c r="K384" s="39"/>
      <c r="L384" s="39"/>
      <c r="M384" s="39"/>
      <c r="N384" s="39"/>
      <c r="O384" s="136">
        <f t="shared" si="218"/>
        <v>9502617</v>
      </c>
      <c r="P384" s="82">
        <v>9502617</v>
      </c>
      <c r="Q384" s="104">
        <f t="shared" si="222"/>
        <v>0</v>
      </c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</row>
    <row r="385" spans="1:74" s="83" customFormat="1" ht="42.75" x14ac:dyDescent="0.2">
      <c r="A385" s="72" t="s">
        <v>1270</v>
      </c>
      <c r="B385" s="73" t="s">
        <v>1271</v>
      </c>
      <c r="C385" s="39"/>
      <c r="D385" s="39"/>
      <c r="E385" s="39"/>
      <c r="F385" s="39"/>
      <c r="G385" s="39">
        <v>32953848.239999998</v>
      </c>
      <c r="H385" s="39"/>
      <c r="I385" s="39"/>
      <c r="J385" s="39"/>
      <c r="K385" s="39"/>
      <c r="L385" s="39"/>
      <c r="M385" s="39"/>
      <c r="N385" s="39"/>
      <c r="O385" s="136">
        <f t="shared" si="218"/>
        <v>32953848.239999998</v>
      </c>
      <c r="P385" s="82">
        <v>32953848.239999998</v>
      </c>
      <c r="Q385" s="104">
        <f t="shared" si="222"/>
        <v>0</v>
      </c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</row>
    <row r="386" spans="1:74" s="83" customFormat="1" ht="42.75" x14ac:dyDescent="0.2">
      <c r="A386" s="72" t="s">
        <v>1272</v>
      </c>
      <c r="B386" s="73" t="s">
        <v>1273</v>
      </c>
      <c r="C386" s="39"/>
      <c r="D386" s="39"/>
      <c r="E386" s="39"/>
      <c r="F386" s="39"/>
      <c r="G386" s="39">
        <v>69861319.959999993</v>
      </c>
      <c r="H386" s="39"/>
      <c r="I386" s="39"/>
      <c r="J386" s="39"/>
      <c r="K386" s="39"/>
      <c r="L386" s="39"/>
      <c r="M386" s="39"/>
      <c r="N386" s="39"/>
      <c r="O386" s="136">
        <f t="shared" si="218"/>
        <v>69861319.959999993</v>
      </c>
      <c r="P386" s="82">
        <v>69861319.959999993</v>
      </c>
      <c r="Q386" s="104">
        <f t="shared" si="222"/>
        <v>0</v>
      </c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</row>
    <row r="387" spans="1:74" s="83" customFormat="1" ht="28.5" x14ac:dyDescent="0.2">
      <c r="A387" s="72" t="s">
        <v>1274</v>
      </c>
      <c r="B387" s="73" t="s">
        <v>1275</v>
      </c>
      <c r="C387" s="39"/>
      <c r="D387" s="39"/>
      <c r="E387" s="39"/>
      <c r="F387" s="39"/>
      <c r="G387" s="39">
        <v>14891617.699999999</v>
      </c>
      <c r="H387" s="39"/>
      <c r="I387" s="39"/>
      <c r="J387" s="39"/>
      <c r="K387" s="39"/>
      <c r="L387" s="39"/>
      <c r="M387" s="39"/>
      <c r="N387" s="39"/>
      <c r="O387" s="136">
        <f t="shared" si="218"/>
        <v>14891617.699999999</v>
      </c>
      <c r="P387" s="82">
        <v>14891617.699999999</v>
      </c>
      <c r="Q387" s="104">
        <f t="shared" si="222"/>
        <v>0</v>
      </c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</row>
    <row r="388" spans="1:74" s="83" customFormat="1" ht="28.5" x14ac:dyDescent="0.2">
      <c r="A388" s="72" t="s">
        <v>1276</v>
      </c>
      <c r="B388" s="73" t="s">
        <v>1277</v>
      </c>
      <c r="C388" s="39"/>
      <c r="D388" s="39"/>
      <c r="E388" s="39"/>
      <c r="F388" s="39"/>
      <c r="G388" s="39">
        <v>5287463</v>
      </c>
      <c r="H388" s="39"/>
      <c r="I388" s="39"/>
      <c r="J388" s="39"/>
      <c r="K388" s="39"/>
      <c r="L388" s="39"/>
      <c r="M388" s="39"/>
      <c r="N388" s="39"/>
      <c r="O388" s="136">
        <f t="shared" si="218"/>
        <v>5287463</v>
      </c>
      <c r="P388" s="82">
        <v>5287463</v>
      </c>
      <c r="Q388" s="104">
        <f t="shared" si="222"/>
        <v>0</v>
      </c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</row>
    <row r="389" spans="1:74" s="83" customFormat="1" ht="28.5" x14ac:dyDescent="0.2">
      <c r="A389" s="72" t="s">
        <v>1278</v>
      </c>
      <c r="B389" s="73" t="s">
        <v>1279</v>
      </c>
      <c r="C389" s="39"/>
      <c r="D389" s="39"/>
      <c r="E389" s="39"/>
      <c r="F389" s="39"/>
      <c r="G389" s="39">
        <v>853831345</v>
      </c>
      <c r="H389" s="39"/>
      <c r="I389" s="39"/>
      <c r="J389" s="39"/>
      <c r="K389" s="39"/>
      <c r="L389" s="39"/>
      <c r="M389" s="39"/>
      <c r="N389" s="39"/>
      <c r="O389" s="136">
        <f t="shared" si="218"/>
        <v>853831345</v>
      </c>
      <c r="P389" s="82">
        <v>853831345</v>
      </c>
      <c r="Q389" s="104">
        <f t="shared" si="222"/>
        <v>0</v>
      </c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</row>
    <row r="390" spans="1:74" s="83" customFormat="1" ht="57" x14ac:dyDescent="0.2">
      <c r="A390" s="72" t="s">
        <v>1280</v>
      </c>
      <c r="B390" s="73" t="s">
        <v>1281</v>
      </c>
      <c r="C390" s="39"/>
      <c r="D390" s="39"/>
      <c r="E390" s="39"/>
      <c r="F390" s="39"/>
      <c r="G390" s="39">
        <v>20854350.050000001</v>
      </c>
      <c r="H390" s="39"/>
      <c r="I390" s="39"/>
      <c r="J390" s="39"/>
      <c r="K390" s="39"/>
      <c r="L390" s="39"/>
      <c r="M390" s="39"/>
      <c r="N390" s="39"/>
      <c r="O390" s="136">
        <f t="shared" ref="O390:O422" si="234">SUM(C390:N390)</f>
        <v>20854350.050000001</v>
      </c>
      <c r="P390" s="82">
        <v>20854350.050000001</v>
      </c>
      <c r="Q390" s="104">
        <f t="shared" si="222"/>
        <v>0</v>
      </c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</row>
    <row r="391" spans="1:74" s="83" customFormat="1" ht="28.5" x14ac:dyDescent="0.2">
      <c r="A391" s="72" t="s">
        <v>1282</v>
      </c>
      <c r="B391" s="73" t="s">
        <v>1283</v>
      </c>
      <c r="C391" s="39"/>
      <c r="D391" s="39"/>
      <c r="E391" s="39"/>
      <c r="F391" s="39"/>
      <c r="G391" s="39">
        <v>312401632.33999997</v>
      </c>
      <c r="H391" s="39"/>
      <c r="I391" s="39"/>
      <c r="J391" s="39"/>
      <c r="K391" s="39"/>
      <c r="L391" s="39"/>
      <c r="M391" s="39"/>
      <c r="N391" s="39"/>
      <c r="O391" s="136">
        <f t="shared" si="234"/>
        <v>312401632.33999997</v>
      </c>
      <c r="P391" s="82">
        <v>312401632.33999997</v>
      </c>
      <c r="Q391" s="104">
        <f t="shared" si="222"/>
        <v>0</v>
      </c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</row>
    <row r="392" spans="1:74" s="83" customFormat="1" ht="28.5" x14ac:dyDescent="0.2">
      <c r="A392" s="72" t="s">
        <v>1284</v>
      </c>
      <c r="B392" s="73" t="s">
        <v>1285</v>
      </c>
      <c r="C392" s="39"/>
      <c r="D392" s="39"/>
      <c r="E392" s="39"/>
      <c r="F392" s="39"/>
      <c r="G392" s="39">
        <v>415035594.76999998</v>
      </c>
      <c r="H392" s="39"/>
      <c r="I392" s="39"/>
      <c r="J392" s="39"/>
      <c r="K392" s="39"/>
      <c r="L392" s="39"/>
      <c r="M392" s="39"/>
      <c r="N392" s="39"/>
      <c r="O392" s="136">
        <f t="shared" si="234"/>
        <v>415035594.76999998</v>
      </c>
      <c r="P392" s="82">
        <v>415035594.76999998</v>
      </c>
      <c r="Q392" s="104">
        <f t="shared" si="222"/>
        <v>0</v>
      </c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</row>
    <row r="393" spans="1:74" s="83" customFormat="1" ht="28.5" x14ac:dyDescent="0.2">
      <c r="A393" s="72" t="s">
        <v>1286</v>
      </c>
      <c r="B393" s="73" t="s">
        <v>1287</v>
      </c>
      <c r="C393" s="39"/>
      <c r="D393" s="39"/>
      <c r="E393" s="39"/>
      <c r="F393" s="39"/>
      <c r="G393" s="39">
        <v>12023107.65</v>
      </c>
      <c r="H393" s="39"/>
      <c r="I393" s="39"/>
      <c r="J393" s="39"/>
      <c r="K393" s="39"/>
      <c r="L393" s="39"/>
      <c r="M393" s="39"/>
      <c r="N393" s="39"/>
      <c r="O393" s="136">
        <f t="shared" si="234"/>
        <v>12023107.65</v>
      </c>
      <c r="P393" s="82">
        <v>12023107.65</v>
      </c>
      <c r="Q393" s="104">
        <f t="shared" si="222"/>
        <v>0</v>
      </c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</row>
    <row r="394" spans="1:74" s="83" customFormat="1" ht="28.5" x14ac:dyDescent="0.2">
      <c r="A394" s="72" t="s">
        <v>1288</v>
      </c>
      <c r="B394" s="73" t="s">
        <v>1289</v>
      </c>
      <c r="C394" s="39"/>
      <c r="D394" s="39"/>
      <c r="E394" s="39"/>
      <c r="F394" s="39"/>
      <c r="G394" s="39">
        <v>72840664.370000005</v>
      </c>
      <c r="H394" s="39"/>
      <c r="I394" s="39"/>
      <c r="J394" s="39"/>
      <c r="K394" s="39"/>
      <c r="L394" s="39"/>
      <c r="M394" s="39"/>
      <c r="N394" s="39"/>
      <c r="O394" s="136">
        <f t="shared" si="234"/>
        <v>72840664.370000005</v>
      </c>
      <c r="P394" s="82">
        <v>72840664.370000005</v>
      </c>
      <c r="Q394" s="104">
        <f t="shared" si="222"/>
        <v>0</v>
      </c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</row>
    <row r="395" spans="1:74" s="83" customFormat="1" ht="42.75" x14ac:dyDescent="0.2">
      <c r="A395" s="72" t="s">
        <v>1290</v>
      </c>
      <c r="B395" s="73" t="s">
        <v>1291</v>
      </c>
      <c r="C395" s="39"/>
      <c r="D395" s="39"/>
      <c r="E395" s="39"/>
      <c r="F395" s="39"/>
      <c r="G395" s="39">
        <v>173605723</v>
      </c>
      <c r="H395" s="39"/>
      <c r="I395" s="39"/>
      <c r="J395" s="39"/>
      <c r="K395" s="39"/>
      <c r="L395" s="39"/>
      <c r="M395" s="39"/>
      <c r="N395" s="39"/>
      <c r="O395" s="136">
        <f t="shared" si="234"/>
        <v>173605723</v>
      </c>
      <c r="P395" s="82">
        <v>173605723</v>
      </c>
      <c r="Q395" s="104">
        <f t="shared" si="222"/>
        <v>0</v>
      </c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</row>
    <row r="396" spans="1:74" s="83" customFormat="1" ht="28.5" x14ac:dyDescent="0.2">
      <c r="A396" s="72" t="s">
        <v>1292</v>
      </c>
      <c r="B396" s="73" t="s">
        <v>1293</v>
      </c>
      <c r="C396" s="39"/>
      <c r="D396" s="39"/>
      <c r="E396" s="39"/>
      <c r="F396" s="39"/>
      <c r="G396" s="39">
        <v>462785030.63</v>
      </c>
      <c r="H396" s="39"/>
      <c r="I396" s="39"/>
      <c r="J396" s="39"/>
      <c r="K396" s="39"/>
      <c r="L396" s="39"/>
      <c r="M396" s="39"/>
      <c r="N396" s="39"/>
      <c r="O396" s="136">
        <f t="shared" si="234"/>
        <v>462785030.63</v>
      </c>
      <c r="P396" s="82">
        <v>462785030.63</v>
      </c>
      <c r="Q396" s="104">
        <f t="shared" si="222"/>
        <v>0</v>
      </c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</row>
    <row r="397" spans="1:74" s="83" customFormat="1" ht="28.5" x14ac:dyDescent="0.2">
      <c r="A397" s="72" t="s">
        <v>1294</v>
      </c>
      <c r="B397" s="73" t="s">
        <v>1295</v>
      </c>
      <c r="C397" s="39"/>
      <c r="D397" s="39"/>
      <c r="E397" s="39"/>
      <c r="F397" s="39"/>
      <c r="G397" s="39">
        <v>47055319</v>
      </c>
      <c r="H397" s="39"/>
      <c r="I397" s="39"/>
      <c r="J397" s="39"/>
      <c r="K397" s="39"/>
      <c r="L397" s="39"/>
      <c r="M397" s="39"/>
      <c r="N397" s="39"/>
      <c r="O397" s="136">
        <f t="shared" si="234"/>
        <v>47055319</v>
      </c>
      <c r="P397" s="82">
        <v>47055319</v>
      </c>
      <c r="Q397" s="104">
        <f t="shared" si="222"/>
        <v>0</v>
      </c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</row>
    <row r="398" spans="1:74" s="83" customFormat="1" ht="28.5" x14ac:dyDescent="0.2">
      <c r="A398" s="72" t="s">
        <v>1296</v>
      </c>
      <c r="B398" s="73" t="s">
        <v>1297</v>
      </c>
      <c r="C398" s="39"/>
      <c r="D398" s="39"/>
      <c r="E398" s="39"/>
      <c r="F398" s="39"/>
      <c r="G398" s="39">
        <v>130075777</v>
      </c>
      <c r="H398" s="39"/>
      <c r="I398" s="39"/>
      <c r="J398" s="39"/>
      <c r="K398" s="39"/>
      <c r="L398" s="39"/>
      <c r="M398" s="39"/>
      <c r="N398" s="39"/>
      <c r="O398" s="136">
        <f t="shared" si="234"/>
        <v>130075777</v>
      </c>
      <c r="P398" s="82">
        <v>130075777</v>
      </c>
      <c r="Q398" s="104">
        <f t="shared" si="222"/>
        <v>0</v>
      </c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</row>
    <row r="399" spans="1:74" s="83" customFormat="1" ht="28.5" x14ac:dyDescent="0.2">
      <c r="A399" s="72" t="s">
        <v>1298</v>
      </c>
      <c r="B399" s="73" t="s">
        <v>1299</v>
      </c>
      <c r="C399" s="39"/>
      <c r="D399" s="39"/>
      <c r="E399" s="39"/>
      <c r="F399" s="39"/>
      <c r="G399" s="39">
        <v>268763643.69999999</v>
      </c>
      <c r="H399" s="39"/>
      <c r="I399" s="39"/>
      <c r="J399" s="39"/>
      <c r="K399" s="39"/>
      <c r="L399" s="39"/>
      <c r="M399" s="39"/>
      <c r="N399" s="39"/>
      <c r="O399" s="136">
        <f t="shared" si="234"/>
        <v>268763643.69999999</v>
      </c>
      <c r="P399" s="82">
        <v>268763643.69999999</v>
      </c>
      <c r="Q399" s="104">
        <f t="shared" si="222"/>
        <v>0</v>
      </c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</row>
    <row r="400" spans="1:74" s="83" customFormat="1" ht="28.5" x14ac:dyDescent="0.2">
      <c r="A400" s="72" t="s">
        <v>1300</v>
      </c>
      <c r="B400" s="73" t="s">
        <v>1301</v>
      </c>
      <c r="C400" s="39"/>
      <c r="D400" s="39"/>
      <c r="E400" s="39"/>
      <c r="F400" s="39"/>
      <c r="G400" s="39">
        <v>40305269</v>
      </c>
      <c r="H400" s="39"/>
      <c r="I400" s="39"/>
      <c r="J400" s="39"/>
      <c r="K400" s="39"/>
      <c r="L400" s="39"/>
      <c r="M400" s="39"/>
      <c r="N400" s="39"/>
      <c r="O400" s="136">
        <f t="shared" si="234"/>
        <v>40305269</v>
      </c>
      <c r="P400" s="82">
        <v>40305269</v>
      </c>
      <c r="Q400" s="104">
        <f t="shared" si="222"/>
        <v>0</v>
      </c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</row>
    <row r="401" spans="1:74" s="83" customFormat="1" ht="28.5" x14ac:dyDescent="0.2">
      <c r="A401" s="72" t="s">
        <v>1302</v>
      </c>
      <c r="B401" s="73" t="s">
        <v>1303</v>
      </c>
      <c r="C401" s="39"/>
      <c r="D401" s="39"/>
      <c r="E401" s="39"/>
      <c r="F401" s="39"/>
      <c r="G401" s="39">
        <v>58229838</v>
      </c>
      <c r="H401" s="39"/>
      <c r="I401" s="39"/>
      <c r="J401" s="39"/>
      <c r="K401" s="39"/>
      <c r="L401" s="39"/>
      <c r="M401" s="39"/>
      <c r="N401" s="39"/>
      <c r="O401" s="136">
        <f t="shared" si="234"/>
        <v>58229838</v>
      </c>
      <c r="P401" s="82">
        <v>58229838</v>
      </c>
      <c r="Q401" s="104">
        <f t="shared" si="222"/>
        <v>0</v>
      </c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</row>
    <row r="402" spans="1:74" s="83" customFormat="1" ht="28.5" x14ac:dyDescent="0.2">
      <c r="A402" s="72" t="s">
        <v>1304</v>
      </c>
      <c r="B402" s="73" t="s">
        <v>1305</v>
      </c>
      <c r="C402" s="39"/>
      <c r="D402" s="39"/>
      <c r="E402" s="39"/>
      <c r="F402" s="39"/>
      <c r="G402" s="39">
        <v>444246350.97000003</v>
      </c>
      <c r="H402" s="39"/>
      <c r="I402" s="39"/>
      <c r="J402" s="39"/>
      <c r="K402" s="39"/>
      <c r="L402" s="39"/>
      <c r="M402" s="39"/>
      <c r="N402" s="39"/>
      <c r="O402" s="136">
        <f t="shared" si="234"/>
        <v>444246350.97000003</v>
      </c>
      <c r="P402" s="82">
        <v>444246350.97000003</v>
      </c>
      <c r="Q402" s="104">
        <f t="shared" si="222"/>
        <v>0</v>
      </c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</row>
    <row r="403" spans="1:74" s="83" customFormat="1" ht="28.5" x14ac:dyDescent="0.2">
      <c r="A403" s="72" t="s">
        <v>1306</v>
      </c>
      <c r="B403" s="73" t="s">
        <v>1307</v>
      </c>
      <c r="C403" s="39"/>
      <c r="D403" s="39"/>
      <c r="E403" s="39"/>
      <c r="F403" s="39"/>
      <c r="G403" s="39">
        <v>32415997.789999999</v>
      </c>
      <c r="H403" s="39"/>
      <c r="I403" s="39"/>
      <c r="J403" s="39"/>
      <c r="K403" s="39"/>
      <c r="L403" s="39"/>
      <c r="M403" s="39"/>
      <c r="N403" s="39"/>
      <c r="O403" s="136">
        <f t="shared" si="234"/>
        <v>32415997.789999999</v>
      </c>
      <c r="P403" s="82">
        <v>32415997.789999999</v>
      </c>
      <c r="Q403" s="104">
        <f t="shared" si="222"/>
        <v>0</v>
      </c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</row>
    <row r="404" spans="1:74" s="83" customFormat="1" ht="28.5" x14ac:dyDescent="0.2">
      <c r="A404" s="72" t="s">
        <v>1308</v>
      </c>
      <c r="B404" s="73" t="s">
        <v>1309</v>
      </c>
      <c r="C404" s="39"/>
      <c r="D404" s="39"/>
      <c r="E404" s="39"/>
      <c r="F404" s="39"/>
      <c r="G404" s="39">
        <v>44617201.549999997</v>
      </c>
      <c r="H404" s="39"/>
      <c r="I404" s="39"/>
      <c r="J404" s="39"/>
      <c r="K404" s="39"/>
      <c r="L404" s="39"/>
      <c r="M404" s="39"/>
      <c r="N404" s="39"/>
      <c r="O404" s="136">
        <f t="shared" si="234"/>
        <v>44617201.549999997</v>
      </c>
      <c r="P404" s="82">
        <v>44617201.549999997</v>
      </c>
      <c r="Q404" s="104">
        <f t="shared" si="222"/>
        <v>0</v>
      </c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</row>
    <row r="405" spans="1:74" s="83" customFormat="1" ht="28.5" x14ac:dyDescent="0.2">
      <c r="A405" s="72" t="s">
        <v>1310</v>
      </c>
      <c r="B405" s="73" t="s">
        <v>1311</v>
      </c>
      <c r="C405" s="39"/>
      <c r="D405" s="39"/>
      <c r="E405" s="39"/>
      <c r="F405" s="39"/>
      <c r="G405" s="39">
        <v>36269653.659999996</v>
      </c>
      <c r="H405" s="39"/>
      <c r="I405" s="39"/>
      <c r="J405" s="39"/>
      <c r="K405" s="39"/>
      <c r="L405" s="39"/>
      <c r="M405" s="39"/>
      <c r="N405" s="39"/>
      <c r="O405" s="136">
        <f t="shared" si="234"/>
        <v>36269653.659999996</v>
      </c>
      <c r="P405" s="82">
        <v>36269653.659999996</v>
      </c>
      <c r="Q405" s="104">
        <f t="shared" si="222"/>
        <v>0</v>
      </c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</row>
    <row r="406" spans="1:74" s="83" customFormat="1" ht="42.75" x14ac:dyDescent="0.2">
      <c r="A406" s="72" t="s">
        <v>1312</v>
      </c>
      <c r="B406" s="73" t="s">
        <v>1313</v>
      </c>
      <c r="C406" s="39"/>
      <c r="D406" s="39"/>
      <c r="E406" s="39"/>
      <c r="F406" s="39"/>
      <c r="G406" s="39">
        <v>14895643.09</v>
      </c>
      <c r="H406" s="39"/>
      <c r="I406" s="39"/>
      <c r="J406" s="39"/>
      <c r="K406" s="39"/>
      <c r="L406" s="39"/>
      <c r="M406" s="39"/>
      <c r="N406" s="39"/>
      <c r="O406" s="136">
        <f t="shared" si="234"/>
        <v>14895643.09</v>
      </c>
      <c r="P406" s="82">
        <v>14895643.09</v>
      </c>
      <c r="Q406" s="104">
        <f t="shared" si="222"/>
        <v>0</v>
      </c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</row>
    <row r="407" spans="1:74" s="83" customFormat="1" ht="42.75" x14ac:dyDescent="0.2">
      <c r="A407" s="72" t="s">
        <v>1312</v>
      </c>
      <c r="B407" s="73" t="s">
        <v>1313</v>
      </c>
      <c r="C407" s="39"/>
      <c r="D407" s="39"/>
      <c r="E407" s="39"/>
      <c r="F407" s="39"/>
      <c r="G407" s="39"/>
      <c r="H407" s="39"/>
      <c r="I407" s="39"/>
      <c r="J407" s="39"/>
      <c r="K407" s="39">
        <v>3105.03</v>
      </c>
      <c r="L407" s="39"/>
      <c r="M407" s="39"/>
      <c r="N407" s="39"/>
      <c r="O407" s="136">
        <f t="shared" si="234"/>
        <v>3105.03</v>
      </c>
      <c r="P407" s="82"/>
      <c r="Q407" s="104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</row>
    <row r="408" spans="1:74" s="83" customFormat="1" ht="42.75" x14ac:dyDescent="0.2">
      <c r="A408" s="72" t="s">
        <v>1314</v>
      </c>
      <c r="B408" s="73" t="s">
        <v>1315</v>
      </c>
      <c r="C408" s="39"/>
      <c r="D408" s="39"/>
      <c r="E408" s="39"/>
      <c r="F408" s="39"/>
      <c r="G408" s="39">
        <v>25901939.120000001</v>
      </c>
      <c r="H408" s="39"/>
      <c r="I408" s="39"/>
      <c r="J408" s="39"/>
      <c r="K408" s="39"/>
      <c r="L408" s="39"/>
      <c r="M408" s="39"/>
      <c r="N408" s="39"/>
      <c r="O408" s="136">
        <f t="shared" si="234"/>
        <v>25901939.120000001</v>
      </c>
      <c r="P408" s="82">
        <v>25901939.120000001</v>
      </c>
      <c r="Q408" s="104">
        <f t="shared" si="222"/>
        <v>0</v>
      </c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</row>
    <row r="409" spans="1:74" s="83" customFormat="1" ht="42.75" x14ac:dyDescent="0.2">
      <c r="A409" s="72" t="s">
        <v>1314</v>
      </c>
      <c r="B409" s="73" t="s">
        <v>1315</v>
      </c>
      <c r="C409" s="39"/>
      <c r="D409" s="39"/>
      <c r="E409" s="39"/>
      <c r="F409" s="39"/>
      <c r="G409" s="39"/>
      <c r="H409" s="39"/>
      <c r="I409" s="39"/>
      <c r="J409" s="39"/>
      <c r="K409" s="39">
        <v>1253.08</v>
      </c>
      <c r="L409" s="39"/>
      <c r="M409" s="39"/>
      <c r="N409" s="39"/>
      <c r="O409" s="136">
        <f t="shared" si="234"/>
        <v>1253.08</v>
      </c>
      <c r="P409" s="82"/>
      <c r="Q409" s="104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</row>
    <row r="410" spans="1:74" s="83" customFormat="1" ht="28.5" x14ac:dyDescent="0.2">
      <c r="A410" s="72" t="s">
        <v>1316</v>
      </c>
      <c r="B410" s="73" t="s">
        <v>1317</v>
      </c>
      <c r="C410" s="39"/>
      <c r="D410" s="39"/>
      <c r="E410" s="39"/>
      <c r="F410" s="39"/>
      <c r="G410" s="39">
        <v>18769435.469999999</v>
      </c>
      <c r="H410" s="39"/>
      <c r="I410" s="39"/>
      <c r="J410" s="39"/>
      <c r="K410" s="39"/>
      <c r="L410" s="39"/>
      <c r="M410" s="39"/>
      <c r="N410" s="39"/>
      <c r="O410" s="136">
        <f t="shared" si="234"/>
        <v>18769435.469999999</v>
      </c>
      <c r="P410" s="82">
        <v>18769435.469999999</v>
      </c>
      <c r="Q410" s="104">
        <f t="shared" si="222"/>
        <v>0</v>
      </c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</row>
    <row r="411" spans="1:74" s="83" customFormat="1" ht="42.75" x14ac:dyDescent="0.2">
      <c r="A411" s="72" t="s">
        <v>1852</v>
      </c>
      <c r="B411" s="73" t="s">
        <v>1853</v>
      </c>
      <c r="C411" s="39"/>
      <c r="D411" s="39"/>
      <c r="E411" s="39"/>
      <c r="F411" s="39"/>
      <c r="G411" s="39"/>
      <c r="H411" s="39"/>
      <c r="I411" s="39"/>
      <c r="J411" s="39">
        <v>86303116</v>
      </c>
      <c r="K411" s="39"/>
      <c r="L411" s="39"/>
      <c r="M411" s="39"/>
      <c r="N411" s="39"/>
      <c r="O411" s="136">
        <f t="shared" si="234"/>
        <v>86303116</v>
      </c>
      <c r="P411" s="82"/>
      <c r="Q411" s="104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</row>
    <row r="412" spans="1:74" s="83" customFormat="1" ht="42.75" x14ac:dyDescent="0.2">
      <c r="A412" s="72" t="s">
        <v>1854</v>
      </c>
      <c r="B412" s="73" t="s">
        <v>1855</v>
      </c>
      <c r="C412" s="39"/>
      <c r="D412" s="39"/>
      <c r="E412" s="39"/>
      <c r="F412" s="39"/>
      <c r="G412" s="39"/>
      <c r="H412" s="39"/>
      <c r="I412" s="39"/>
      <c r="J412" s="39">
        <v>0</v>
      </c>
      <c r="K412" s="39">
        <v>7562</v>
      </c>
      <c r="L412" s="39"/>
      <c r="M412" s="39"/>
      <c r="N412" s="39"/>
      <c r="O412" s="136">
        <f t="shared" si="234"/>
        <v>7562</v>
      </c>
      <c r="P412" s="82"/>
      <c r="Q412" s="104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</row>
    <row r="413" spans="1:74" s="83" customFormat="1" ht="57" x14ac:dyDescent="0.2">
      <c r="A413" s="72" t="s">
        <v>1856</v>
      </c>
      <c r="B413" s="73" t="s">
        <v>1857</v>
      </c>
      <c r="C413" s="39"/>
      <c r="D413" s="39"/>
      <c r="E413" s="39"/>
      <c r="F413" s="39"/>
      <c r="G413" s="39"/>
      <c r="H413" s="39"/>
      <c r="I413" s="39"/>
      <c r="J413" s="39">
        <v>0</v>
      </c>
      <c r="K413" s="39">
        <v>70534.259999999995</v>
      </c>
      <c r="L413" s="39"/>
      <c r="M413" s="39"/>
      <c r="N413" s="39"/>
      <c r="O413" s="136">
        <f t="shared" si="234"/>
        <v>70534.259999999995</v>
      </c>
      <c r="P413" s="82"/>
      <c r="Q413" s="104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</row>
    <row r="414" spans="1:74" s="83" customFormat="1" ht="57" x14ac:dyDescent="0.2">
      <c r="A414" s="72" t="s">
        <v>1856</v>
      </c>
      <c r="B414" s="73" t="s">
        <v>1857</v>
      </c>
      <c r="C414" s="39"/>
      <c r="D414" s="39"/>
      <c r="E414" s="39"/>
      <c r="F414" s="39"/>
      <c r="G414" s="39"/>
      <c r="H414" s="39"/>
      <c r="I414" s="39"/>
      <c r="J414" s="39">
        <v>0</v>
      </c>
      <c r="K414" s="39">
        <v>0</v>
      </c>
      <c r="L414" s="39"/>
      <c r="M414" s="39"/>
      <c r="N414" s="39"/>
      <c r="O414" s="136">
        <f t="shared" si="234"/>
        <v>0</v>
      </c>
      <c r="P414" s="82"/>
      <c r="Q414" s="104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</row>
    <row r="415" spans="1:74" s="83" customFormat="1" ht="15.75" x14ac:dyDescent="0.2">
      <c r="A415" s="77" t="s">
        <v>1178</v>
      </c>
      <c r="B415" s="75" t="s">
        <v>1179</v>
      </c>
      <c r="C415" s="74">
        <f>SUM(C416:C418)</f>
        <v>0</v>
      </c>
      <c r="D415" s="74">
        <f t="shared" ref="D415:N415" si="235">SUM(D416:D418)</f>
        <v>0</v>
      </c>
      <c r="E415" s="74">
        <f t="shared" si="235"/>
        <v>1101210837</v>
      </c>
      <c r="F415" s="74">
        <f t="shared" si="235"/>
        <v>0</v>
      </c>
      <c r="G415" s="74">
        <f t="shared" si="235"/>
        <v>41585805014.779999</v>
      </c>
      <c r="H415" s="74">
        <f t="shared" si="235"/>
        <v>0</v>
      </c>
      <c r="I415" s="74">
        <f t="shared" si="235"/>
        <v>0</v>
      </c>
      <c r="J415" s="74">
        <f t="shared" si="235"/>
        <v>0</v>
      </c>
      <c r="K415" s="74">
        <f t="shared" si="235"/>
        <v>1081098244.53</v>
      </c>
      <c r="L415" s="74">
        <f t="shared" si="235"/>
        <v>0</v>
      </c>
      <c r="M415" s="74">
        <f t="shared" si="235"/>
        <v>0</v>
      </c>
      <c r="N415" s="74">
        <f t="shared" si="235"/>
        <v>0</v>
      </c>
      <c r="O415" s="136">
        <f t="shared" si="234"/>
        <v>43768114096.309998</v>
      </c>
      <c r="P415" s="82">
        <v>42687015851.779999</v>
      </c>
      <c r="Q415" s="104">
        <f t="shared" si="222"/>
        <v>-1081098244.5299988</v>
      </c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</row>
    <row r="416" spans="1:74" s="83" customFormat="1" ht="19.5" x14ac:dyDescent="0.2">
      <c r="A416" s="72" t="s">
        <v>1180</v>
      </c>
      <c r="B416" s="73" t="s">
        <v>1179</v>
      </c>
      <c r="C416" s="152"/>
      <c r="D416" s="152"/>
      <c r="E416" s="152"/>
      <c r="F416" s="152"/>
      <c r="G416" s="122">
        <v>41585805014.779999</v>
      </c>
      <c r="H416" s="152"/>
      <c r="I416" s="152"/>
      <c r="J416" s="152"/>
      <c r="K416" s="152"/>
      <c r="L416" s="152"/>
      <c r="M416" s="152"/>
      <c r="N416" s="152"/>
      <c r="O416" s="136">
        <f t="shared" si="234"/>
        <v>41585805014.779999</v>
      </c>
      <c r="P416" s="82">
        <v>41585805014.779999</v>
      </c>
      <c r="Q416" s="104">
        <f t="shared" si="222"/>
        <v>0</v>
      </c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</row>
    <row r="417" spans="1:74" s="83" customFormat="1" ht="14.25" x14ac:dyDescent="0.2">
      <c r="A417" s="72" t="s">
        <v>1180</v>
      </c>
      <c r="B417" s="73" t="s">
        <v>1179</v>
      </c>
      <c r="C417" s="39"/>
      <c r="D417" s="39"/>
      <c r="E417" s="39">
        <v>1101210837</v>
      </c>
      <c r="F417" s="39"/>
      <c r="G417" s="39"/>
      <c r="H417" s="39"/>
      <c r="I417" s="39"/>
      <c r="J417" s="39"/>
      <c r="K417" s="39"/>
      <c r="L417" s="39"/>
      <c r="M417" s="39"/>
      <c r="N417" s="39"/>
      <c r="O417" s="136">
        <f t="shared" si="234"/>
        <v>1101210837</v>
      </c>
      <c r="P417" s="82">
        <v>1101210837</v>
      </c>
      <c r="Q417" s="104">
        <f t="shared" ref="Q417:Q484" si="236">+P417-O417</f>
        <v>0</v>
      </c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</row>
    <row r="418" spans="1:74" s="83" customFormat="1" ht="14.25" x14ac:dyDescent="0.2">
      <c r="A418" s="72" t="s">
        <v>1180</v>
      </c>
      <c r="B418" s="73" t="s">
        <v>1179</v>
      </c>
      <c r="C418" s="39"/>
      <c r="D418" s="39"/>
      <c r="E418" s="39"/>
      <c r="F418" s="39"/>
      <c r="G418" s="39"/>
      <c r="H418" s="39"/>
      <c r="I418" s="39"/>
      <c r="J418" s="39"/>
      <c r="K418" s="39">
        <v>1081098244.53</v>
      </c>
      <c r="L418" s="39"/>
      <c r="M418" s="39"/>
      <c r="N418" s="39"/>
      <c r="O418" s="136">
        <f t="shared" si="234"/>
        <v>1081098244.53</v>
      </c>
      <c r="P418" s="82"/>
      <c r="Q418" s="104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</row>
    <row r="419" spans="1:74" s="83" customFormat="1" ht="31.5" x14ac:dyDescent="0.2">
      <c r="A419" s="77" t="s">
        <v>1181</v>
      </c>
      <c r="B419" s="75" t="s">
        <v>1182</v>
      </c>
      <c r="C419" s="74">
        <f>SUM(C420:C422)</f>
        <v>0</v>
      </c>
      <c r="D419" s="74">
        <f t="shared" ref="D419:N419" si="237">SUM(D420:D422)</f>
        <v>0</v>
      </c>
      <c r="E419" s="74">
        <f t="shared" si="237"/>
        <v>1716442500</v>
      </c>
      <c r="F419" s="74">
        <f t="shared" si="237"/>
        <v>0</v>
      </c>
      <c r="G419" s="74">
        <f t="shared" si="237"/>
        <v>997499585.67999995</v>
      </c>
      <c r="H419" s="74">
        <f t="shared" si="237"/>
        <v>0</v>
      </c>
      <c r="I419" s="74">
        <f t="shared" si="237"/>
        <v>0</v>
      </c>
      <c r="J419" s="74">
        <f t="shared" si="237"/>
        <v>0</v>
      </c>
      <c r="K419" s="74">
        <f t="shared" si="237"/>
        <v>168938767</v>
      </c>
      <c r="L419" s="74">
        <f t="shared" si="237"/>
        <v>0</v>
      </c>
      <c r="M419" s="74">
        <f t="shared" si="237"/>
        <v>0</v>
      </c>
      <c r="N419" s="74">
        <f t="shared" si="237"/>
        <v>0</v>
      </c>
      <c r="O419" s="136">
        <f t="shared" si="234"/>
        <v>2882880852.6799998</v>
      </c>
      <c r="P419" s="82">
        <v>2713942085.6799998</v>
      </c>
      <c r="Q419" s="104">
        <f t="shared" si="236"/>
        <v>-168938767</v>
      </c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</row>
    <row r="420" spans="1:74" s="106" customFormat="1" ht="15" x14ac:dyDescent="0.2">
      <c r="A420" s="72" t="s">
        <v>1183</v>
      </c>
      <c r="B420" s="73" t="s">
        <v>1182</v>
      </c>
      <c r="C420" s="122"/>
      <c r="D420" s="122"/>
      <c r="E420" s="122"/>
      <c r="F420" s="122"/>
      <c r="G420" s="122">
        <v>997499585.67999995</v>
      </c>
      <c r="H420" s="122"/>
      <c r="I420" s="122"/>
      <c r="J420" s="122"/>
      <c r="K420" s="122"/>
      <c r="L420" s="122"/>
      <c r="M420" s="122"/>
      <c r="N420" s="122"/>
      <c r="O420" s="136">
        <f t="shared" si="234"/>
        <v>997499585.67999995</v>
      </c>
      <c r="P420" s="82">
        <v>997499585.67999995</v>
      </c>
      <c r="Q420" s="104">
        <f t="shared" si="236"/>
        <v>0</v>
      </c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</row>
    <row r="421" spans="1:74" s="106" customFormat="1" ht="14.25" x14ac:dyDescent="0.2">
      <c r="A421" s="72" t="s">
        <v>1183</v>
      </c>
      <c r="B421" s="73" t="s">
        <v>1182</v>
      </c>
      <c r="C421" s="39"/>
      <c r="D421" s="39"/>
      <c r="E421" s="39">
        <v>1716442500</v>
      </c>
      <c r="F421" s="39"/>
      <c r="G421" s="39"/>
      <c r="H421" s="39"/>
      <c r="I421" s="39"/>
      <c r="J421" s="39"/>
      <c r="K421" s="39"/>
      <c r="L421" s="39"/>
      <c r="M421" s="39"/>
      <c r="N421" s="39"/>
      <c r="O421" s="136">
        <f t="shared" si="234"/>
        <v>1716442500</v>
      </c>
      <c r="P421" s="82">
        <v>1716442500</v>
      </c>
      <c r="Q421" s="104">
        <f t="shared" si="236"/>
        <v>0</v>
      </c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</row>
    <row r="422" spans="1:74" s="106" customFormat="1" ht="14.25" x14ac:dyDescent="0.2">
      <c r="A422" s="72" t="s">
        <v>1183</v>
      </c>
      <c r="B422" s="73" t="s">
        <v>1182</v>
      </c>
      <c r="C422" s="39"/>
      <c r="D422" s="39"/>
      <c r="E422" s="39"/>
      <c r="F422" s="39"/>
      <c r="G422" s="39"/>
      <c r="H422" s="39"/>
      <c r="I422" s="39"/>
      <c r="J422" s="39"/>
      <c r="K422" s="39">
        <v>168938767</v>
      </c>
      <c r="L422" s="39"/>
      <c r="M422" s="39"/>
      <c r="N422" s="39"/>
      <c r="O422" s="136">
        <f t="shared" si="234"/>
        <v>168938767</v>
      </c>
      <c r="P422" s="82"/>
      <c r="Q422" s="104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</row>
    <row r="423" spans="1:74" s="83" customFormat="1" ht="31.5" x14ac:dyDescent="0.2">
      <c r="A423" s="77" t="s">
        <v>1184</v>
      </c>
      <c r="B423" s="75" t="s">
        <v>1185</v>
      </c>
      <c r="C423" s="152">
        <f>SUM(C424:C431)</f>
        <v>0</v>
      </c>
      <c r="D423" s="152">
        <f t="shared" ref="D423:N423" si="238">SUM(D424:D431)</f>
        <v>0</v>
      </c>
      <c r="E423" s="152">
        <f t="shared" si="238"/>
        <v>2715154060.6700001</v>
      </c>
      <c r="F423" s="152">
        <f t="shared" si="238"/>
        <v>0</v>
      </c>
      <c r="G423" s="152">
        <f>SUM(G424:G431)</f>
        <v>7293701458.1300001</v>
      </c>
      <c r="H423" s="152">
        <f t="shared" si="238"/>
        <v>0</v>
      </c>
      <c r="I423" s="152">
        <f t="shared" si="238"/>
        <v>0</v>
      </c>
      <c r="J423" s="152">
        <f t="shared" si="238"/>
        <v>0</v>
      </c>
      <c r="K423" s="152">
        <f t="shared" si="238"/>
        <v>2885.55</v>
      </c>
      <c r="L423" s="152">
        <f t="shared" si="238"/>
        <v>0</v>
      </c>
      <c r="M423" s="152">
        <f t="shared" si="238"/>
        <v>0</v>
      </c>
      <c r="N423" s="152">
        <f t="shared" si="238"/>
        <v>0</v>
      </c>
      <c r="O423" s="136">
        <f t="shared" si="218"/>
        <v>10008858404.349998</v>
      </c>
      <c r="P423" s="82">
        <v>10008855518.799999</v>
      </c>
      <c r="Q423" s="104">
        <f t="shared" si="236"/>
        <v>-2885.5499992370605</v>
      </c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</row>
    <row r="424" spans="1:74" s="83" customFormat="1" ht="42.75" x14ac:dyDescent="0.2">
      <c r="A424" s="72" t="s">
        <v>1186</v>
      </c>
      <c r="B424" s="73" t="s">
        <v>1187</v>
      </c>
      <c r="C424" s="39"/>
      <c r="D424" s="39"/>
      <c r="E424" s="39">
        <v>627750443.66999996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136">
        <f t="shared" si="218"/>
        <v>627750443.66999996</v>
      </c>
      <c r="P424" s="82">
        <v>627750443.66999996</v>
      </c>
      <c r="Q424" s="104">
        <f t="shared" si="236"/>
        <v>0</v>
      </c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</row>
    <row r="425" spans="1:74" s="83" customFormat="1" ht="28.5" x14ac:dyDescent="0.2">
      <c r="A425" s="72" t="s">
        <v>1188</v>
      </c>
      <c r="B425" s="73" t="s">
        <v>1189</v>
      </c>
      <c r="C425" s="39"/>
      <c r="D425" s="39"/>
      <c r="E425" s="39">
        <v>373443000</v>
      </c>
      <c r="F425" s="39"/>
      <c r="G425" s="39"/>
      <c r="H425" s="39"/>
      <c r="I425" s="39"/>
      <c r="J425" s="39"/>
      <c r="K425" s="39"/>
      <c r="L425" s="39"/>
      <c r="M425" s="39"/>
      <c r="N425" s="39"/>
      <c r="O425" s="136">
        <f t="shared" si="218"/>
        <v>373443000</v>
      </c>
      <c r="P425" s="82">
        <v>373443000</v>
      </c>
      <c r="Q425" s="104">
        <f t="shared" si="236"/>
        <v>0</v>
      </c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</row>
    <row r="426" spans="1:74" s="83" customFormat="1" ht="28.5" x14ac:dyDescent="0.2">
      <c r="A426" s="72" t="s">
        <v>1188</v>
      </c>
      <c r="B426" s="73" t="s">
        <v>1189</v>
      </c>
      <c r="C426" s="39"/>
      <c r="D426" s="39"/>
      <c r="E426" s="39"/>
      <c r="F426" s="39"/>
      <c r="G426" s="39"/>
      <c r="H426" s="39"/>
      <c r="I426" s="39"/>
      <c r="J426" s="39"/>
      <c r="K426" s="39">
        <v>2885.55</v>
      </c>
      <c r="L426" s="39"/>
      <c r="M426" s="39"/>
      <c r="N426" s="39"/>
      <c r="O426" s="136">
        <f t="shared" si="218"/>
        <v>2885.55</v>
      </c>
      <c r="P426" s="82"/>
      <c r="Q426" s="104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</row>
    <row r="427" spans="1:74" s="83" customFormat="1" ht="28.5" x14ac:dyDescent="0.2">
      <c r="A427" s="72" t="s">
        <v>1190</v>
      </c>
      <c r="B427" s="73" t="s">
        <v>1191</v>
      </c>
      <c r="C427" s="39"/>
      <c r="D427" s="39"/>
      <c r="E427" s="39">
        <v>626557000</v>
      </c>
      <c r="F427" s="39"/>
      <c r="G427" s="39"/>
      <c r="H427" s="39"/>
      <c r="I427" s="39"/>
      <c r="J427" s="39"/>
      <c r="K427" s="39"/>
      <c r="L427" s="39"/>
      <c r="M427" s="39"/>
      <c r="N427" s="39"/>
      <c r="O427" s="136">
        <f t="shared" si="218"/>
        <v>626557000</v>
      </c>
      <c r="P427" s="82">
        <v>626557000</v>
      </c>
      <c r="Q427" s="104">
        <f t="shared" si="236"/>
        <v>0</v>
      </c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</row>
    <row r="428" spans="1:74" s="83" customFormat="1" ht="28.5" x14ac:dyDescent="0.2">
      <c r="A428" s="72" t="s">
        <v>1192</v>
      </c>
      <c r="B428" s="73" t="s">
        <v>1193</v>
      </c>
      <c r="C428" s="39"/>
      <c r="D428" s="39"/>
      <c r="E428" s="39">
        <v>322809000</v>
      </c>
      <c r="F428" s="39"/>
      <c r="G428" s="39"/>
      <c r="H428" s="39"/>
      <c r="I428" s="39"/>
      <c r="J428" s="39"/>
      <c r="K428" s="39"/>
      <c r="L428" s="39"/>
      <c r="M428" s="39"/>
      <c r="N428" s="39"/>
      <c r="O428" s="136">
        <f t="shared" si="218"/>
        <v>322809000</v>
      </c>
      <c r="P428" s="82">
        <v>322809000</v>
      </c>
      <c r="Q428" s="104">
        <f t="shared" si="236"/>
        <v>0</v>
      </c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</row>
    <row r="429" spans="1:74" s="83" customFormat="1" ht="42.75" x14ac:dyDescent="0.2">
      <c r="A429" s="72" t="s">
        <v>1194</v>
      </c>
      <c r="B429" s="73" t="s">
        <v>1195</v>
      </c>
      <c r="C429" s="39"/>
      <c r="D429" s="39"/>
      <c r="E429" s="39">
        <v>270394617</v>
      </c>
      <c r="F429" s="39"/>
      <c r="G429" s="39"/>
      <c r="H429" s="39"/>
      <c r="I429" s="39"/>
      <c r="J429" s="39"/>
      <c r="K429" s="39"/>
      <c r="L429" s="39"/>
      <c r="M429" s="39"/>
      <c r="N429" s="39"/>
      <c r="O429" s="136">
        <f t="shared" si="218"/>
        <v>270394617</v>
      </c>
      <c r="P429" s="82">
        <v>270394617</v>
      </c>
      <c r="Q429" s="104">
        <f t="shared" si="236"/>
        <v>0</v>
      </c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</row>
    <row r="430" spans="1:74" s="83" customFormat="1" ht="42.75" x14ac:dyDescent="0.2">
      <c r="A430" s="72" t="s">
        <v>1196</v>
      </c>
      <c r="B430" s="73" t="s">
        <v>1197</v>
      </c>
      <c r="C430" s="39"/>
      <c r="D430" s="39"/>
      <c r="E430" s="39">
        <v>494200000</v>
      </c>
      <c r="F430" s="39"/>
      <c r="G430" s="39"/>
      <c r="H430" s="39"/>
      <c r="I430" s="39"/>
      <c r="J430" s="39"/>
      <c r="K430" s="39"/>
      <c r="L430" s="39"/>
      <c r="M430" s="39"/>
      <c r="N430" s="39"/>
      <c r="O430" s="136">
        <f t="shared" si="218"/>
        <v>494200000</v>
      </c>
      <c r="P430" s="82">
        <v>494200000</v>
      </c>
      <c r="Q430" s="104">
        <f t="shared" si="236"/>
        <v>0</v>
      </c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</row>
    <row r="431" spans="1:74" s="83" customFormat="1" ht="28.5" x14ac:dyDescent="0.2">
      <c r="A431" s="72" t="s">
        <v>1318</v>
      </c>
      <c r="B431" s="73" t="s">
        <v>1319</v>
      </c>
      <c r="C431" s="39"/>
      <c r="D431" s="39"/>
      <c r="E431" s="39"/>
      <c r="F431" s="39"/>
      <c r="G431" s="39">
        <v>7293701458.1300001</v>
      </c>
      <c r="H431" s="39"/>
      <c r="I431" s="39"/>
      <c r="J431" s="39"/>
      <c r="K431" s="39"/>
      <c r="L431" s="39"/>
      <c r="M431" s="39"/>
      <c r="N431" s="39"/>
      <c r="O431" s="136">
        <f t="shared" si="218"/>
        <v>7293701458.1300001</v>
      </c>
      <c r="P431" s="82">
        <v>7293701458.1300001</v>
      </c>
      <c r="Q431" s="104">
        <f t="shared" si="236"/>
        <v>0</v>
      </c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</row>
    <row r="432" spans="1:74" s="83" customFormat="1" ht="31.5" x14ac:dyDescent="0.2">
      <c r="A432" s="77" t="s">
        <v>1198</v>
      </c>
      <c r="B432" s="75" t="s">
        <v>1199</v>
      </c>
      <c r="C432" s="152">
        <f>SUM(C433:C472)</f>
        <v>0</v>
      </c>
      <c r="D432" s="152">
        <f>SUM(D433:D472)</f>
        <v>0</v>
      </c>
      <c r="E432" s="152">
        <f>SUM(E433:E472)</f>
        <v>13381639410.690001</v>
      </c>
      <c r="F432" s="152">
        <f t="shared" ref="F432:N432" si="239">SUM(F433:F472)</f>
        <v>0</v>
      </c>
      <c r="G432" s="152">
        <f>SUM(G433:G472)</f>
        <v>2996902494.6599998</v>
      </c>
      <c r="H432" s="152">
        <f t="shared" si="239"/>
        <v>0</v>
      </c>
      <c r="I432" s="152">
        <f t="shared" si="239"/>
        <v>0</v>
      </c>
      <c r="J432" s="152">
        <f t="shared" si="239"/>
        <v>0</v>
      </c>
      <c r="K432" s="152">
        <f t="shared" si="239"/>
        <v>0</v>
      </c>
      <c r="L432" s="152">
        <f t="shared" si="239"/>
        <v>0</v>
      </c>
      <c r="M432" s="152">
        <f t="shared" si="239"/>
        <v>0</v>
      </c>
      <c r="N432" s="152">
        <f t="shared" si="239"/>
        <v>0</v>
      </c>
      <c r="O432" s="136">
        <f t="shared" si="218"/>
        <v>16378541905.35</v>
      </c>
      <c r="P432" s="82">
        <v>16378541905.35</v>
      </c>
      <c r="Q432" s="104">
        <f t="shared" si="236"/>
        <v>0</v>
      </c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</row>
    <row r="433" spans="1:74" s="83" customFormat="1" ht="42.75" x14ac:dyDescent="0.2">
      <c r="A433" s="72" t="s">
        <v>1200</v>
      </c>
      <c r="B433" s="73" t="s">
        <v>1201</v>
      </c>
      <c r="C433" s="39"/>
      <c r="D433" s="39"/>
      <c r="E433" s="39">
        <v>13381639410.690001</v>
      </c>
      <c r="F433" s="39"/>
      <c r="G433" s="39"/>
      <c r="H433" s="39"/>
      <c r="I433" s="39"/>
      <c r="J433" s="39"/>
      <c r="K433" s="39"/>
      <c r="L433" s="39"/>
      <c r="M433" s="39"/>
      <c r="N433" s="39"/>
      <c r="O433" s="136">
        <f t="shared" si="218"/>
        <v>13381639410.690001</v>
      </c>
      <c r="P433" s="82">
        <v>13381639410.690001</v>
      </c>
      <c r="Q433" s="104">
        <f t="shared" si="236"/>
        <v>0</v>
      </c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</row>
    <row r="434" spans="1:74" s="83" customFormat="1" ht="71.25" x14ac:dyDescent="0.2">
      <c r="A434" s="236" t="s">
        <v>1320</v>
      </c>
      <c r="B434" s="73" t="s">
        <v>1321</v>
      </c>
      <c r="C434" s="39"/>
      <c r="D434" s="39"/>
      <c r="E434" s="39"/>
      <c r="F434" s="39"/>
      <c r="G434" s="245">
        <v>33000646.48</v>
      </c>
      <c r="H434" s="39"/>
      <c r="I434" s="39"/>
      <c r="J434" s="39"/>
      <c r="K434" s="39"/>
      <c r="L434" s="39"/>
      <c r="M434" s="39"/>
      <c r="N434" s="39"/>
      <c r="O434" s="136">
        <f t="shared" si="218"/>
        <v>33000646.48</v>
      </c>
      <c r="P434" s="82">
        <v>33000646.48</v>
      </c>
      <c r="Q434" s="104">
        <f t="shared" si="236"/>
        <v>0</v>
      </c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</row>
    <row r="435" spans="1:74" s="83" customFormat="1" ht="42.75" x14ac:dyDescent="0.2">
      <c r="A435" s="72" t="s">
        <v>1322</v>
      </c>
      <c r="B435" s="73" t="s">
        <v>1323</v>
      </c>
      <c r="C435" s="39"/>
      <c r="D435" s="39"/>
      <c r="E435" s="39"/>
      <c r="F435" s="39"/>
      <c r="G435" s="245">
        <v>58614890.990000002</v>
      </c>
      <c r="H435" s="39"/>
      <c r="I435" s="39"/>
      <c r="J435" s="39"/>
      <c r="K435" s="39"/>
      <c r="L435" s="39"/>
      <c r="M435" s="39"/>
      <c r="N435" s="39"/>
      <c r="O435" s="136">
        <f t="shared" si="218"/>
        <v>58614890.990000002</v>
      </c>
      <c r="P435" s="82">
        <v>58614890.990000002</v>
      </c>
      <c r="Q435" s="104">
        <f t="shared" si="236"/>
        <v>0</v>
      </c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</row>
    <row r="436" spans="1:74" s="83" customFormat="1" ht="42.75" x14ac:dyDescent="0.2">
      <c r="A436" s="72" t="s">
        <v>1324</v>
      </c>
      <c r="B436" s="73" t="s">
        <v>1325</v>
      </c>
      <c r="C436" s="39"/>
      <c r="D436" s="39"/>
      <c r="E436" s="39"/>
      <c r="F436" s="39"/>
      <c r="G436" s="245">
        <v>904400</v>
      </c>
      <c r="H436" s="39"/>
      <c r="I436" s="39"/>
      <c r="J436" s="39"/>
      <c r="K436" s="39"/>
      <c r="L436" s="39"/>
      <c r="M436" s="39"/>
      <c r="N436" s="39"/>
      <c r="O436" s="136">
        <f t="shared" si="218"/>
        <v>904400</v>
      </c>
      <c r="P436" s="82">
        <v>904400</v>
      </c>
      <c r="Q436" s="104">
        <f t="shared" si="236"/>
        <v>0</v>
      </c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</row>
    <row r="437" spans="1:74" s="83" customFormat="1" ht="71.25" x14ac:dyDescent="0.2">
      <c r="A437" s="72" t="s">
        <v>1326</v>
      </c>
      <c r="B437" s="73" t="s">
        <v>1327</v>
      </c>
      <c r="C437" s="39"/>
      <c r="D437" s="39"/>
      <c r="E437" s="39"/>
      <c r="F437" s="39"/>
      <c r="G437" s="245">
        <v>61823651.520000003</v>
      </c>
      <c r="H437" s="39"/>
      <c r="I437" s="39"/>
      <c r="J437" s="39"/>
      <c r="K437" s="39"/>
      <c r="L437" s="39"/>
      <c r="M437" s="39"/>
      <c r="N437" s="39"/>
      <c r="O437" s="136">
        <f t="shared" si="218"/>
        <v>61823651.520000003</v>
      </c>
      <c r="P437" s="82">
        <v>61823651.520000003</v>
      </c>
      <c r="Q437" s="104">
        <f t="shared" si="236"/>
        <v>0</v>
      </c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</row>
    <row r="438" spans="1:74" s="83" customFormat="1" ht="71.25" x14ac:dyDescent="0.2">
      <c r="A438" s="72" t="s">
        <v>1328</v>
      </c>
      <c r="B438" s="73" t="s">
        <v>1329</v>
      </c>
      <c r="C438" s="39"/>
      <c r="D438" s="39"/>
      <c r="E438" s="39"/>
      <c r="F438" s="39"/>
      <c r="G438" s="245">
        <v>30584154.91</v>
      </c>
      <c r="H438" s="39"/>
      <c r="I438" s="39"/>
      <c r="J438" s="39"/>
      <c r="K438" s="39"/>
      <c r="L438" s="39"/>
      <c r="M438" s="39"/>
      <c r="N438" s="39"/>
      <c r="O438" s="136">
        <f t="shared" si="218"/>
        <v>30584154.91</v>
      </c>
      <c r="P438" s="82">
        <v>30584154.91</v>
      </c>
      <c r="Q438" s="104">
        <f t="shared" si="236"/>
        <v>0</v>
      </c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</row>
    <row r="439" spans="1:74" s="83" customFormat="1" ht="71.25" x14ac:dyDescent="0.2">
      <c r="A439" s="72" t="s">
        <v>1330</v>
      </c>
      <c r="B439" s="73" t="s">
        <v>1331</v>
      </c>
      <c r="C439" s="39"/>
      <c r="D439" s="39"/>
      <c r="E439" s="39"/>
      <c r="F439" s="39"/>
      <c r="G439" s="245">
        <v>33558609</v>
      </c>
      <c r="H439" s="39"/>
      <c r="I439" s="39"/>
      <c r="J439" s="39"/>
      <c r="K439" s="39"/>
      <c r="L439" s="39"/>
      <c r="M439" s="39"/>
      <c r="N439" s="39"/>
      <c r="O439" s="136">
        <f t="shared" si="218"/>
        <v>33558609</v>
      </c>
      <c r="P439" s="82">
        <v>33558609</v>
      </c>
      <c r="Q439" s="104">
        <f t="shared" si="236"/>
        <v>0</v>
      </c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</row>
    <row r="440" spans="1:74" s="83" customFormat="1" ht="71.25" x14ac:dyDescent="0.2">
      <c r="A440" s="72" t="s">
        <v>1332</v>
      </c>
      <c r="B440" s="73" t="s">
        <v>1333</v>
      </c>
      <c r="C440" s="39"/>
      <c r="D440" s="39"/>
      <c r="E440" s="39"/>
      <c r="F440" s="39"/>
      <c r="G440" s="245">
        <v>22027527.539999999</v>
      </c>
      <c r="H440" s="39"/>
      <c r="I440" s="39"/>
      <c r="J440" s="39"/>
      <c r="K440" s="39"/>
      <c r="L440" s="39"/>
      <c r="M440" s="39"/>
      <c r="N440" s="39"/>
      <c r="O440" s="136">
        <f t="shared" si="218"/>
        <v>22027527.539999999</v>
      </c>
      <c r="P440" s="107">
        <v>22027527.539999999</v>
      </c>
      <c r="Q440" s="104">
        <f t="shared" si="236"/>
        <v>0</v>
      </c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</row>
    <row r="441" spans="1:74" s="83" customFormat="1" ht="42.75" x14ac:dyDescent="0.2">
      <c r="A441" s="72" t="s">
        <v>1334</v>
      </c>
      <c r="B441" s="73" t="s">
        <v>1335</v>
      </c>
      <c r="C441" s="39"/>
      <c r="D441" s="39"/>
      <c r="E441" s="39"/>
      <c r="F441" s="39"/>
      <c r="G441" s="245">
        <v>1000000</v>
      </c>
      <c r="H441" s="39"/>
      <c r="I441" s="39"/>
      <c r="J441" s="39"/>
      <c r="K441" s="39"/>
      <c r="L441" s="39"/>
      <c r="M441" s="39"/>
      <c r="N441" s="39"/>
      <c r="O441" s="136">
        <f t="shared" si="218"/>
        <v>1000000</v>
      </c>
      <c r="P441" s="82">
        <v>1000000</v>
      </c>
      <c r="Q441" s="104">
        <f t="shared" si="236"/>
        <v>0</v>
      </c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</row>
    <row r="442" spans="1:74" s="83" customFormat="1" ht="42.75" x14ac:dyDescent="0.2">
      <c r="A442" s="72" t="s">
        <v>1336</v>
      </c>
      <c r="B442" s="73" t="s">
        <v>1337</v>
      </c>
      <c r="C442" s="39"/>
      <c r="D442" s="39"/>
      <c r="E442" s="39"/>
      <c r="F442" s="39"/>
      <c r="G442" s="245">
        <v>39345</v>
      </c>
      <c r="H442" s="39"/>
      <c r="I442" s="39"/>
      <c r="J442" s="39"/>
      <c r="K442" s="39"/>
      <c r="L442" s="39"/>
      <c r="M442" s="39"/>
      <c r="N442" s="39"/>
      <c r="O442" s="136">
        <f t="shared" si="218"/>
        <v>39345</v>
      </c>
      <c r="P442" s="82">
        <v>39345</v>
      </c>
      <c r="Q442" s="104">
        <f t="shared" si="236"/>
        <v>0</v>
      </c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</row>
    <row r="443" spans="1:74" s="83" customFormat="1" ht="42.75" x14ac:dyDescent="0.2">
      <c r="A443" s="72" t="s">
        <v>1338</v>
      </c>
      <c r="B443" s="73" t="s">
        <v>1339</v>
      </c>
      <c r="C443" s="39"/>
      <c r="D443" s="39"/>
      <c r="E443" s="39"/>
      <c r="F443" s="39"/>
      <c r="G443" s="245">
        <v>5000000</v>
      </c>
      <c r="H443" s="39"/>
      <c r="I443" s="39"/>
      <c r="J443" s="39"/>
      <c r="K443" s="39"/>
      <c r="L443" s="39"/>
      <c r="M443" s="39"/>
      <c r="N443" s="39"/>
      <c r="O443" s="136">
        <f t="shared" si="218"/>
        <v>5000000</v>
      </c>
      <c r="P443" s="82">
        <v>5000000</v>
      </c>
      <c r="Q443" s="104">
        <f t="shared" si="236"/>
        <v>0</v>
      </c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</row>
    <row r="444" spans="1:74" s="83" customFormat="1" ht="57" x14ac:dyDescent="0.2">
      <c r="A444" s="72" t="s">
        <v>1340</v>
      </c>
      <c r="B444" s="73" t="s">
        <v>1341</v>
      </c>
      <c r="C444" s="39"/>
      <c r="D444" s="39"/>
      <c r="E444" s="39"/>
      <c r="F444" s="39"/>
      <c r="G444" s="245">
        <v>73806183.269999996</v>
      </c>
      <c r="H444" s="39"/>
      <c r="I444" s="39"/>
      <c r="J444" s="39"/>
      <c r="K444" s="39"/>
      <c r="L444" s="39"/>
      <c r="M444" s="39"/>
      <c r="N444" s="39"/>
      <c r="O444" s="136">
        <f t="shared" si="218"/>
        <v>73806183.269999996</v>
      </c>
      <c r="P444" s="82">
        <v>73806183.269999996</v>
      </c>
      <c r="Q444" s="104">
        <f t="shared" si="236"/>
        <v>0</v>
      </c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</row>
    <row r="445" spans="1:74" s="83" customFormat="1" ht="57" x14ac:dyDescent="0.2">
      <c r="A445" s="72" t="s">
        <v>1342</v>
      </c>
      <c r="B445" s="73" t="s">
        <v>1343</v>
      </c>
      <c r="C445" s="39"/>
      <c r="D445" s="39"/>
      <c r="E445" s="39"/>
      <c r="F445" s="39"/>
      <c r="G445" s="245">
        <v>71598144.590000004</v>
      </c>
      <c r="H445" s="39"/>
      <c r="I445" s="39"/>
      <c r="J445" s="39"/>
      <c r="K445" s="39"/>
      <c r="L445" s="39"/>
      <c r="M445" s="39"/>
      <c r="N445" s="39"/>
      <c r="O445" s="136">
        <f t="shared" si="218"/>
        <v>71598144.590000004</v>
      </c>
      <c r="P445" s="82">
        <v>71598144.590000004</v>
      </c>
      <c r="Q445" s="104">
        <f t="shared" si="236"/>
        <v>0</v>
      </c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</row>
    <row r="446" spans="1:74" s="83" customFormat="1" ht="57" x14ac:dyDescent="0.2">
      <c r="A446" s="72" t="s">
        <v>1344</v>
      </c>
      <c r="B446" s="73" t="s">
        <v>1345</v>
      </c>
      <c r="C446" s="39"/>
      <c r="D446" s="39"/>
      <c r="E446" s="39"/>
      <c r="F446" s="39"/>
      <c r="G446" s="245">
        <v>189005952.12</v>
      </c>
      <c r="H446" s="39"/>
      <c r="I446" s="39"/>
      <c r="J446" s="39"/>
      <c r="K446" s="39"/>
      <c r="L446" s="39"/>
      <c r="M446" s="39"/>
      <c r="N446" s="39"/>
      <c r="O446" s="136">
        <f t="shared" si="218"/>
        <v>189005952.12</v>
      </c>
      <c r="P446" s="107">
        <v>189005952.12</v>
      </c>
      <c r="Q446" s="104">
        <f t="shared" si="236"/>
        <v>0</v>
      </c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</row>
    <row r="447" spans="1:74" s="83" customFormat="1" ht="57" x14ac:dyDescent="0.2">
      <c r="A447" s="72" t="s">
        <v>1346</v>
      </c>
      <c r="B447" s="73" t="s">
        <v>1347</v>
      </c>
      <c r="C447" s="39"/>
      <c r="D447" s="39"/>
      <c r="E447" s="39"/>
      <c r="F447" s="39"/>
      <c r="G447" s="245">
        <v>34422031.479999997</v>
      </c>
      <c r="H447" s="39"/>
      <c r="I447" s="39"/>
      <c r="J447" s="39"/>
      <c r="K447" s="39"/>
      <c r="L447" s="39"/>
      <c r="M447" s="39"/>
      <c r="N447" s="39"/>
      <c r="O447" s="136">
        <f t="shared" si="218"/>
        <v>34422031.479999997</v>
      </c>
      <c r="P447" s="107">
        <v>34422031.479999997</v>
      </c>
      <c r="Q447" s="104">
        <f t="shared" si="236"/>
        <v>0</v>
      </c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</row>
    <row r="448" spans="1:74" s="83" customFormat="1" ht="57" x14ac:dyDescent="0.2">
      <c r="A448" s="72" t="s">
        <v>1348</v>
      </c>
      <c r="B448" s="73" t="s">
        <v>1349</v>
      </c>
      <c r="C448" s="39"/>
      <c r="D448" s="39"/>
      <c r="E448" s="39"/>
      <c r="F448" s="39"/>
      <c r="G448" s="245">
        <v>72427111</v>
      </c>
      <c r="H448" s="39"/>
      <c r="I448" s="39"/>
      <c r="J448" s="39"/>
      <c r="K448" s="39"/>
      <c r="L448" s="39"/>
      <c r="M448" s="39"/>
      <c r="N448" s="39"/>
      <c r="O448" s="136">
        <f t="shared" si="218"/>
        <v>72427111</v>
      </c>
      <c r="P448" s="82">
        <v>72427111</v>
      </c>
      <c r="Q448" s="104">
        <f t="shared" si="236"/>
        <v>0</v>
      </c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</row>
    <row r="449" spans="1:74" s="83" customFormat="1" ht="57" x14ac:dyDescent="0.2">
      <c r="A449" s="72" t="s">
        <v>1350</v>
      </c>
      <c r="B449" s="73" t="s">
        <v>1351</v>
      </c>
      <c r="C449" s="39"/>
      <c r="D449" s="39"/>
      <c r="E449" s="39"/>
      <c r="F449" s="39"/>
      <c r="G449" s="245">
        <v>32342202.43</v>
      </c>
      <c r="H449" s="39"/>
      <c r="I449" s="39"/>
      <c r="J449" s="39"/>
      <c r="K449" s="39"/>
      <c r="L449" s="39"/>
      <c r="M449" s="39"/>
      <c r="N449" s="39"/>
      <c r="O449" s="136">
        <f t="shared" si="218"/>
        <v>32342202.43</v>
      </c>
      <c r="P449" s="107">
        <v>32342202.43</v>
      </c>
      <c r="Q449" s="104">
        <f t="shared" si="236"/>
        <v>0</v>
      </c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</row>
    <row r="450" spans="1:74" s="83" customFormat="1" ht="57" x14ac:dyDescent="0.2">
      <c r="A450" s="72" t="s">
        <v>1352</v>
      </c>
      <c r="B450" s="73" t="s">
        <v>1353</v>
      </c>
      <c r="C450" s="39"/>
      <c r="D450" s="39"/>
      <c r="E450" s="39"/>
      <c r="F450" s="39"/>
      <c r="G450" s="245">
        <v>33527630.84</v>
      </c>
      <c r="H450" s="39"/>
      <c r="I450" s="39"/>
      <c r="J450" s="39"/>
      <c r="K450" s="39"/>
      <c r="L450" s="39"/>
      <c r="M450" s="39"/>
      <c r="N450" s="39"/>
      <c r="O450" s="136">
        <f t="shared" si="218"/>
        <v>33527630.84</v>
      </c>
      <c r="P450" s="82">
        <v>33527630.84</v>
      </c>
      <c r="Q450" s="104">
        <f t="shared" si="236"/>
        <v>0</v>
      </c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</row>
    <row r="451" spans="1:74" s="83" customFormat="1" ht="57" x14ac:dyDescent="0.2">
      <c r="A451" s="72" t="s">
        <v>1354</v>
      </c>
      <c r="B451" s="73" t="s">
        <v>1355</v>
      </c>
      <c r="C451" s="39"/>
      <c r="D451" s="39"/>
      <c r="E451" s="39"/>
      <c r="F451" s="39"/>
      <c r="G451" s="245">
        <v>17525824</v>
      </c>
      <c r="H451" s="39"/>
      <c r="I451" s="39"/>
      <c r="J451" s="39"/>
      <c r="K451" s="39"/>
      <c r="L451" s="39"/>
      <c r="M451" s="39"/>
      <c r="N451" s="39"/>
      <c r="O451" s="136">
        <f t="shared" si="218"/>
        <v>17525824</v>
      </c>
      <c r="P451" s="82">
        <v>17525824</v>
      </c>
      <c r="Q451" s="104">
        <f t="shared" si="236"/>
        <v>0</v>
      </c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</row>
    <row r="452" spans="1:74" s="83" customFormat="1" ht="57" x14ac:dyDescent="0.2">
      <c r="A452" s="72" t="s">
        <v>1356</v>
      </c>
      <c r="B452" s="73" t="s">
        <v>1357</v>
      </c>
      <c r="C452" s="39"/>
      <c r="D452" s="39"/>
      <c r="E452" s="39"/>
      <c r="F452" s="39"/>
      <c r="G452" s="245">
        <v>85052927</v>
      </c>
      <c r="H452" s="39"/>
      <c r="I452" s="39"/>
      <c r="J452" s="39"/>
      <c r="K452" s="39"/>
      <c r="L452" s="39"/>
      <c r="M452" s="39"/>
      <c r="N452" s="39"/>
      <c r="O452" s="136">
        <f t="shared" si="218"/>
        <v>85052927</v>
      </c>
      <c r="P452" s="82">
        <v>85052927</v>
      </c>
      <c r="Q452" s="104">
        <f t="shared" si="236"/>
        <v>0</v>
      </c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</row>
    <row r="453" spans="1:74" s="83" customFormat="1" ht="57" x14ac:dyDescent="0.2">
      <c r="A453" s="72" t="s">
        <v>1358</v>
      </c>
      <c r="B453" s="73" t="s">
        <v>1359</v>
      </c>
      <c r="C453" s="39"/>
      <c r="D453" s="39"/>
      <c r="E453" s="39"/>
      <c r="F453" s="39"/>
      <c r="G453" s="245">
        <v>94636419.859999999</v>
      </c>
      <c r="H453" s="39"/>
      <c r="I453" s="39"/>
      <c r="J453" s="39"/>
      <c r="K453" s="39"/>
      <c r="L453" s="39"/>
      <c r="M453" s="39"/>
      <c r="N453" s="39"/>
      <c r="O453" s="136">
        <f t="shared" si="218"/>
        <v>94636419.859999999</v>
      </c>
      <c r="P453" s="107">
        <v>94636419.859999999</v>
      </c>
      <c r="Q453" s="104">
        <f t="shared" si="236"/>
        <v>0</v>
      </c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</row>
    <row r="454" spans="1:74" s="83" customFormat="1" ht="57" x14ac:dyDescent="0.2">
      <c r="A454" s="72" t="s">
        <v>1360</v>
      </c>
      <c r="B454" s="73" t="s">
        <v>1361</v>
      </c>
      <c r="C454" s="39"/>
      <c r="D454" s="39"/>
      <c r="E454" s="39"/>
      <c r="F454" s="39"/>
      <c r="G454" s="245">
        <v>25528495</v>
      </c>
      <c r="H454" s="39"/>
      <c r="I454" s="39"/>
      <c r="J454" s="39"/>
      <c r="K454" s="39"/>
      <c r="L454" s="39"/>
      <c r="M454" s="39"/>
      <c r="N454" s="39"/>
      <c r="O454" s="136">
        <f t="shared" si="218"/>
        <v>25528495</v>
      </c>
      <c r="P454" s="82">
        <v>25528495</v>
      </c>
      <c r="Q454" s="104">
        <f t="shared" si="236"/>
        <v>0</v>
      </c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</row>
    <row r="455" spans="1:74" s="83" customFormat="1" ht="57" x14ac:dyDescent="0.2">
      <c r="A455" s="72" t="s">
        <v>1362</v>
      </c>
      <c r="B455" s="73" t="s">
        <v>1363</v>
      </c>
      <c r="C455" s="39"/>
      <c r="D455" s="39"/>
      <c r="E455" s="39"/>
      <c r="F455" s="39"/>
      <c r="G455" s="245">
        <v>41780393.460000001</v>
      </c>
      <c r="H455" s="39"/>
      <c r="I455" s="39"/>
      <c r="J455" s="39"/>
      <c r="K455" s="39"/>
      <c r="L455" s="39"/>
      <c r="M455" s="39"/>
      <c r="N455" s="39"/>
      <c r="O455" s="136">
        <f t="shared" si="218"/>
        <v>41780393.460000001</v>
      </c>
      <c r="P455" s="82">
        <v>41780393.460000001</v>
      </c>
      <c r="Q455" s="104">
        <f t="shared" si="236"/>
        <v>0</v>
      </c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</row>
    <row r="456" spans="1:74" s="83" customFormat="1" ht="57" x14ac:dyDescent="0.2">
      <c r="A456" s="72" t="s">
        <v>1364</v>
      </c>
      <c r="B456" s="73" t="s">
        <v>1365</v>
      </c>
      <c r="C456" s="39"/>
      <c r="D456" s="39"/>
      <c r="E456" s="39"/>
      <c r="F456" s="39"/>
      <c r="G456" s="245">
        <v>85319865.069999993</v>
      </c>
      <c r="H456" s="39"/>
      <c r="I456" s="39"/>
      <c r="J456" s="39"/>
      <c r="K456" s="39"/>
      <c r="L456" s="39"/>
      <c r="M456" s="39"/>
      <c r="N456" s="39"/>
      <c r="O456" s="136">
        <f t="shared" si="218"/>
        <v>85319865.069999993</v>
      </c>
      <c r="P456" s="107">
        <v>85319865.069999993</v>
      </c>
      <c r="Q456" s="104">
        <f t="shared" si="236"/>
        <v>0</v>
      </c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</row>
    <row r="457" spans="1:74" s="83" customFormat="1" ht="57" x14ac:dyDescent="0.2">
      <c r="A457" s="72" t="s">
        <v>1366</v>
      </c>
      <c r="B457" s="73" t="s">
        <v>1367</v>
      </c>
      <c r="C457" s="39"/>
      <c r="D457" s="39"/>
      <c r="E457" s="39"/>
      <c r="F457" s="39"/>
      <c r="G457" s="245">
        <v>60300003.909999996</v>
      </c>
      <c r="H457" s="39"/>
      <c r="I457" s="39"/>
      <c r="J457" s="39"/>
      <c r="K457" s="39"/>
      <c r="L457" s="39"/>
      <c r="M457" s="39"/>
      <c r="N457" s="39"/>
      <c r="O457" s="136">
        <f t="shared" si="218"/>
        <v>60300003.909999996</v>
      </c>
      <c r="P457" s="82">
        <v>60300003.909999996</v>
      </c>
      <c r="Q457" s="104">
        <f t="shared" si="236"/>
        <v>0</v>
      </c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</row>
    <row r="458" spans="1:74" s="83" customFormat="1" ht="57" x14ac:dyDescent="0.2">
      <c r="A458" s="72" t="s">
        <v>1368</v>
      </c>
      <c r="B458" s="73" t="s">
        <v>1369</v>
      </c>
      <c r="C458" s="39"/>
      <c r="D458" s="39"/>
      <c r="E458" s="39"/>
      <c r="F458" s="39"/>
      <c r="G458" s="245">
        <v>301199556.44</v>
      </c>
      <c r="H458" s="39"/>
      <c r="I458" s="39"/>
      <c r="J458" s="39"/>
      <c r="K458" s="39"/>
      <c r="L458" s="39"/>
      <c r="M458" s="39"/>
      <c r="N458" s="39"/>
      <c r="O458" s="136">
        <f t="shared" si="218"/>
        <v>301199556.44</v>
      </c>
      <c r="P458" s="82">
        <v>301199556.44</v>
      </c>
      <c r="Q458" s="104">
        <f t="shared" si="236"/>
        <v>0</v>
      </c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</row>
    <row r="459" spans="1:74" s="83" customFormat="1" ht="28.5" x14ac:dyDescent="0.2">
      <c r="A459" s="72" t="s">
        <v>1370</v>
      </c>
      <c r="B459" s="73" t="s">
        <v>1371</v>
      </c>
      <c r="C459" s="39"/>
      <c r="D459" s="39"/>
      <c r="E459" s="39"/>
      <c r="F459" s="39"/>
      <c r="G459" s="245">
        <v>3657.3</v>
      </c>
      <c r="H459" s="39"/>
      <c r="I459" s="39"/>
      <c r="J459" s="39"/>
      <c r="K459" s="39"/>
      <c r="L459" s="39"/>
      <c r="M459" s="39"/>
      <c r="N459" s="39"/>
      <c r="O459" s="136">
        <f t="shared" si="218"/>
        <v>3657.3</v>
      </c>
      <c r="P459" s="82">
        <v>3657.3</v>
      </c>
      <c r="Q459" s="104">
        <f t="shared" si="236"/>
        <v>0</v>
      </c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</row>
    <row r="460" spans="1:74" s="83" customFormat="1" ht="28.5" x14ac:dyDescent="0.2">
      <c r="A460" s="72" t="s">
        <v>1372</v>
      </c>
      <c r="B460" s="73" t="s">
        <v>1373</v>
      </c>
      <c r="C460" s="39"/>
      <c r="D460" s="39"/>
      <c r="E460" s="39"/>
      <c r="F460" s="39"/>
      <c r="G460" s="245">
        <v>12903.3</v>
      </c>
      <c r="H460" s="39"/>
      <c r="I460" s="39"/>
      <c r="J460" s="39"/>
      <c r="K460" s="39"/>
      <c r="L460" s="39"/>
      <c r="M460" s="39"/>
      <c r="N460" s="39"/>
      <c r="O460" s="136">
        <f t="shared" si="218"/>
        <v>12903.3</v>
      </c>
      <c r="P460" s="82">
        <v>12903.3</v>
      </c>
      <c r="Q460" s="104">
        <f t="shared" si="236"/>
        <v>0</v>
      </c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</row>
    <row r="461" spans="1:74" s="83" customFormat="1" ht="57" x14ac:dyDescent="0.2">
      <c r="A461" s="72" t="s">
        <v>1374</v>
      </c>
      <c r="B461" s="73" t="s">
        <v>1375</v>
      </c>
      <c r="C461" s="39"/>
      <c r="D461" s="39"/>
      <c r="E461" s="39"/>
      <c r="F461" s="39"/>
      <c r="G461" s="245">
        <v>22717903.440000001</v>
      </c>
      <c r="H461" s="39"/>
      <c r="I461" s="39"/>
      <c r="J461" s="39"/>
      <c r="K461" s="39"/>
      <c r="L461" s="39"/>
      <c r="M461" s="39"/>
      <c r="N461" s="39"/>
      <c r="O461" s="136">
        <f t="shared" si="218"/>
        <v>22717903.440000001</v>
      </c>
      <c r="P461" s="82">
        <v>22717903.440000001</v>
      </c>
      <c r="Q461" s="104">
        <f t="shared" si="236"/>
        <v>0</v>
      </c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</row>
    <row r="462" spans="1:74" s="83" customFormat="1" ht="42.75" x14ac:dyDescent="0.2">
      <c r="A462" s="72" t="s">
        <v>1376</v>
      </c>
      <c r="B462" s="73" t="s">
        <v>1377</v>
      </c>
      <c r="C462" s="39"/>
      <c r="D462" s="39"/>
      <c r="E462" s="39"/>
      <c r="F462" s="39"/>
      <c r="G462" s="245">
        <v>16455472</v>
      </c>
      <c r="H462" s="39"/>
      <c r="I462" s="39"/>
      <c r="J462" s="39"/>
      <c r="K462" s="39"/>
      <c r="L462" s="39"/>
      <c r="M462" s="39"/>
      <c r="N462" s="39"/>
      <c r="O462" s="136">
        <f t="shared" si="218"/>
        <v>16455472</v>
      </c>
      <c r="P462" s="107">
        <v>16455472</v>
      </c>
      <c r="Q462" s="104">
        <f t="shared" si="236"/>
        <v>0</v>
      </c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</row>
    <row r="463" spans="1:74" s="83" customFormat="1" ht="42.75" x14ac:dyDescent="0.2">
      <c r="A463" s="72" t="s">
        <v>1378</v>
      </c>
      <c r="B463" s="73" t="s">
        <v>1379</v>
      </c>
      <c r="C463" s="39"/>
      <c r="D463" s="39"/>
      <c r="E463" s="39"/>
      <c r="F463" s="39"/>
      <c r="G463" s="245">
        <v>47459103.359999999</v>
      </c>
      <c r="H463" s="39"/>
      <c r="I463" s="39"/>
      <c r="J463" s="39"/>
      <c r="K463" s="39"/>
      <c r="L463" s="39"/>
      <c r="M463" s="39"/>
      <c r="N463" s="39"/>
      <c r="O463" s="136">
        <f t="shared" si="218"/>
        <v>47459103.359999999</v>
      </c>
      <c r="P463" s="82">
        <v>47459103.359999999</v>
      </c>
      <c r="Q463" s="104">
        <f t="shared" si="236"/>
        <v>0</v>
      </c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</row>
    <row r="464" spans="1:74" s="83" customFormat="1" ht="28.5" x14ac:dyDescent="0.2">
      <c r="A464" s="72" t="s">
        <v>1380</v>
      </c>
      <c r="B464" s="73" t="s">
        <v>1381</v>
      </c>
      <c r="C464" s="39"/>
      <c r="D464" s="39"/>
      <c r="E464" s="39"/>
      <c r="F464" s="39"/>
      <c r="G464" s="245">
        <v>6022349.8899999997</v>
      </c>
      <c r="H464" s="39"/>
      <c r="I464" s="39"/>
      <c r="J464" s="39"/>
      <c r="K464" s="39"/>
      <c r="L464" s="39"/>
      <c r="M464" s="39"/>
      <c r="N464" s="39"/>
      <c r="O464" s="136">
        <f t="shared" si="218"/>
        <v>6022349.8899999997</v>
      </c>
      <c r="P464" s="82">
        <v>6022349.8899999997</v>
      </c>
      <c r="Q464" s="104">
        <f t="shared" si="236"/>
        <v>0</v>
      </c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</row>
    <row r="465" spans="1:74" s="83" customFormat="1" ht="28.5" x14ac:dyDescent="0.2">
      <c r="A465" s="72" t="s">
        <v>1382</v>
      </c>
      <c r="B465" s="73" t="s">
        <v>1383</v>
      </c>
      <c r="C465" s="39"/>
      <c r="D465" s="39"/>
      <c r="E465" s="39"/>
      <c r="F465" s="39"/>
      <c r="G465" s="245">
        <v>57681818</v>
      </c>
      <c r="H465" s="39"/>
      <c r="I465" s="39"/>
      <c r="J465" s="39"/>
      <c r="K465" s="39"/>
      <c r="L465" s="39"/>
      <c r="M465" s="39"/>
      <c r="N465" s="39"/>
      <c r="O465" s="136">
        <f t="shared" si="218"/>
        <v>57681818</v>
      </c>
      <c r="P465" s="82">
        <v>57681818</v>
      </c>
      <c r="Q465" s="104">
        <f t="shared" si="236"/>
        <v>0</v>
      </c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</row>
    <row r="466" spans="1:74" s="83" customFormat="1" ht="42.75" x14ac:dyDescent="0.2">
      <c r="A466" s="72" t="s">
        <v>1384</v>
      </c>
      <c r="B466" s="73" t="s">
        <v>1385</v>
      </c>
      <c r="C466" s="39"/>
      <c r="D466" s="39"/>
      <c r="E466" s="39"/>
      <c r="F466" s="39"/>
      <c r="G466" s="245">
        <v>30448635</v>
      </c>
      <c r="H466" s="39"/>
      <c r="I466" s="39"/>
      <c r="J466" s="39"/>
      <c r="K466" s="39"/>
      <c r="L466" s="39"/>
      <c r="M466" s="39"/>
      <c r="N466" s="39"/>
      <c r="O466" s="136">
        <f t="shared" si="218"/>
        <v>30448635</v>
      </c>
      <c r="P466" s="82">
        <v>30448635</v>
      </c>
      <c r="Q466" s="104">
        <f t="shared" si="236"/>
        <v>0</v>
      </c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</row>
    <row r="467" spans="1:74" s="83" customFormat="1" ht="57" x14ac:dyDescent="0.2">
      <c r="A467" s="72" t="s">
        <v>1386</v>
      </c>
      <c r="B467" s="73" t="s">
        <v>1387</v>
      </c>
      <c r="C467" s="39"/>
      <c r="D467" s="39"/>
      <c r="E467" s="39"/>
      <c r="F467" s="39"/>
      <c r="G467" s="245">
        <v>222423558.34999999</v>
      </c>
      <c r="H467" s="39"/>
      <c r="I467" s="39"/>
      <c r="J467" s="39"/>
      <c r="K467" s="39"/>
      <c r="L467" s="39"/>
      <c r="M467" s="39"/>
      <c r="N467" s="39"/>
      <c r="O467" s="136">
        <f t="shared" si="218"/>
        <v>222423558.34999999</v>
      </c>
      <c r="P467" s="107">
        <v>222423558.34999999</v>
      </c>
      <c r="Q467" s="104">
        <f t="shared" si="236"/>
        <v>0</v>
      </c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</row>
    <row r="468" spans="1:74" s="83" customFormat="1" ht="85.5" x14ac:dyDescent="0.2">
      <c r="A468" s="72" t="s">
        <v>1388</v>
      </c>
      <c r="B468" s="73" t="s">
        <v>1389</v>
      </c>
      <c r="C468" s="39"/>
      <c r="D468" s="39"/>
      <c r="E468" s="39"/>
      <c r="F468" s="39"/>
      <c r="G468" s="245">
        <v>12286772.68</v>
      </c>
      <c r="H468" s="39"/>
      <c r="I468" s="39"/>
      <c r="J468" s="39"/>
      <c r="K468" s="39"/>
      <c r="L468" s="39"/>
      <c r="M468" s="39"/>
      <c r="N468" s="39"/>
      <c r="O468" s="136">
        <f t="shared" si="218"/>
        <v>12286772.68</v>
      </c>
      <c r="P468" s="82">
        <v>12286772.68</v>
      </c>
      <c r="Q468" s="104">
        <f t="shared" si="236"/>
        <v>0</v>
      </c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</row>
    <row r="469" spans="1:74" s="83" customFormat="1" ht="42.75" x14ac:dyDescent="0.2">
      <c r="A469" s="72" t="s">
        <v>1390</v>
      </c>
      <c r="B469" s="73" t="s">
        <v>1391</v>
      </c>
      <c r="C469" s="39"/>
      <c r="D469" s="39"/>
      <c r="E469" s="39"/>
      <c r="F469" s="39"/>
      <c r="G469" s="245">
        <v>37760753.93</v>
      </c>
      <c r="H469" s="39"/>
      <c r="I469" s="39"/>
      <c r="J469" s="39"/>
      <c r="K469" s="39"/>
      <c r="L469" s="39"/>
      <c r="M469" s="39"/>
      <c r="N469" s="39"/>
      <c r="O469" s="136">
        <f t="shared" si="218"/>
        <v>37760753.93</v>
      </c>
      <c r="P469" s="82">
        <v>37760753.93</v>
      </c>
      <c r="Q469" s="104">
        <f t="shared" si="236"/>
        <v>0</v>
      </c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</row>
    <row r="470" spans="1:74" s="83" customFormat="1" ht="28.5" x14ac:dyDescent="0.2">
      <c r="A470" s="72" t="s">
        <v>1392</v>
      </c>
      <c r="B470" s="73" t="s">
        <v>1393</v>
      </c>
      <c r="C470" s="39"/>
      <c r="D470" s="39"/>
      <c r="E470" s="39"/>
      <c r="F470" s="39"/>
      <c r="G470" s="245">
        <v>352624209.5</v>
      </c>
      <c r="H470" s="39"/>
      <c r="I470" s="39"/>
      <c r="J470" s="39"/>
      <c r="K470" s="39"/>
      <c r="L470" s="39"/>
      <c r="M470" s="39"/>
      <c r="N470" s="39"/>
      <c r="O470" s="136">
        <f t="shared" si="218"/>
        <v>352624209.5</v>
      </c>
      <c r="P470" s="82">
        <v>352624209.5</v>
      </c>
      <c r="Q470" s="104">
        <f t="shared" si="236"/>
        <v>0</v>
      </c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</row>
    <row r="471" spans="1:74" s="83" customFormat="1" ht="42.75" x14ac:dyDescent="0.2">
      <c r="A471" s="72" t="s">
        <v>1394</v>
      </c>
      <c r="B471" s="73" t="s">
        <v>1395</v>
      </c>
      <c r="C471" s="39"/>
      <c r="D471" s="39"/>
      <c r="E471" s="39"/>
      <c r="F471" s="39"/>
      <c r="G471" s="245">
        <v>698000000</v>
      </c>
      <c r="H471" s="39"/>
      <c r="I471" s="39"/>
      <c r="J471" s="39"/>
      <c r="K471" s="39"/>
      <c r="L471" s="39"/>
      <c r="M471" s="39"/>
      <c r="N471" s="39"/>
      <c r="O471" s="136">
        <f t="shared" si="218"/>
        <v>698000000</v>
      </c>
      <c r="P471" s="82">
        <v>698000000</v>
      </c>
      <c r="Q471" s="104">
        <f t="shared" si="236"/>
        <v>0</v>
      </c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</row>
    <row r="472" spans="1:74" s="83" customFormat="1" ht="42.75" x14ac:dyDescent="0.2">
      <c r="A472" s="72" t="s">
        <v>1396</v>
      </c>
      <c r="B472" s="73" t="s">
        <v>1397</v>
      </c>
      <c r="C472" s="39"/>
      <c r="D472" s="39"/>
      <c r="E472" s="39"/>
      <c r="F472" s="39"/>
      <c r="G472" s="245">
        <v>27979392</v>
      </c>
      <c r="H472" s="39"/>
      <c r="I472" s="39"/>
      <c r="J472" s="39"/>
      <c r="K472" s="39"/>
      <c r="L472" s="39"/>
      <c r="M472" s="39"/>
      <c r="N472" s="39"/>
      <c r="O472" s="136">
        <f t="shared" si="218"/>
        <v>27979392</v>
      </c>
      <c r="P472" s="107">
        <v>27979392</v>
      </c>
      <c r="Q472" s="104">
        <f t="shared" si="236"/>
        <v>0</v>
      </c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</row>
    <row r="473" spans="1:74" s="108" customFormat="1" ht="15.75" x14ac:dyDescent="0.2">
      <c r="A473" s="77" t="s">
        <v>1398</v>
      </c>
      <c r="B473" s="75" t="s">
        <v>1399</v>
      </c>
      <c r="C473" s="141">
        <f>SUM(C474:C479)</f>
        <v>0</v>
      </c>
      <c r="D473" s="141">
        <f>SUM(D474:D479)</f>
        <v>0</v>
      </c>
      <c r="E473" s="141">
        <f>SUM(E474:E479)</f>
        <v>0</v>
      </c>
      <c r="F473" s="141">
        <f t="shared" ref="F473:N473" si="240">SUM(F474:F479)</f>
        <v>0</v>
      </c>
      <c r="G473" s="141">
        <f>SUM(G474:G479)</f>
        <v>6442499.1399999997</v>
      </c>
      <c r="H473" s="141">
        <f t="shared" si="240"/>
        <v>0</v>
      </c>
      <c r="I473" s="141">
        <f t="shared" si="240"/>
        <v>0</v>
      </c>
      <c r="J473" s="141">
        <f t="shared" si="240"/>
        <v>0</v>
      </c>
      <c r="K473" s="141">
        <f t="shared" si="240"/>
        <v>2607</v>
      </c>
      <c r="L473" s="141">
        <f t="shared" si="240"/>
        <v>0</v>
      </c>
      <c r="M473" s="141">
        <f t="shared" si="240"/>
        <v>0</v>
      </c>
      <c r="N473" s="141">
        <f t="shared" si="240"/>
        <v>0</v>
      </c>
      <c r="O473" s="233">
        <f t="shared" si="218"/>
        <v>6445106.1399999997</v>
      </c>
      <c r="P473" s="82">
        <v>6442499.1399999997</v>
      </c>
      <c r="Q473" s="104">
        <f t="shared" si="236"/>
        <v>-2607</v>
      </c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</row>
    <row r="474" spans="1:74" s="83" customFormat="1" ht="14.25" x14ac:dyDescent="0.2">
      <c r="A474" s="72" t="s">
        <v>1400</v>
      </c>
      <c r="B474" s="73" t="s">
        <v>1401</v>
      </c>
      <c r="C474" s="39"/>
      <c r="D474" s="39"/>
      <c r="E474" s="39"/>
      <c r="F474" s="39"/>
      <c r="G474" s="39">
        <v>5346270.54</v>
      </c>
      <c r="H474" s="39"/>
      <c r="I474" s="39"/>
      <c r="J474" s="39"/>
      <c r="K474" s="39"/>
      <c r="L474" s="39"/>
      <c r="M474" s="39"/>
      <c r="N474" s="39"/>
      <c r="O474" s="136">
        <f t="shared" si="218"/>
        <v>5346270.54</v>
      </c>
      <c r="P474" s="82">
        <v>5346270.54</v>
      </c>
      <c r="Q474" s="104">
        <f t="shared" si="236"/>
        <v>0</v>
      </c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</row>
    <row r="475" spans="1:74" s="83" customFormat="1" ht="28.5" x14ac:dyDescent="0.2">
      <c r="A475" s="72" t="s">
        <v>1402</v>
      </c>
      <c r="B475" s="73" t="s">
        <v>1403</v>
      </c>
      <c r="C475" s="39"/>
      <c r="D475" s="39"/>
      <c r="E475" s="39"/>
      <c r="F475" s="39"/>
      <c r="G475" s="39">
        <v>144370.26</v>
      </c>
      <c r="H475" s="39"/>
      <c r="I475" s="39"/>
      <c r="J475" s="39"/>
      <c r="K475" s="39"/>
      <c r="L475" s="39"/>
      <c r="M475" s="39"/>
      <c r="N475" s="39"/>
      <c r="O475" s="136">
        <f t="shared" si="218"/>
        <v>144370.26</v>
      </c>
      <c r="P475" s="107">
        <v>144370.26</v>
      </c>
      <c r="Q475" s="104">
        <f t="shared" si="236"/>
        <v>0</v>
      </c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</row>
    <row r="476" spans="1:74" s="83" customFormat="1" ht="14.25" x14ac:dyDescent="0.2">
      <c r="A476" s="72" t="s">
        <v>1404</v>
      </c>
      <c r="B476" s="73" t="s">
        <v>1405</v>
      </c>
      <c r="C476" s="39"/>
      <c r="D476" s="39"/>
      <c r="E476" s="39"/>
      <c r="F476" s="39"/>
      <c r="G476" s="39">
        <v>16785.169999999998</v>
      </c>
      <c r="H476" s="39"/>
      <c r="I476" s="39"/>
      <c r="J476" s="39"/>
      <c r="K476" s="39"/>
      <c r="L476" s="39"/>
      <c r="M476" s="39"/>
      <c r="N476" s="39"/>
      <c r="O476" s="136">
        <f t="shared" si="218"/>
        <v>16785.169999999998</v>
      </c>
      <c r="P476" s="82">
        <v>16785.169999999998</v>
      </c>
      <c r="Q476" s="104">
        <f t="shared" si="236"/>
        <v>0</v>
      </c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</row>
    <row r="477" spans="1:74" s="83" customFormat="1" ht="28.5" x14ac:dyDescent="0.2">
      <c r="A477" s="72" t="s">
        <v>1406</v>
      </c>
      <c r="B477" s="73" t="s">
        <v>1407</v>
      </c>
      <c r="C477" s="39"/>
      <c r="D477" s="39"/>
      <c r="E477" s="39"/>
      <c r="F477" s="39"/>
      <c r="G477" s="39">
        <v>244473.17</v>
      </c>
      <c r="H477" s="39"/>
      <c r="I477" s="39"/>
      <c r="J477" s="39"/>
      <c r="K477" s="39"/>
      <c r="L477" s="39"/>
      <c r="M477" s="39"/>
      <c r="N477" s="39"/>
      <c r="O477" s="136">
        <f t="shared" si="218"/>
        <v>244473.17</v>
      </c>
      <c r="P477" s="82">
        <v>244473.17</v>
      </c>
      <c r="Q477" s="104">
        <f t="shared" si="236"/>
        <v>0</v>
      </c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</row>
    <row r="478" spans="1:74" s="83" customFormat="1" ht="28.5" x14ac:dyDescent="0.2">
      <c r="A478" s="72" t="s">
        <v>1406</v>
      </c>
      <c r="B478" s="73" t="s">
        <v>1407</v>
      </c>
      <c r="C478" s="39"/>
      <c r="D478" s="39"/>
      <c r="E478" s="39"/>
      <c r="F478" s="39"/>
      <c r="G478" s="39"/>
      <c r="H478" s="39"/>
      <c r="I478" s="39"/>
      <c r="J478" s="39"/>
      <c r="K478" s="39">
        <v>2607</v>
      </c>
      <c r="L478" s="39"/>
      <c r="M478" s="39"/>
      <c r="N478" s="39"/>
      <c r="O478" s="136">
        <f t="shared" si="218"/>
        <v>2607</v>
      </c>
      <c r="P478" s="82"/>
      <c r="Q478" s="104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</row>
    <row r="479" spans="1:74" s="83" customFormat="1" ht="28.5" x14ac:dyDescent="0.2">
      <c r="A479" s="72" t="s">
        <v>1408</v>
      </c>
      <c r="B479" s="73" t="s">
        <v>1409</v>
      </c>
      <c r="C479" s="39"/>
      <c r="D479" s="39"/>
      <c r="E479" s="39"/>
      <c r="F479" s="39"/>
      <c r="G479" s="39">
        <v>690600</v>
      </c>
      <c r="H479" s="39"/>
      <c r="I479" s="39"/>
      <c r="J479" s="39"/>
      <c r="K479" s="39"/>
      <c r="L479" s="39"/>
      <c r="M479" s="39"/>
      <c r="N479" s="39"/>
      <c r="O479" s="136">
        <f t="shared" si="218"/>
        <v>690600</v>
      </c>
      <c r="P479" s="107">
        <v>690600</v>
      </c>
      <c r="Q479" s="104">
        <f t="shared" si="236"/>
        <v>0</v>
      </c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</row>
    <row r="480" spans="1:74" s="108" customFormat="1" ht="15.75" x14ac:dyDescent="0.2">
      <c r="A480" s="77" t="s">
        <v>1410</v>
      </c>
      <c r="B480" s="75" t="s">
        <v>1411</v>
      </c>
      <c r="C480" s="141">
        <f>+C481+C483+C487+C490+C496+C501+C507+C510</f>
        <v>0</v>
      </c>
      <c r="D480" s="141">
        <f>+D481+D483+D487+D490+D496+D501+D507+D510</f>
        <v>0</v>
      </c>
      <c r="E480" s="141">
        <f>+E481+E483+E487+E490+E496+E501+E507+E510</f>
        <v>0</v>
      </c>
      <c r="F480" s="141">
        <f t="shared" ref="F480:N480" si="241">+F481+F483+F487+F490+F496+F501+F507+F510</f>
        <v>0</v>
      </c>
      <c r="G480" s="141">
        <f>+G481+G483+G487+G490+G496+G501+G507+G510</f>
        <v>37711694342.109993</v>
      </c>
      <c r="H480" s="141">
        <f t="shared" si="241"/>
        <v>0</v>
      </c>
      <c r="I480" s="141">
        <f t="shared" si="241"/>
        <v>0</v>
      </c>
      <c r="J480" s="141">
        <f t="shared" si="241"/>
        <v>0</v>
      </c>
      <c r="K480" s="141">
        <f t="shared" si="241"/>
        <v>218000000</v>
      </c>
      <c r="L480" s="141">
        <f t="shared" si="241"/>
        <v>0</v>
      </c>
      <c r="M480" s="141">
        <f t="shared" si="241"/>
        <v>0</v>
      </c>
      <c r="N480" s="141">
        <f t="shared" si="241"/>
        <v>0</v>
      </c>
      <c r="O480" s="233">
        <f t="shared" si="218"/>
        <v>37929694342.109993</v>
      </c>
      <c r="P480" s="82">
        <v>37711694342.110001</v>
      </c>
      <c r="Q480" s="104">
        <f t="shared" si="236"/>
        <v>-217999999.99999237</v>
      </c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</row>
    <row r="481" spans="1:74" s="108" customFormat="1" ht="31.5" x14ac:dyDescent="0.2">
      <c r="A481" s="77" t="s">
        <v>1412</v>
      </c>
      <c r="B481" s="75" t="s">
        <v>1413</v>
      </c>
      <c r="C481" s="141">
        <f>+C482</f>
        <v>0</v>
      </c>
      <c r="D481" s="141">
        <f>+D482</f>
        <v>0</v>
      </c>
      <c r="E481" s="141">
        <f>+E482</f>
        <v>0</v>
      </c>
      <c r="F481" s="141">
        <f t="shared" ref="F481:N481" si="242">+F482</f>
        <v>0</v>
      </c>
      <c r="G481" s="141">
        <f>+G482</f>
        <v>1027049896.25</v>
      </c>
      <c r="H481" s="141">
        <f t="shared" si="242"/>
        <v>0</v>
      </c>
      <c r="I481" s="141">
        <f t="shared" si="242"/>
        <v>0</v>
      </c>
      <c r="J481" s="141">
        <f t="shared" si="242"/>
        <v>0</v>
      </c>
      <c r="K481" s="141">
        <f t="shared" si="242"/>
        <v>0</v>
      </c>
      <c r="L481" s="141">
        <f t="shared" si="242"/>
        <v>0</v>
      </c>
      <c r="M481" s="141">
        <f t="shared" si="242"/>
        <v>0</v>
      </c>
      <c r="N481" s="141">
        <f t="shared" si="242"/>
        <v>0</v>
      </c>
      <c r="O481" s="233">
        <f t="shared" si="218"/>
        <v>1027049896.25</v>
      </c>
      <c r="P481" s="107">
        <v>1027049896.25</v>
      </c>
      <c r="Q481" s="104">
        <f t="shared" si="236"/>
        <v>0</v>
      </c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</row>
    <row r="482" spans="1:74" s="83" customFormat="1" ht="28.5" x14ac:dyDescent="0.2">
      <c r="A482" s="72" t="s">
        <v>1414</v>
      </c>
      <c r="B482" s="73" t="s">
        <v>1415</v>
      </c>
      <c r="C482" s="39"/>
      <c r="D482" s="39"/>
      <c r="E482" s="39"/>
      <c r="F482" s="39"/>
      <c r="G482" s="39">
        <v>1027049896.25</v>
      </c>
      <c r="H482" s="39"/>
      <c r="I482" s="39"/>
      <c r="J482" s="39"/>
      <c r="K482" s="39"/>
      <c r="L482" s="39"/>
      <c r="M482" s="39"/>
      <c r="N482" s="39"/>
      <c r="O482" s="136">
        <f t="shared" si="218"/>
        <v>1027049896.25</v>
      </c>
      <c r="P482" s="82">
        <v>1027049896.25</v>
      </c>
      <c r="Q482" s="104">
        <f t="shared" si="236"/>
        <v>0</v>
      </c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</row>
    <row r="483" spans="1:74" s="108" customFormat="1" ht="31.5" x14ac:dyDescent="0.2">
      <c r="A483" s="77" t="s">
        <v>1416</v>
      </c>
      <c r="B483" s="75" t="s">
        <v>1417</v>
      </c>
      <c r="C483" s="141">
        <f>SUM(C484:C486)</f>
        <v>0</v>
      </c>
      <c r="D483" s="141">
        <f>SUM(D484:D486)</f>
        <v>0</v>
      </c>
      <c r="E483" s="141">
        <f>SUM(E484:E486)</f>
        <v>0</v>
      </c>
      <c r="F483" s="141">
        <f t="shared" ref="F483:N483" si="243">SUM(F484:F486)</f>
        <v>0</v>
      </c>
      <c r="G483" s="141">
        <f>SUM(G484:G486)</f>
        <v>8110346950.25</v>
      </c>
      <c r="H483" s="141">
        <f t="shared" si="243"/>
        <v>0</v>
      </c>
      <c r="I483" s="141">
        <f t="shared" si="243"/>
        <v>0</v>
      </c>
      <c r="J483" s="141">
        <f t="shared" si="243"/>
        <v>0</v>
      </c>
      <c r="K483" s="141">
        <f t="shared" si="243"/>
        <v>0</v>
      </c>
      <c r="L483" s="141">
        <f t="shared" si="243"/>
        <v>0</v>
      </c>
      <c r="M483" s="141">
        <f t="shared" si="243"/>
        <v>0</v>
      </c>
      <c r="N483" s="141">
        <f t="shared" si="243"/>
        <v>0</v>
      </c>
      <c r="O483" s="233">
        <f t="shared" si="218"/>
        <v>8110346950.25</v>
      </c>
      <c r="P483" s="107">
        <v>8110346950.25</v>
      </c>
      <c r="Q483" s="104">
        <f t="shared" si="236"/>
        <v>0</v>
      </c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</row>
    <row r="484" spans="1:74" s="83" customFormat="1" ht="28.5" x14ac:dyDescent="0.2">
      <c r="A484" s="72" t="s">
        <v>1418</v>
      </c>
      <c r="B484" s="73" t="s">
        <v>1419</v>
      </c>
      <c r="C484" s="39"/>
      <c r="D484" s="39"/>
      <c r="E484" s="39"/>
      <c r="F484" s="39"/>
      <c r="G484" s="39">
        <v>1319548135.48</v>
      </c>
      <c r="H484" s="39"/>
      <c r="I484" s="39"/>
      <c r="J484" s="39"/>
      <c r="K484" s="39"/>
      <c r="L484" s="39"/>
      <c r="M484" s="39"/>
      <c r="N484" s="39"/>
      <c r="O484" s="136">
        <f t="shared" si="218"/>
        <v>1319548135.48</v>
      </c>
      <c r="P484" s="82">
        <v>1319548135.48</v>
      </c>
      <c r="Q484" s="104">
        <f t="shared" si="236"/>
        <v>0</v>
      </c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</row>
    <row r="485" spans="1:74" s="83" customFormat="1" ht="28.5" x14ac:dyDescent="0.2">
      <c r="A485" s="72" t="s">
        <v>1420</v>
      </c>
      <c r="B485" s="73" t="s">
        <v>1421</v>
      </c>
      <c r="C485" s="39"/>
      <c r="D485" s="39"/>
      <c r="E485" s="39"/>
      <c r="F485" s="39"/>
      <c r="G485" s="39">
        <v>5006060287.7700005</v>
      </c>
      <c r="H485" s="39"/>
      <c r="I485" s="39"/>
      <c r="J485" s="39"/>
      <c r="K485" s="39"/>
      <c r="L485" s="39"/>
      <c r="M485" s="39"/>
      <c r="N485" s="39"/>
      <c r="O485" s="136">
        <f t="shared" si="218"/>
        <v>5006060287.7700005</v>
      </c>
      <c r="P485" s="107">
        <v>5006060287.7700005</v>
      </c>
      <c r="Q485" s="104">
        <f t="shared" ref="Q485:Q551" si="244">+P485-O485</f>
        <v>0</v>
      </c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</row>
    <row r="486" spans="1:74" s="83" customFormat="1" ht="28.5" x14ac:dyDescent="0.2">
      <c r="A486" s="72" t="s">
        <v>1422</v>
      </c>
      <c r="B486" s="73" t="s">
        <v>1423</v>
      </c>
      <c r="C486" s="39"/>
      <c r="D486" s="39"/>
      <c r="E486" s="39"/>
      <c r="F486" s="39"/>
      <c r="G486" s="39">
        <v>1784738527</v>
      </c>
      <c r="H486" s="39"/>
      <c r="I486" s="39"/>
      <c r="J486" s="39"/>
      <c r="K486" s="39"/>
      <c r="L486" s="39"/>
      <c r="M486" s="39"/>
      <c r="N486" s="39"/>
      <c r="O486" s="136">
        <f t="shared" si="218"/>
        <v>1784738527</v>
      </c>
      <c r="P486" s="82">
        <v>1784738527</v>
      </c>
      <c r="Q486" s="104">
        <f t="shared" si="244"/>
        <v>0</v>
      </c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</row>
    <row r="487" spans="1:74" s="108" customFormat="1" ht="31.5" x14ac:dyDescent="0.2">
      <c r="A487" s="77" t="s">
        <v>1424</v>
      </c>
      <c r="B487" s="75" t="s">
        <v>1425</v>
      </c>
      <c r="C487" s="141">
        <f>SUM(C488:C489)</f>
        <v>0</v>
      </c>
      <c r="D487" s="141">
        <f>SUM(D488:D489)</f>
        <v>0</v>
      </c>
      <c r="E487" s="141">
        <f>SUM(E488:E489)</f>
        <v>0</v>
      </c>
      <c r="F487" s="141">
        <f t="shared" ref="F487:N487" si="245">SUM(F488:F489)</f>
        <v>0</v>
      </c>
      <c r="G487" s="141">
        <f>SUM(G488:G489)</f>
        <v>6021063253.3999996</v>
      </c>
      <c r="H487" s="141">
        <f t="shared" si="245"/>
        <v>0</v>
      </c>
      <c r="I487" s="141">
        <f t="shared" si="245"/>
        <v>0</v>
      </c>
      <c r="J487" s="141">
        <f t="shared" si="245"/>
        <v>0</v>
      </c>
      <c r="K487" s="141">
        <f t="shared" si="245"/>
        <v>0</v>
      </c>
      <c r="L487" s="141">
        <f t="shared" si="245"/>
        <v>0</v>
      </c>
      <c r="M487" s="141">
        <f t="shared" si="245"/>
        <v>0</v>
      </c>
      <c r="N487" s="141">
        <f t="shared" si="245"/>
        <v>0</v>
      </c>
      <c r="O487" s="233">
        <f t="shared" si="218"/>
        <v>6021063253.3999996</v>
      </c>
      <c r="P487" s="107">
        <v>6021063253.3999996</v>
      </c>
      <c r="Q487" s="104">
        <f t="shared" si="244"/>
        <v>0</v>
      </c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</row>
    <row r="488" spans="1:74" s="83" customFormat="1" ht="28.5" x14ac:dyDescent="0.2">
      <c r="A488" s="72" t="s">
        <v>1426</v>
      </c>
      <c r="B488" s="73" t="s">
        <v>1427</v>
      </c>
      <c r="C488" s="39"/>
      <c r="D488" s="39"/>
      <c r="E488" s="39"/>
      <c r="F488" s="39"/>
      <c r="G488" s="39">
        <v>3403959283</v>
      </c>
      <c r="H488" s="39"/>
      <c r="I488" s="39"/>
      <c r="J488" s="39"/>
      <c r="K488" s="39"/>
      <c r="L488" s="39"/>
      <c r="M488" s="39"/>
      <c r="N488" s="39"/>
      <c r="O488" s="136">
        <f t="shared" si="218"/>
        <v>3403959283</v>
      </c>
      <c r="P488" s="82">
        <v>3403959283</v>
      </c>
      <c r="Q488" s="104">
        <f t="shared" si="244"/>
        <v>0</v>
      </c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</row>
    <row r="489" spans="1:74" s="83" customFormat="1" ht="28.5" x14ac:dyDescent="0.2">
      <c r="A489" s="72" t="s">
        <v>1428</v>
      </c>
      <c r="B489" s="73" t="s">
        <v>1429</v>
      </c>
      <c r="C489" s="39"/>
      <c r="D489" s="39"/>
      <c r="E489" s="39"/>
      <c r="F489" s="39"/>
      <c r="G489" s="39">
        <v>2617103970.4000001</v>
      </c>
      <c r="H489" s="39"/>
      <c r="I489" s="39"/>
      <c r="J489" s="39"/>
      <c r="K489" s="39"/>
      <c r="L489" s="39"/>
      <c r="M489" s="39"/>
      <c r="N489" s="39"/>
      <c r="O489" s="136">
        <f t="shared" si="218"/>
        <v>2617103970.4000001</v>
      </c>
      <c r="P489" s="107">
        <v>2617103970.4000001</v>
      </c>
      <c r="Q489" s="104">
        <f t="shared" si="244"/>
        <v>0</v>
      </c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</row>
    <row r="490" spans="1:74" s="108" customFormat="1" ht="30" x14ac:dyDescent="0.2">
      <c r="A490" s="77" t="s">
        <v>1430</v>
      </c>
      <c r="B490" s="173" t="s">
        <v>1431</v>
      </c>
      <c r="C490" s="141">
        <f>SUM(C491:C495)</f>
        <v>0</v>
      </c>
      <c r="D490" s="141">
        <f>SUM(D491:D495)</f>
        <v>0</v>
      </c>
      <c r="E490" s="141">
        <f>SUM(E491:E495)</f>
        <v>0</v>
      </c>
      <c r="F490" s="141">
        <f t="shared" ref="F490:N490" si="246">SUM(F491:F495)</f>
        <v>0</v>
      </c>
      <c r="G490" s="141">
        <f>SUM(G491:G495)</f>
        <v>5392091029.4700003</v>
      </c>
      <c r="H490" s="141">
        <f t="shared" si="246"/>
        <v>0</v>
      </c>
      <c r="I490" s="141">
        <f t="shared" si="246"/>
        <v>0</v>
      </c>
      <c r="J490" s="141">
        <f t="shared" si="246"/>
        <v>0</v>
      </c>
      <c r="K490" s="141">
        <f t="shared" si="246"/>
        <v>0</v>
      </c>
      <c r="L490" s="141">
        <f t="shared" si="246"/>
        <v>0</v>
      </c>
      <c r="M490" s="141">
        <f t="shared" si="246"/>
        <v>0</v>
      </c>
      <c r="N490" s="141">
        <f t="shared" si="246"/>
        <v>0</v>
      </c>
      <c r="O490" s="233">
        <f t="shared" si="218"/>
        <v>5392091029.4700003</v>
      </c>
      <c r="P490" s="82">
        <v>5392091029.4700003</v>
      </c>
      <c r="Q490" s="104">
        <f t="shared" si="244"/>
        <v>0</v>
      </c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</row>
    <row r="491" spans="1:74" s="83" customFormat="1" ht="28.5" x14ac:dyDescent="0.2">
      <c r="A491" s="72" t="s">
        <v>1432</v>
      </c>
      <c r="B491" s="73" t="s">
        <v>1433</v>
      </c>
      <c r="C491" s="39"/>
      <c r="D491" s="39"/>
      <c r="E491" s="39"/>
      <c r="F491" s="39"/>
      <c r="G491" s="39">
        <v>3243305814.75</v>
      </c>
      <c r="H491" s="39"/>
      <c r="I491" s="39"/>
      <c r="J491" s="39"/>
      <c r="K491" s="39"/>
      <c r="L491" s="39"/>
      <c r="M491" s="39"/>
      <c r="N491" s="39"/>
      <c r="O491" s="136">
        <f t="shared" si="218"/>
        <v>3243305814.75</v>
      </c>
      <c r="P491" s="107">
        <v>3243305814.75</v>
      </c>
      <c r="Q491" s="104">
        <f t="shared" si="244"/>
        <v>0</v>
      </c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</row>
    <row r="492" spans="1:74" s="83" customFormat="1" ht="28.5" x14ac:dyDescent="0.2">
      <c r="A492" s="72" t="s">
        <v>1434</v>
      </c>
      <c r="B492" s="73" t="s">
        <v>1435</v>
      </c>
      <c r="C492" s="39"/>
      <c r="D492" s="39"/>
      <c r="E492" s="39"/>
      <c r="F492" s="39"/>
      <c r="G492" s="39">
        <v>518928930.36000001</v>
      </c>
      <c r="H492" s="39"/>
      <c r="I492" s="39"/>
      <c r="J492" s="39"/>
      <c r="K492" s="39"/>
      <c r="L492" s="39"/>
      <c r="M492" s="39"/>
      <c r="N492" s="39"/>
      <c r="O492" s="136">
        <f t="shared" si="218"/>
        <v>518928930.36000001</v>
      </c>
      <c r="P492" s="82">
        <v>518928930.36000001</v>
      </c>
      <c r="Q492" s="104">
        <f t="shared" si="244"/>
        <v>0</v>
      </c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</row>
    <row r="493" spans="1:74" s="83" customFormat="1" ht="28.5" x14ac:dyDescent="0.2">
      <c r="A493" s="72" t="s">
        <v>1436</v>
      </c>
      <c r="B493" s="73" t="s">
        <v>1437</v>
      </c>
      <c r="C493" s="39"/>
      <c r="D493" s="39"/>
      <c r="E493" s="39"/>
      <c r="F493" s="39"/>
      <c r="G493" s="39">
        <v>346052620.24000001</v>
      </c>
      <c r="H493" s="39"/>
      <c r="I493" s="39"/>
      <c r="J493" s="39"/>
      <c r="K493" s="39"/>
      <c r="L493" s="39"/>
      <c r="M493" s="39"/>
      <c r="N493" s="39"/>
      <c r="O493" s="136">
        <f t="shared" si="218"/>
        <v>346052620.24000001</v>
      </c>
      <c r="P493" s="107">
        <v>346052620.24000001</v>
      </c>
      <c r="Q493" s="104">
        <f t="shared" si="244"/>
        <v>0</v>
      </c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</row>
    <row r="494" spans="1:74" s="83" customFormat="1" ht="28.5" x14ac:dyDescent="0.2">
      <c r="A494" s="72" t="s">
        <v>1438</v>
      </c>
      <c r="B494" s="73" t="s">
        <v>1439</v>
      </c>
      <c r="C494" s="39"/>
      <c r="D494" s="39"/>
      <c r="E494" s="39"/>
      <c r="F494" s="39"/>
      <c r="G494" s="39">
        <v>790282198.47000003</v>
      </c>
      <c r="H494" s="39"/>
      <c r="I494" s="39"/>
      <c r="J494" s="39"/>
      <c r="K494" s="39"/>
      <c r="L494" s="39"/>
      <c r="M494" s="39"/>
      <c r="N494" s="39"/>
      <c r="O494" s="136">
        <f t="shared" si="218"/>
        <v>790282198.47000003</v>
      </c>
      <c r="P494" s="82">
        <v>790282198.47000003</v>
      </c>
      <c r="Q494" s="104">
        <f t="shared" si="244"/>
        <v>0</v>
      </c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</row>
    <row r="495" spans="1:74" s="83" customFormat="1" ht="28.5" x14ac:dyDescent="0.2">
      <c r="A495" s="72" t="s">
        <v>1440</v>
      </c>
      <c r="B495" s="73" t="s">
        <v>1441</v>
      </c>
      <c r="C495" s="39"/>
      <c r="D495" s="39"/>
      <c r="E495" s="39"/>
      <c r="F495" s="39"/>
      <c r="G495" s="39">
        <v>493521465.64999998</v>
      </c>
      <c r="H495" s="39"/>
      <c r="I495" s="39"/>
      <c r="J495" s="39"/>
      <c r="K495" s="39"/>
      <c r="L495" s="39"/>
      <c r="M495" s="39"/>
      <c r="N495" s="39"/>
      <c r="O495" s="136">
        <f t="shared" si="218"/>
        <v>493521465.64999998</v>
      </c>
      <c r="P495" s="107">
        <v>493521465.64999998</v>
      </c>
      <c r="Q495" s="104">
        <f t="shared" si="244"/>
        <v>0</v>
      </c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</row>
    <row r="496" spans="1:74" s="108" customFormat="1" ht="31.5" x14ac:dyDescent="0.2">
      <c r="A496" s="77" t="s">
        <v>1442</v>
      </c>
      <c r="B496" s="75" t="s">
        <v>1443</v>
      </c>
      <c r="C496" s="141">
        <f>SUM(C497:C500)</f>
        <v>0</v>
      </c>
      <c r="D496" s="141">
        <f>SUM(D497:D500)</f>
        <v>0</v>
      </c>
      <c r="E496" s="141">
        <f>SUM(E497:E500)</f>
        <v>0</v>
      </c>
      <c r="F496" s="141">
        <f t="shared" ref="F496:N496" si="247">SUM(F497:F500)</f>
        <v>0</v>
      </c>
      <c r="G496" s="141">
        <f>SUM(G497:G500)</f>
        <v>8438554129.0799999</v>
      </c>
      <c r="H496" s="141">
        <f t="shared" si="247"/>
        <v>0</v>
      </c>
      <c r="I496" s="141">
        <f t="shared" si="247"/>
        <v>0</v>
      </c>
      <c r="J496" s="141">
        <f t="shared" si="247"/>
        <v>0</v>
      </c>
      <c r="K496" s="141">
        <f t="shared" si="247"/>
        <v>0</v>
      </c>
      <c r="L496" s="141">
        <f t="shared" si="247"/>
        <v>0</v>
      </c>
      <c r="M496" s="141">
        <f t="shared" si="247"/>
        <v>0</v>
      </c>
      <c r="N496" s="141">
        <f t="shared" si="247"/>
        <v>0</v>
      </c>
      <c r="O496" s="233">
        <f t="shared" si="218"/>
        <v>8438554129.0799999</v>
      </c>
      <c r="P496" s="82">
        <v>8438554129.0799999</v>
      </c>
      <c r="Q496" s="104">
        <f t="shared" si="244"/>
        <v>0</v>
      </c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</row>
    <row r="497" spans="1:74" s="83" customFormat="1" ht="28.5" x14ac:dyDescent="0.2">
      <c r="A497" s="72" t="s">
        <v>1444</v>
      </c>
      <c r="B497" s="73" t="s">
        <v>1445</v>
      </c>
      <c r="C497" s="39"/>
      <c r="D497" s="39"/>
      <c r="E497" s="39"/>
      <c r="F497" s="39"/>
      <c r="G497" s="39">
        <v>2671945846.21</v>
      </c>
      <c r="H497" s="39"/>
      <c r="I497" s="39"/>
      <c r="J497" s="39"/>
      <c r="K497" s="39"/>
      <c r="L497" s="39"/>
      <c r="M497" s="39"/>
      <c r="N497" s="39"/>
      <c r="O497" s="136">
        <f t="shared" si="218"/>
        <v>2671945846.21</v>
      </c>
      <c r="P497" s="107">
        <v>2671945846.21</v>
      </c>
      <c r="Q497" s="104">
        <f t="shared" si="244"/>
        <v>0</v>
      </c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</row>
    <row r="498" spans="1:74" s="83" customFormat="1" ht="42.75" x14ac:dyDescent="0.2">
      <c r="A498" s="72" t="s">
        <v>1446</v>
      </c>
      <c r="B498" s="73" t="s">
        <v>1447</v>
      </c>
      <c r="C498" s="39"/>
      <c r="D498" s="39"/>
      <c r="E498" s="39"/>
      <c r="F498" s="39"/>
      <c r="G498" s="39">
        <v>2934254218.5999999</v>
      </c>
      <c r="H498" s="39"/>
      <c r="I498" s="39"/>
      <c r="J498" s="39"/>
      <c r="K498" s="39"/>
      <c r="L498" s="39"/>
      <c r="M498" s="39"/>
      <c r="N498" s="39"/>
      <c r="O498" s="136">
        <f t="shared" si="218"/>
        <v>2934254218.5999999</v>
      </c>
      <c r="P498" s="82">
        <v>2934254218.5999999</v>
      </c>
      <c r="Q498" s="104">
        <f t="shared" si="244"/>
        <v>0</v>
      </c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</row>
    <row r="499" spans="1:74" s="83" customFormat="1" ht="28.5" x14ac:dyDescent="0.2">
      <c r="A499" s="72" t="s">
        <v>1448</v>
      </c>
      <c r="B499" s="73" t="s">
        <v>1449</v>
      </c>
      <c r="C499" s="39"/>
      <c r="D499" s="39"/>
      <c r="E499" s="39"/>
      <c r="F499" s="39"/>
      <c r="G499" s="39">
        <v>61272454.5</v>
      </c>
      <c r="H499" s="39"/>
      <c r="I499" s="39"/>
      <c r="J499" s="39"/>
      <c r="K499" s="39"/>
      <c r="L499" s="39"/>
      <c r="M499" s="39"/>
      <c r="N499" s="39"/>
      <c r="O499" s="136">
        <f t="shared" si="218"/>
        <v>61272454.5</v>
      </c>
      <c r="P499" s="107">
        <v>61272454.5</v>
      </c>
      <c r="Q499" s="104">
        <f t="shared" si="244"/>
        <v>0</v>
      </c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</row>
    <row r="500" spans="1:74" s="83" customFormat="1" ht="28.5" x14ac:dyDescent="0.2">
      <c r="A500" s="72" t="s">
        <v>1450</v>
      </c>
      <c r="B500" s="73" t="s">
        <v>1451</v>
      </c>
      <c r="C500" s="39"/>
      <c r="D500" s="39"/>
      <c r="E500" s="39"/>
      <c r="F500" s="39"/>
      <c r="G500" s="39">
        <v>2771081609.77</v>
      </c>
      <c r="H500" s="39"/>
      <c r="I500" s="39"/>
      <c r="J500" s="39"/>
      <c r="K500" s="39"/>
      <c r="L500" s="39"/>
      <c r="M500" s="39"/>
      <c r="N500" s="39"/>
      <c r="O500" s="136">
        <f t="shared" si="218"/>
        <v>2771081609.77</v>
      </c>
      <c r="P500" s="82">
        <v>2771081609.77</v>
      </c>
      <c r="Q500" s="104">
        <f t="shared" si="244"/>
        <v>0</v>
      </c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</row>
    <row r="501" spans="1:74" s="108" customFormat="1" ht="15.75" x14ac:dyDescent="0.2">
      <c r="A501" s="77" t="s">
        <v>1452</v>
      </c>
      <c r="B501" s="75" t="s">
        <v>1453</v>
      </c>
      <c r="C501" s="141">
        <f>SUM(C502:C506)</f>
        <v>0</v>
      </c>
      <c r="D501" s="141">
        <f>SUM(D502:D506)</f>
        <v>0</v>
      </c>
      <c r="E501" s="141">
        <f>SUM(E502:E506)</f>
        <v>0</v>
      </c>
      <c r="F501" s="141">
        <f t="shared" ref="F501:N501" si="248">SUM(F502:F506)</f>
        <v>0</v>
      </c>
      <c r="G501" s="141">
        <f>SUM(G502:G506)</f>
        <v>6120619248.2299995</v>
      </c>
      <c r="H501" s="141">
        <f t="shared" si="248"/>
        <v>0</v>
      </c>
      <c r="I501" s="141">
        <f t="shared" si="248"/>
        <v>0</v>
      </c>
      <c r="J501" s="141">
        <f t="shared" si="248"/>
        <v>0</v>
      </c>
      <c r="K501" s="141">
        <f t="shared" si="248"/>
        <v>218000000</v>
      </c>
      <c r="L501" s="141">
        <f t="shared" si="248"/>
        <v>0</v>
      </c>
      <c r="M501" s="141">
        <f t="shared" si="248"/>
        <v>0</v>
      </c>
      <c r="N501" s="141">
        <f t="shared" si="248"/>
        <v>0</v>
      </c>
      <c r="O501" s="233">
        <f t="shared" si="218"/>
        <v>6338619248.2299995</v>
      </c>
      <c r="P501" s="107">
        <v>6120619248.2299995</v>
      </c>
      <c r="Q501" s="104">
        <f t="shared" si="244"/>
        <v>-218000000</v>
      </c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</row>
    <row r="502" spans="1:74" s="83" customFormat="1" ht="14.25" x14ac:dyDescent="0.2">
      <c r="A502" s="72" t="s">
        <v>1454</v>
      </c>
      <c r="B502" s="73" t="s">
        <v>1455</v>
      </c>
      <c r="C502" s="39"/>
      <c r="D502" s="39"/>
      <c r="E502" s="39"/>
      <c r="F502" s="39"/>
      <c r="G502" s="39">
        <v>391955142.67000002</v>
      </c>
      <c r="H502" s="39"/>
      <c r="I502" s="39"/>
      <c r="J502" s="39"/>
      <c r="K502" s="39"/>
      <c r="L502" s="39"/>
      <c r="M502" s="39"/>
      <c r="N502" s="39"/>
      <c r="O502" s="136">
        <f t="shared" si="218"/>
        <v>391955142.67000002</v>
      </c>
      <c r="P502" s="82">
        <v>391955142.67000002</v>
      </c>
      <c r="Q502" s="104">
        <f t="shared" si="244"/>
        <v>0</v>
      </c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</row>
    <row r="503" spans="1:74" s="83" customFormat="1" ht="14.25" x14ac:dyDescent="0.2">
      <c r="A503" s="72" t="s">
        <v>1454</v>
      </c>
      <c r="B503" s="73" t="s">
        <v>1455</v>
      </c>
      <c r="C503" s="39"/>
      <c r="D503" s="39"/>
      <c r="E503" s="39"/>
      <c r="F503" s="39"/>
      <c r="G503" s="39"/>
      <c r="H503" s="39"/>
      <c r="I503" s="39"/>
      <c r="J503" s="39"/>
      <c r="K503" s="39">
        <v>218000000</v>
      </c>
      <c r="L503" s="39"/>
      <c r="M503" s="39"/>
      <c r="N503" s="39"/>
      <c r="O503" s="136">
        <f t="shared" si="218"/>
        <v>218000000</v>
      </c>
      <c r="P503" s="82"/>
      <c r="Q503" s="104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</row>
    <row r="504" spans="1:74" s="83" customFormat="1" ht="28.5" x14ac:dyDescent="0.2">
      <c r="A504" s="72" t="s">
        <v>1456</v>
      </c>
      <c r="B504" s="73" t="s">
        <v>1457</v>
      </c>
      <c r="C504" s="39"/>
      <c r="D504" s="39"/>
      <c r="E504" s="39"/>
      <c r="F504" s="39"/>
      <c r="G504" s="39">
        <v>469938850.06999999</v>
      </c>
      <c r="H504" s="39"/>
      <c r="I504" s="39"/>
      <c r="J504" s="39"/>
      <c r="K504" s="39"/>
      <c r="L504" s="39"/>
      <c r="M504" s="39"/>
      <c r="N504" s="39"/>
      <c r="O504" s="136">
        <f t="shared" si="218"/>
        <v>469938850.06999999</v>
      </c>
      <c r="P504" s="107">
        <v>469938850.06999999</v>
      </c>
      <c r="Q504" s="104">
        <f t="shared" si="244"/>
        <v>0</v>
      </c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</row>
    <row r="505" spans="1:74" s="83" customFormat="1" ht="28.5" x14ac:dyDescent="0.2">
      <c r="A505" s="72" t="s">
        <v>1458</v>
      </c>
      <c r="B505" s="73" t="s">
        <v>1459</v>
      </c>
      <c r="C505" s="39"/>
      <c r="D505" s="39"/>
      <c r="E505" s="39"/>
      <c r="F505" s="39"/>
      <c r="G505" s="39">
        <v>4878475057.2299995</v>
      </c>
      <c r="H505" s="39"/>
      <c r="I505" s="39"/>
      <c r="J505" s="39"/>
      <c r="K505" s="39"/>
      <c r="L505" s="39"/>
      <c r="M505" s="39"/>
      <c r="N505" s="39"/>
      <c r="O505" s="136">
        <f t="shared" si="218"/>
        <v>4878475057.2299995</v>
      </c>
      <c r="P505" s="82">
        <v>4878475057.2299995</v>
      </c>
      <c r="Q505" s="104">
        <f t="shared" si="244"/>
        <v>0</v>
      </c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</row>
    <row r="506" spans="1:74" s="83" customFormat="1" ht="28.5" x14ac:dyDescent="0.2">
      <c r="A506" s="72" t="s">
        <v>1460</v>
      </c>
      <c r="B506" s="73" t="s">
        <v>1461</v>
      </c>
      <c r="C506" s="39"/>
      <c r="D506" s="39"/>
      <c r="E506" s="39"/>
      <c r="F506" s="39"/>
      <c r="G506" s="39">
        <v>380250198.25999999</v>
      </c>
      <c r="H506" s="39"/>
      <c r="I506" s="39"/>
      <c r="J506" s="39"/>
      <c r="K506" s="39"/>
      <c r="L506" s="39"/>
      <c r="M506" s="39"/>
      <c r="N506" s="39"/>
      <c r="O506" s="136">
        <f t="shared" si="218"/>
        <v>380250198.25999999</v>
      </c>
      <c r="P506" s="107">
        <v>380250198.25999999</v>
      </c>
      <c r="Q506" s="104">
        <f t="shared" si="244"/>
        <v>0</v>
      </c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</row>
    <row r="507" spans="1:74" s="108" customFormat="1" ht="15.75" x14ac:dyDescent="0.2">
      <c r="A507" s="77" t="s">
        <v>1462</v>
      </c>
      <c r="B507" s="75" t="s">
        <v>1463</v>
      </c>
      <c r="C507" s="141">
        <f>SUM(C508:C509)</f>
        <v>0</v>
      </c>
      <c r="D507" s="141">
        <f>SUM(D508:D509)</f>
        <v>0</v>
      </c>
      <c r="E507" s="141">
        <f>SUM(E508:E509)</f>
        <v>0</v>
      </c>
      <c r="F507" s="141">
        <f t="shared" ref="F507:N507" si="249">SUM(F508:F509)</f>
        <v>0</v>
      </c>
      <c r="G507" s="141">
        <f>SUM(G508:G509)</f>
        <v>27300121.359999999</v>
      </c>
      <c r="H507" s="141">
        <f t="shared" si="249"/>
        <v>0</v>
      </c>
      <c r="I507" s="141">
        <f t="shared" si="249"/>
        <v>0</v>
      </c>
      <c r="J507" s="141">
        <f t="shared" si="249"/>
        <v>0</v>
      </c>
      <c r="K507" s="141">
        <f t="shared" si="249"/>
        <v>0</v>
      </c>
      <c r="L507" s="141">
        <f t="shared" si="249"/>
        <v>0</v>
      </c>
      <c r="M507" s="141">
        <f t="shared" si="249"/>
        <v>0</v>
      </c>
      <c r="N507" s="141">
        <f t="shared" si="249"/>
        <v>0</v>
      </c>
      <c r="O507" s="233">
        <f t="shared" si="218"/>
        <v>27300121.359999999</v>
      </c>
      <c r="P507" s="82">
        <v>27300121.359999999</v>
      </c>
      <c r="Q507" s="104">
        <f t="shared" si="244"/>
        <v>0</v>
      </c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</row>
    <row r="508" spans="1:74" s="83" customFormat="1" ht="15.75" x14ac:dyDescent="0.2">
      <c r="A508" s="72" t="s">
        <v>1464</v>
      </c>
      <c r="B508" s="73" t="s">
        <v>1463</v>
      </c>
      <c r="C508" s="39"/>
      <c r="D508" s="39"/>
      <c r="E508" s="39"/>
      <c r="F508" s="39"/>
      <c r="G508" s="39">
        <v>2505946</v>
      </c>
      <c r="H508" s="39"/>
      <c r="I508" s="39"/>
      <c r="J508" s="39"/>
      <c r="K508" s="39"/>
      <c r="L508" s="39"/>
      <c r="M508" s="39"/>
      <c r="N508" s="39"/>
      <c r="O508" s="136">
        <f t="shared" si="218"/>
        <v>2505946</v>
      </c>
      <c r="P508" s="107">
        <v>2505946</v>
      </c>
      <c r="Q508" s="104">
        <f t="shared" si="244"/>
        <v>0</v>
      </c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</row>
    <row r="509" spans="1:74" s="83" customFormat="1" ht="28.5" x14ac:dyDescent="0.2">
      <c r="A509" s="72" t="s">
        <v>1465</v>
      </c>
      <c r="B509" s="73" t="s">
        <v>1466</v>
      </c>
      <c r="C509" s="39"/>
      <c r="D509" s="39"/>
      <c r="E509" s="39"/>
      <c r="F509" s="39"/>
      <c r="G509" s="39">
        <v>24794175.359999999</v>
      </c>
      <c r="H509" s="39"/>
      <c r="I509" s="39"/>
      <c r="J509" s="39"/>
      <c r="K509" s="39"/>
      <c r="L509" s="39"/>
      <c r="M509" s="39"/>
      <c r="N509" s="39"/>
      <c r="O509" s="136">
        <f t="shared" si="218"/>
        <v>24794175.359999999</v>
      </c>
      <c r="P509" s="82">
        <v>24794175.359999999</v>
      </c>
      <c r="Q509" s="104">
        <f t="shared" si="244"/>
        <v>0</v>
      </c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</row>
    <row r="510" spans="1:74" s="108" customFormat="1" ht="15.75" x14ac:dyDescent="0.2">
      <c r="A510" s="77" t="s">
        <v>1467</v>
      </c>
      <c r="B510" s="75" t="s">
        <v>1468</v>
      </c>
      <c r="C510" s="141">
        <f>SUM(C511:C512)</f>
        <v>0</v>
      </c>
      <c r="D510" s="141">
        <f>SUM(D511:D512)</f>
        <v>0</v>
      </c>
      <c r="E510" s="141">
        <f>SUM(E511:E512)</f>
        <v>0</v>
      </c>
      <c r="F510" s="141">
        <f t="shared" ref="F510:N510" si="250">SUM(F511:F512)</f>
        <v>0</v>
      </c>
      <c r="G510" s="141">
        <f>SUM(G511:G512)</f>
        <v>2574669714.0699997</v>
      </c>
      <c r="H510" s="141">
        <f t="shared" si="250"/>
        <v>0</v>
      </c>
      <c r="I510" s="141">
        <f t="shared" si="250"/>
        <v>0</v>
      </c>
      <c r="J510" s="141">
        <f t="shared" si="250"/>
        <v>0</v>
      </c>
      <c r="K510" s="141">
        <f t="shared" si="250"/>
        <v>0</v>
      </c>
      <c r="L510" s="141">
        <f t="shared" si="250"/>
        <v>0</v>
      </c>
      <c r="M510" s="141">
        <f t="shared" si="250"/>
        <v>0</v>
      </c>
      <c r="N510" s="141">
        <f t="shared" si="250"/>
        <v>0</v>
      </c>
      <c r="O510" s="233">
        <f t="shared" si="218"/>
        <v>2574669714.0699997</v>
      </c>
      <c r="P510" s="107">
        <v>2574669714.0700002</v>
      </c>
      <c r="Q510" s="104">
        <f t="shared" si="244"/>
        <v>0</v>
      </c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</row>
    <row r="511" spans="1:74" s="83" customFormat="1" ht="14.25" x14ac:dyDescent="0.2">
      <c r="A511" s="72" t="s">
        <v>1469</v>
      </c>
      <c r="B511" s="73" t="s">
        <v>1468</v>
      </c>
      <c r="C511" s="39"/>
      <c r="D511" s="39"/>
      <c r="E511" s="39"/>
      <c r="F511" s="39"/>
      <c r="G511" s="39">
        <v>1979873863.0699999</v>
      </c>
      <c r="H511" s="39"/>
      <c r="I511" s="39"/>
      <c r="J511" s="39"/>
      <c r="K511" s="39"/>
      <c r="L511" s="39"/>
      <c r="M511" s="39"/>
      <c r="N511" s="39"/>
      <c r="O511" s="136">
        <f t="shared" si="218"/>
        <v>1979873863.0699999</v>
      </c>
      <c r="P511" s="82">
        <v>1979873863.0699999</v>
      </c>
      <c r="Q511" s="104">
        <f t="shared" si="244"/>
        <v>0</v>
      </c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</row>
    <row r="512" spans="1:74" s="83" customFormat="1" ht="28.5" x14ac:dyDescent="0.2">
      <c r="A512" s="72" t="s">
        <v>1470</v>
      </c>
      <c r="B512" s="73" t="s">
        <v>1471</v>
      </c>
      <c r="C512" s="39"/>
      <c r="D512" s="39"/>
      <c r="E512" s="39"/>
      <c r="F512" s="39"/>
      <c r="G512" s="39">
        <v>594795851</v>
      </c>
      <c r="H512" s="39"/>
      <c r="I512" s="39"/>
      <c r="J512" s="39"/>
      <c r="K512" s="39"/>
      <c r="L512" s="39"/>
      <c r="M512" s="39"/>
      <c r="N512" s="39"/>
      <c r="O512" s="136">
        <f t="shared" si="218"/>
        <v>594795851</v>
      </c>
      <c r="P512" s="107">
        <v>594795851</v>
      </c>
      <c r="Q512" s="104">
        <f t="shared" si="244"/>
        <v>0</v>
      </c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</row>
    <row r="513" spans="1:74" s="108" customFormat="1" ht="15.75" x14ac:dyDescent="0.2">
      <c r="A513" s="77" t="s">
        <v>1472</v>
      </c>
      <c r="B513" s="75" t="s">
        <v>1473</v>
      </c>
      <c r="C513" s="141">
        <f>+C514</f>
        <v>0</v>
      </c>
      <c r="D513" s="141">
        <f>+D514</f>
        <v>0</v>
      </c>
      <c r="E513" s="141">
        <f>+E514</f>
        <v>0</v>
      </c>
      <c r="F513" s="141">
        <f t="shared" ref="F513:N513" si="251">+F514</f>
        <v>0</v>
      </c>
      <c r="G513" s="141">
        <f>+G514</f>
        <v>8931257.5099999998</v>
      </c>
      <c r="H513" s="141">
        <f t="shared" si="251"/>
        <v>0</v>
      </c>
      <c r="I513" s="141">
        <f t="shared" si="251"/>
        <v>0</v>
      </c>
      <c r="J513" s="141">
        <f t="shared" si="251"/>
        <v>0</v>
      </c>
      <c r="K513" s="141">
        <f t="shared" si="251"/>
        <v>0</v>
      </c>
      <c r="L513" s="141">
        <f t="shared" si="251"/>
        <v>0</v>
      </c>
      <c r="M513" s="141">
        <f t="shared" si="251"/>
        <v>0</v>
      </c>
      <c r="N513" s="141">
        <f t="shared" si="251"/>
        <v>0</v>
      </c>
      <c r="O513" s="233">
        <f t="shared" si="218"/>
        <v>8931257.5099999998</v>
      </c>
      <c r="P513" s="82">
        <v>8931257.5099999998</v>
      </c>
      <c r="Q513" s="104">
        <f t="shared" si="244"/>
        <v>0</v>
      </c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</row>
    <row r="514" spans="1:74" s="83" customFormat="1" ht="15.75" x14ac:dyDescent="0.2">
      <c r="A514" s="72" t="s">
        <v>1474</v>
      </c>
      <c r="B514" s="73" t="s">
        <v>1473</v>
      </c>
      <c r="C514" s="39"/>
      <c r="D514" s="39"/>
      <c r="E514" s="39"/>
      <c r="F514" s="39"/>
      <c r="G514" s="39">
        <v>8931257.5099999998</v>
      </c>
      <c r="H514" s="39"/>
      <c r="I514" s="39"/>
      <c r="J514" s="39"/>
      <c r="K514" s="39"/>
      <c r="L514" s="39"/>
      <c r="M514" s="39"/>
      <c r="N514" s="39"/>
      <c r="O514" s="136">
        <f t="shared" si="218"/>
        <v>8931257.5099999998</v>
      </c>
      <c r="P514" s="107">
        <v>8931257.5099999998</v>
      </c>
      <c r="Q514" s="104">
        <f t="shared" si="244"/>
        <v>0</v>
      </c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</row>
    <row r="515" spans="1:74" s="108" customFormat="1" ht="15.75" x14ac:dyDescent="0.2">
      <c r="A515" s="77" t="s">
        <v>1475</v>
      </c>
      <c r="B515" s="75" t="s">
        <v>1476</v>
      </c>
      <c r="C515" s="141">
        <f>+C516</f>
        <v>0</v>
      </c>
      <c r="D515" s="141">
        <f>+D516</f>
        <v>0</v>
      </c>
      <c r="E515" s="141">
        <f>+E516</f>
        <v>0</v>
      </c>
      <c r="F515" s="141">
        <f t="shared" ref="F515:N515" si="252">+F516</f>
        <v>0</v>
      </c>
      <c r="G515" s="141">
        <f>+G516</f>
        <v>500660949.22000003</v>
      </c>
      <c r="H515" s="141">
        <f t="shared" si="252"/>
        <v>0</v>
      </c>
      <c r="I515" s="141">
        <f t="shared" si="252"/>
        <v>0</v>
      </c>
      <c r="J515" s="141">
        <f t="shared" si="252"/>
        <v>0</v>
      </c>
      <c r="K515" s="141">
        <f t="shared" si="252"/>
        <v>0</v>
      </c>
      <c r="L515" s="141">
        <f t="shared" si="252"/>
        <v>0</v>
      </c>
      <c r="M515" s="141">
        <f t="shared" si="252"/>
        <v>0</v>
      </c>
      <c r="N515" s="141">
        <f t="shared" si="252"/>
        <v>0</v>
      </c>
      <c r="O515" s="233">
        <f t="shared" si="218"/>
        <v>500660949.22000003</v>
      </c>
      <c r="P515" s="82">
        <v>500660949.22000003</v>
      </c>
      <c r="Q515" s="104">
        <f t="shared" si="244"/>
        <v>0</v>
      </c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</row>
    <row r="516" spans="1:74" s="83" customFormat="1" ht="15.75" x14ac:dyDescent="0.2">
      <c r="A516" s="72" t="s">
        <v>1477</v>
      </c>
      <c r="B516" s="73" t="s">
        <v>1476</v>
      </c>
      <c r="C516" s="39"/>
      <c r="D516" s="39"/>
      <c r="E516" s="39"/>
      <c r="F516" s="39"/>
      <c r="G516" s="39">
        <v>500660949.22000003</v>
      </c>
      <c r="H516" s="39"/>
      <c r="I516" s="39"/>
      <c r="J516" s="39"/>
      <c r="K516" s="39"/>
      <c r="L516" s="39"/>
      <c r="M516" s="39"/>
      <c r="N516" s="39"/>
      <c r="O516" s="136">
        <f t="shared" si="218"/>
        <v>500660949.22000003</v>
      </c>
      <c r="P516" s="107">
        <v>500660949.22000003</v>
      </c>
      <c r="Q516" s="104">
        <f t="shared" si="244"/>
        <v>0</v>
      </c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</row>
    <row r="517" spans="1:74" s="108" customFormat="1" ht="15.75" x14ac:dyDescent="0.2">
      <c r="A517" s="77" t="s">
        <v>1478</v>
      </c>
      <c r="B517" s="75" t="s">
        <v>1479</v>
      </c>
      <c r="C517" s="141">
        <f>+C518</f>
        <v>0</v>
      </c>
      <c r="D517" s="141">
        <f>+D518</f>
        <v>0</v>
      </c>
      <c r="E517" s="141">
        <f>+E518</f>
        <v>0</v>
      </c>
      <c r="F517" s="141">
        <f t="shared" ref="F517:N517" si="253">+F518</f>
        <v>0</v>
      </c>
      <c r="G517" s="141">
        <f>+G518</f>
        <v>298898995.22000003</v>
      </c>
      <c r="H517" s="141">
        <f t="shared" si="253"/>
        <v>0</v>
      </c>
      <c r="I517" s="141">
        <f t="shared" si="253"/>
        <v>0</v>
      </c>
      <c r="J517" s="141">
        <f t="shared" si="253"/>
        <v>0</v>
      </c>
      <c r="K517" s="141">
        <f t="shared" si="253"/>
        <v>0</v>
      </c>
      <c r="L517" s="141">
        <f t="shared" si="253"/>
        <v>0</v>
      </c>
      <c r="M517" s="141">
        <f t="shared" si="253"/>
        <v>0</v>
      </c>
      <c r="N517" s="141">
        <f t="shared" si="253"/>
        <v>0</v>
      </c>
      <c r="O517" s="233">
        <f t="shared" si="218"/>
        <v>298898995.22000003</v>
      </c>
      <c r="P517" s="82">
        <v>298898995.22000003</v>
      </c>
      <c r="Q517" s="104">
        <f t="shared" si="244"/>
        <v>0</v>
      </c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</row>
    <row r="518" spans="1:74" s="83" customFormat="1" ht="15.75" x14ac:dyDescent="0.2">
      <c r="A518" s="72" t="s">
        <v>1480</v>
      </c>
      <c r="B518" s="73" t="s">
        <v>1479</v>
      </c>
      <c r="C518" s="39"/>
      <c r="D518" s="39"/>
      <c r="E518" s="39"/>
      <c r="F518" s="39"/>
      <c r="G518" s="39">
        <v>298898995.22000003</v>
      </c>
      <c r="H518" s="39"/>
      <c r="I518" s="39"/>
      <c r="J518" s="39"/>
      <c r="K518" s="39"/>
      <c r="L518" s="39"/>
      <c r="M518" s="39"/>
      <c r="N518" s="39"/>
      <c r="O518" s="136">
        <f t="shared" si="218"/>
        <v>298898995.22000003</v>
      </c>
      <c r="P518" s="107">
        <v>298898995.22000003</v>
      </c>
      <c r="Q518" s="104">
        <f t="shared" si="244"/>
        <v>0</v>
      </c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</row>
    <row r="519" spans="1:74" s="108" customFormat="1" ht="31.5" x14ac:dyDescent="0.2">
      <c r="A519" s="77" t="s">
        <v>1481</v>
      </c>
      <c r="B519" s="75" t="s">
        <v>1482</v>
      </c>
      <c r="C519" s="141">
        <f>+C520</f>
        <v>0</v>
      </c>
      <c r="D519" s="141">
        <f>+D520</f>
        <v>0</v>
      </c>
      <c r="E519" s="141">
        <f>+E520</f>
        <v>0</v>
      </c>
      <c r="F519" s="141">
        <f t="shared" ref="F519:N519" si="254">+F520</f>
        <v>0</v>
      </c>
      <c r="G519" s="141">
        <f>+G520</f>
        <v>6785621064.1300001</v>
      </c>
      <c r="H519" s="141">
        <f t="shared" si="254"/>
        <v>0</v>
      </c>
      <c r="I519" s="141">
        <f t="shared" si="254"/>
        <v>0</v>
      </c>
      <c r="J519" s="141">
        <f t="shared" si="254"/>
        <v>0</v>
      </c>
      <c r="K519" s="141">
        <f t="shared" si="254"/>
        <v>0</v>
      </c>
      <c r="L519" s="141">
        <f t="shared" si="254"/>
        <v>0</v>
      </c>
      <c r="M519" s="141">
        <f t="shared" si="254"/>
        <v>0</v>
      </c>
      <c r="N519" s="141">
        <f t="shared" si="254"/>
        <v>0</v>
      </c>
      <c r="O519" s="233">
        <f t="shared" si="218"/>
        <v>6785621064.1300001</v>
      </c>
      <c r="P519" s="82">
        <v>6785621064.1300001</v>
      </c>
      <c r="Q519" s="104">
        <f t="shared" si="244"/>
        <v>0</v>
      </c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</row>
    <row r="520" spans="1:74" s="83" customFormat="1" ht="15.75" x14ac:dyDescent="0.2">
      <c r="A520" s="72" t="s">
        <v>1483</v>
      </c>
      <c r="B520" s="73" t="s">
        <v>1482</v>
      </c>
      <c r="C520" s="39"/>
      <c r="D520" s="39"/>
      <c r="E520" s="39"/>
      <c r="F520" s="39"/>
      <c r="G520" s="39">
        <v>6785621064.1300001</v>
      </c>
      <c r="H520" s="39"/>
      <c r="I520" s="39"/>
      <c r="J520" s="39"/>
      <c r="K520" s="39"/>
      <c r="L520" s="39"/>
      <c r="M520" s="39"/>
      <c r="N520" s="39"/>
      <c r="O520" s="136">
        <f t="shared" si="218"/>
        <v>6785621064.1300001</v>
      </c>
      <c r="P520" s="107">
        <v>6785621064.1300001</v>
      </c>
      <c r="Q520" s="104">
        <f t="shared" si="244"/>
        <v>0</v>
      </c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</row>
    <row r="521" spans="1:74" s="108" customFormat="1" ht="15.75" x14ac:dyDescent="0.2">
      <c r="A521" s="77" t="s">
        <v>1484</v>
      </c>
      <c r="B521" s="75" t="s">
        <v>1485</v>
      </c>
      <c r="C521" s="141">
        <f>SUM(C522:C523)</f>
        <v>0</v>
      </c>
      <c r="D521" s="141">
        <f t="shared" ref="D521:N521" si="255">SUM(D522:D523)</f>
        <v>0</v>
      </c>
      <c r="E521" s="141">
        <f t="shared" si="255"/>
        <v>0</v>
      </c>
      <c r="F521" s="141">
        <f t="shared" si="255"/>
        <v>0</v>
      </c>
      <c r="G521" s="141">
        <f t="shared" si="255"/>
        <v>1014585724</v>
      </c>
      <c r="H521" s="141">
        <f t="shared" si="255"/>
        <v>0</v>
      </c>
      <c r="I521" s="141">
        <f t="shared" si="255"/>
        <v>0</v>
      </c>
      <c r="J521" s="141">
        <f t="shared" si="255"/>
        <v>0</v>
      </c>
      <c r="K521" s="141">
        <f>SUM(K522:K523)</f>
        <v>1050000</v>
      </c>
      <c r="L521" s="141">
        <f t="shared" si="255"/>
        <v>0</v>
      </c>
      <c r="M521" s="141">
        <f t="shared" si="255"/>
        <v>0</v>
      </c>
      <c r="N521" s="141">
        <f t="shared" si="255"/>
        <v>0</v>
      </c>
      <c r="O521" s="233">
        <f t="shared" si="218"/>
        <v>1015635724</v>
      </c>
      <c r="P521" s="82">
        <v>1014585724</v>
      </c>
      <c r="Q521" s="104">
        <f t="shared" si="244"/>
        <v>-1050000</v>
      </c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</row>
    <row r="522" spans="1:74" s="83" customFormat="1" ht="15.75" x14ac:dyDescent="0.2">
      <c r="A522" s="72" t="s">
        <v>1486</v>
      </c>
      <c r="B522" s="73" t="s">
        <v>1485</v>
      </c>
      <c r="C522" s="39"/>
      <c r="D522" s="39"/>
      <c r="E522" s="39"/>
      <c r="F522" s="39"/>
      <c r="G522" s="39">
        <v>1014585724</v>
      </c>
      <c r="H522" s="39"/>
      <c r="I522" s="39"/>
      <c r="J522" s="39"/>
      <c r="K522" s="39"/>
      <c r="L522" s="39"/>
      <c r="M522" s="39"/>
      <c r="N522" s="39"/>
      <c r="O522" s="136">
        <f t="shared" si="218"/>
        <v>1014585724</v>
      </c>
      <c r="P522" s="107">
        <v>1014585724</v>
      </c>
      <c r="Q522" s="104">
        <f t="shared" si="244"/>
        <v>0</v>
      </c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</row>
    <row r="523" spans="1:74" s="83" customFormat="1" ht="15.75" x14ac:dyDescent="0.2">
      <c r="A523" s="72" t="s">
        <v>1486</v>
      </c>
      <c r="B523" s="73" t="s">
        <v>1485</v>
      </c>
      <c r="C523" s="39"/>
      <c r="D523" s="39"/>
      <c r="E523" s="39"/>
      <c r="F523" s="39"/>
      <c r="G523" s="39"/>
      <c r="H523" s="39"/>
      <c r="I523" s="39"/>
      <c r="J523" s="39"/>
      <c r="K523" s="39">
        <v>1050000</v>
      </c>
      <c r="L523" s="39"/>
      <c r="M523" s="39"/>
      <c r="N523" s="39"/>
      <c r="O523" s="136">
        <f t="shared" si="218"/>
        <v>1050000</v>
      </c>
      <c r="P523" s="107"/>
      <c r="Q523" s="104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</row>
    <row r="524" spans="1:74" s="108" customFormat="1" ht="15.75" x14ac:dyDescent="0.2">
      <c r="A524" s="77" t="s">
        <v>1487</v>
      </c>
      <c r="B524" s="75" t="s">
        <v>1488</v>
      </c>
      <c r="C524" s="141">
        <f>+C525</f>
        <v>0</v>
      </c>
      <c r="D524" s="141">
        <f>+D525</f>
        <v>0</v>
      </c>
      <c r="E524" s="141">
        <f>+E525</f>
        <v>0</v>
      </c>
      <c r="F524" s="141">
        <f t="shared" ref="F524:N524" si="256">+F525</f>
        <v>0</v>
      </c>
      <c r="G524" s="141">
        <f>+G525</f>
        <v>1217590140.95</v>
      </c>
      <c r="H524" s="141">
        <f t="shared" si="256"/>
        <v>0</v>
      </c>
      <c r="I524" s="141">
        <f t="shared" si="256"/>
        <v>0</v>
      </c>
      <c r="J524" s="141">
        <f t="shared" si="256"/>
        <v>0</v>
      </c>
      <c r="K524" s="141">
        <f t="shared" si="256"/>
        <v>0</v>
      </c>
      <c r="L524" s="141">
        <f t="shared" si="256"/>
        <v>0</v>
      </c>
      <c r="M524" s="141">
        <f t="shared" si="256"/>
        <v>0</v>
      </c>
      <c r="N524" s="141">
        <f t="shared" si="256"/>
        <v>0</v>
      </c>
      <c r="O524" s="136">
        <f t="shared" si="218"/>
        <v>1217590140.95</v>
      </c>
      <c r="P524" s="82">
        <v>1217590140.95</v>
      </c>
      <c r="Q524" s="104">
        <f t="shared" si="244"/>
        <v>0</v>
      </c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</row>
    <row r="525" spans="1:74" s="83" customFormat="1" ht="15.75" x14ac:dyDescent="0.2">
      <c r="A525" s="72" t="s">
        <v>1489</v>
      </c>
      <c r="B525" s="73" t="s">
        <v>1488</v>
      </c>
      <c r="C525" s="39"/>
      <c r="D525" s="39"/>
      <c r="E525" s="39"/>
      <c r="F525" s="39"/>
      <c r="G525" s="39">
        <v>1217590140.95</v>
      </c>
      <c r="H525" s="39"/>
      <c r="I525" s="39"/>
      <c r="J525" s="39"/>
      <c r="K525" s="39"/>
      <c r="L525" s="39"/>
      <c r="M525" s="39"/>
      <c r="N525" s="39"/>
      <c r="O525" s="136">
        <f t="shared" si="218"/>
        <v>1217590140.95</v>
      </c>
      <c r="P525" s="107">
        <v>1217590140.95</v>
      </c>
      <c r="Q525" s="104">
        <f t="shared" si="244"/>
        <v>0</v>
      </c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</row>
    <row r="526" spans="1:74" s="108" customFormat="1" ht="15.75" x14ac:dyDescent="0.2">
      <c r="A526" s="77" t="s">
        <v>1490</v>
      </c>
      <c r="B526" s="75" t="s">
        <v>1491</v>
      </c>
      <c r="C526" s="141">
        <f>+C527</f>
        <v>0</v>
      </c>
      <c r="D526" s="141">
        <f>+D527</f>
        <v>0</v>
      </c>
      <c r="E526" s="141">
        <f>+E527</f>
        <v>0</v>
      </c>
      <c r="F526" s="141">
        <f t="shared" ref="F526:N526" si="257">+F527</f>
        <v>0</v>
      </c>
      <c r="G526" s="141">
        <f t="shared" si="257"/>
        <v>9066503659.1900005</v>
      </c>
      <c r="H526" s="141">
        <f t="shared" si="257"/>
        <v>0</v>
      </c>
      <c r="I526" s="141">
        <f t="shared" si="257"/>
        <v>0</v>
      </c>
      <c r="J526" s="141">
        <f t="shared" si="257"/>
        <v>0</v>
      </c>
      <c r="K526" s="141">
        <f t="shared" si="257"/>
        <v>0</v>
      </c>
      <c r="L526" s="141">
        <f t="shared" si="257"/>
        <v>0</v>
      </c>
      <c r="M526" s="141">
        <f t="shared" si="257"/>
        <v>0</v>
      </c>
      <c r="N526" s="141">
        <f t="shared" si="257"/>
        <v>0</v>
      </c>
      <c r="O526" s="233">
        <f t="shared" si="218"/>
        <v>9066503659.1900005</v>
      </c>
      <c r="P526" s="82">
        <v>9066503659.1900005</v>
      </c>
      <c r="Q526" s="104">
        <f t="shared" si="244"/>
        <v>0</v>
      </c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</row>
    <row r="527" spans="1:74" s="83" customFormat="1" ht="15.75" x14ac:dyDescent="0.2">
      <c r="A527" s="72" t="s">
        <v>1492</v>
      </c>
      <c r="B527" s="73" t="s">
        <v>1491</v>
      </c>
      <c r="C527" s="39"/>
      <c r="D527" s="39"/>
      <c r="E527" s="39"/>
      <c r="F527" s="39"/>
      <c r="G527" s="39">
        <v>9066503659.1900005</v>
      </c>
      <c r="H527" s="39"/>
      <c r="I527" s="39"/>
      <c r="J527" s="39"/>
      <c r="K527" s="39"/>
      <c r="L527" s="39"/>
      <c r="M527" s="39"/>
      <c r="N527" s="39"/>
      <c r="O527" s="136">
        <f t="shared" si="218"/>
        <v>9066503659.1900005</v>
      </c>
      <c r="P527" s="107">
        <v>9066503659.1900005</v>
      </c>
      <c r="Q527" s="104">
        <f t="shared" si="244"/>
        <v>0</v>
      </c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</row>
    <row r="528" spans="1:74" s="108" customFormat="1" ht="15.75" x14ac:dyDescent="0.2">
      <c r="A528" s="77" t="s">
        <v>1493</v>
      </c>
      <c r="B528" s="75" t="s">
        <v>1494</v>
      </c>
      <c r="C528" s="141">
        <f>+C529</f>
        <v>0</v>
      </c>
      <c r="D528" s="141">
        <f>+D529</f>
        <v>0</v>
      </c>
      <c r="E528" s="141">
        <f>+E529</f>
        <v>0</v>
      </c>
      <c r="F528" s="141">
        <f t="shared" ref="F528:N528" si="258">+F529</f>
        <v>0</v>
      </c>
      <c r="G528" s="141">
        <f t="shared" si="258"/>
        <v>4189115912</v>
      </c>
      <c r="H528" s="141">
        <f t="shared" si="258"/>
        <v>0</v>
      </c>
      <c r="I528" s="141">
        <f t="shared" si="258"/>
        <v>0</v>
      </c>
      <c r="J528" s="141">
        <f t="shared" si="258"/>
        <v>0</v>
      </c>
      <c r="K528" s="141">
        <f t="shared" si="258"/>
        <v>0</v>
      </c>
      <c r="L528" s="141">
        <f t="shared" si="258"/>
        <v>0</v>
      </c>
      <c r="M528" s="141">
        <f t="shared" si="258"/>
        <v>0</v>
      </c>
      <c r="N528" s="141">
        <f t="shared" si="258"/>
        <v>0</v>
      </c>
      <c r="O528" s="233">
        <f t="shared" si="218"/>
        <v>4189115912</v>
      </c>
      <c r="P528" s="82">
        <v>4189115912</v>
      </c>
      <c r="Q528" s="104">
        <f t="shared" si="244"/>
        <v>0</v>
      </c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</row>
    <row r="529" spans="1:74" s="83" customFormat="1" ht="15.75" x14ac:dyDescent="0.2">
      <c r="A529" s="72" t="s">
        <v>1495</v>
      </c>
      <c r="B529" s="73" t="s">
        <v>1494</v>
      </c>
      <c r="C529" s="39"/>
      <c r="D529" s="39"/>
      <c r="E529" s="39"/>
      <c r="F529" s="39"/>
      <c r="G529" s="39">
        <v>4189115912</v>
      </c>
      <c r="H529" s="39"/>
      <c r="I529" s="39"/>
      <c r="J529" s="39"/>
      <c r="K529" s="39"/>
      <c r="L529" s="39"/>
      <c r="M529" s="39"/>
      <c r="N529" s="39"/>
      <c r="O529" s="136">
        <f t="shared" si="218"/>
        <v>4189115912</v>
      </c>
      <c r="P529" s="107">
        <v>4189115912</v>
      </c>
      <c r="Q529" s="104">
        <f t="shared" si="244"/>
        <v>0</v>
      </c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</row>
    <row r="530" spans="1:74" s="108" customFormat="1" ht="63" x14ac:dyDescent="0.2">
      <c r="A530" s="77" t="s">
        <v>1496</v>
      </c>
      <c r="B530" s="75" t="s">
        <v>1497</v>
      </c>
      <c r="C530" s="141">
        <f>+C531</f>
        <v>0</v>
      </c>
      <c r="D530" s="141">
        <f>+D531</f>
        <v>0</v>
      </c>
      <c r="E530" s="141">
        <f>+E531</f>
        <v>0</v>
      </c>
      <c r="F530" s="141">
        <f t="shared" ref="F530:N530" si="259">+F531</f>
        <v>0</v>
      </c>
      <c r="G530" s="141">
        <f t="shared" si="259"/>
        <v>3483193805.9099998</v>
      </c>
      <c r="H530" s="141">
        <f t="shared" si="259"/>
        <v>0</v>
      </c>
      <c r="I530" s="141">
        <f t="shared" si="259"/>
        <v>0</v>
      </c>
      <c r="J530" s="141">
        <f t="shared" si="259"/>
        <v>0</v>
      </c>
      <c r="K530" s="141">
        <f t="shared" si="259"/>
        <v>0</v>
      </c>
      <c r="L530" s="141">
        <f t="shared" si="259"/>
        <v>0</v>
      </c>
      <c r="M530" s="141">
        <f t="shared" si="259"/>
        <v>0</v>
      </c>
      <c r="N530" s="141">
        <f t="shared" si="259"/>
        <v>0</v>
      </c>
      <c r="O530" s="233">
        <f t="shared" si="218"/>
        <v>3483193805.9099998</v>
      </c>
      <c r="P530" s="82">
        <v>3483193805.9099998</v>
      </c>
      <c r="Q530" s="104">
        <f t="shared" si="244"/>
        <v>0</v>
      </c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</row>
    <row r="531" spans="1:74" s="83" customFormat="1" ht="57" x14ac:dyDescent="0.2">
      <c r="A531" s="72" t="s">
        <v>1498</v>
      </c>
      <c r="B531" s="73" t="s">
        <v>1499</v>
      </c>
      <c r="C531" s="39"/>
      <c r="D531" s="39"/>
      <c r="E531" s="39"/>
      <c r="F531" s="39"/>
      <c r="G531" s="39">
        <v>3483193805.9099998</v>
      </c>
      <c r="H531" s="39"/>
      <c r="I531" s="39"/>
      <c r="J531" s="39"/>
      <c r="K531" s="39"/>
      <c r="L531" s="39"/>
      <c r="M531" s="39"/>
      <c r="N531" s="39"/>
      <c r="O531" s="136">
        <f t="shared" si="218"/>
        <v>3483193805.9099998</v>
      </c>
      <c r="P531" s="107">
        <v>3483193805.9099998</v>
      </c>
      <c r="Q531" s="104">
        <f t="shared" si="244"/>
        <v>0</v>
      </c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</row>
    <row r="532" spans="1:74" s="108" customFormat="1" ht="47.25" x14ac:dyDescent="0.2">
      <c r="A532" s="77" t="s">
        <v>1500</v>
      </c>
      <c r="B532" s="75" t="s">
        <v>1501</v>
      </c>
      <c r="C532" s="141">
        <f>+C533</f>
        <v>0</v>
      </c>
      <c r="D532" s="141">
        <f>+D533</f>
        <v>0</v>
      </c>
      <c r="E532" s="141">
        <f>+E533</f>
        <v>0</v>
      </c>
      <c r="F532" s="141">
        <f t="shared" ref="F532:N532" si="260">+F533</f>
        <v>0</v>
      </c>
      <c r="G532" s="141">
        <f t="shared" si="260"/>
        <v>2029741990.6800001</v>
      </c>
      <c r="H532" s="141">
        <f t="shared" si="260"/>
        <v>0</v>
      </c>
      <c r="I532" s="141">
        <f t="shared" si="260"/>
        <v>0</v>
      </c>
      <c r="J532" s="141">
        <f t="shared" si="260"/>
        <v>0</v>
      </c>
      <c r="K532" s="141">
        <f t="shared" si="260"/>
        <v>0</v>
      </c>
      <c r="L532" s="141">
        <f t="shared" si="260"/>
        <v>0</v>
      </c>
      <c r="M532" s="141">
        <f t="shared" si="260"/>
        <v>0</v>
      </c>
      <c r="N532" s="141">
        <f t="shared" si="260"/>
        <v>0</v>
      </c>
      <c r="O532" s="233">
        <f t="shared" si="218"/>
        <v>2029741990.6800001</v>
      </c>
      <c r="P532" s="82">
        <v>2029741990.6800001</v>
      </c>
      <c r="Q532" s="104">
        <f t="shared" si="244"/>
        <v>0</v>
      </c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</row>
    <row r="533" spans="1:74" s="83" customFormat="1" ht="28.5" x14ac:dyDescent="0.2">
      <c r="A533" s="72" t="s">
        <v>1502</v>
      </c>
      <c r="B533" s="73" t="s">
        <v>1501</v>
      </c>
      <c r="C533" s="39"/>
      <c r="D533" s="39"/>
      <c r="E533" s="39"/>
      <c r="F533" s="39"/>
      <c r="G533" s="39">
        <v>2029741990.6800001</v>
      </c>
      <c r="H533" s="39"/>
      <c r="I533" s="39"/>
      <c r="J533" s="39"/>
      <c r="K533" s="39"/>
      <c r="L533" s="39"/>
      <c r="M533" s="39"/>
      <c r="N533" s="39"/>
      <c r="O533" s="136">
        <f t="shared" si="218"/>
        <v>2029741990.6800001</v>
      </c>
      <c r="P533" s="107">
        <v>2029741990.6800001</v>
      </c>
      <c r="Q533" s="104">
        <f t="shared" si="244"/>
        <v>0</v>
      </c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</row>
    <row r="534" spans="1:74" s="108" customFormat="1" ht="15.75" x14ac:dyDescent="0.2">
      <c r="A534" s="77" t="s">
        <v>1503</v>
      </c>
      <c r="B534" s="75" t="s">
        <v>1504</v>
      </c>
      <c r="C534" s="141">
        <f>+C535</f>
        <v>0</v>
      </c>
      <c r="D534" s="141">
        <f>+D535</f>
        <v>0</v>
      </c>
      <c r="E534" s="141">
        <f>+E535</f>
        <v>0</v>
      </c>
      <c r="F534" s="141">
        <f t="shared" ref="F534:N534" si="261">+F535</f>
        <v>0</v>
      </c>
      <c r="G534" s="141">
        <f t="shared" si="261"/>
        <v>1500000000</v>
      </c>
      <c r="H534" s="141">
        <f t="shared" si="261"/>
        <v>0</v>
      </c>
      <c r="I534" s="141">
        <f t="shared" si="261"/>
        <v>0</v>
      </c>
      <c r="J534" s="141">
        <f t="shared" si="261"/>
        <v>0</v>
      </c>
      <c r="K534" s="141">
        <f t="shared" si="261"/>
        <v>0</v>
      </c>
      <c r="L534" s="141">
        <f t="shared" si="261"/>
        <v>0</v>
      </c>
      <c r="M534" s="141">
        <f t="shared" si="261"/>
        <v>0</v>
      </c>
      <c r="N534" s="141">
        <f t="shared" si="261"/>
        <v>0</v>
      </c>
      <c r="O534" s="233">
        <f t="shared" si="218"/>
        <v>1500000000</v>
      </c>
      <c r="P534" s="82">
        <v>1500000000</v>
      </c>
      <c r="Q534" s="104">
        <f t="shared" si="244"/>
        <v>0</v>
      </c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</row>
    <row r="535" spans="1:74" s="83" customFormat="1" ht="15.75" x14ac:dyDescent="0.2">
      <c r="A535" s="72" t="s">
        <v>1505</v>
      </c>
      <c r="B535" s="73" t="s">
        <v>1504</v>
      </c>
      <c r="C535" s="39"/>
      <c r="D535" s="39"/>
      <c r="E535" s="39"/>
      <c r="F535" s="39"/>
      <c r="G535" s="39">
        <v>1500000000</v>
      </c>
      <c r="H535" s="39"/>
      <c r="I535" s="39"/>
      <c r="J535" s="39"/>
      <c r="K535" s="39"/>
      <c r="L535" s="39"/>
      <c r="M535" s="39"/>
      <c r="N535" s="39"/>
      <c r="O535" s="136">
        <f t="shared" si="218"/>
        <v>1500000000</v>
      </c>
      <c r="P535" s="107">
        <v>1500000000</v>
      </c>
      <c r="Q535" s="104">
        <f t="shared" si="244"/>
        <v>0</v>
      </c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</row>
    <row r="536" spans="1:74" s="108" customFormat="1" ht="15.75" x14ac:dyDescent="0.2">
      <c r="A536" s="77" t="s">
        <v>1506</v>
      </c>
      <c r="B536" s="75" t="s">
        <v>1507</v>
      </c>
      <c r="C536" s="141">
        <f>+C537</f>
        <v>0</v>
      </c>
      <c r="D536" s="141">
        <f>+D537</f>
        <v>0</v>
      </c>
      <c r="E536" s="141">
        <f>+E537</f>
        <v>0</v>
      </c>
      <c r="F536" s="141">
        <f t="shared" ref="F536:N536" si="262">+F537</f>
        <v>0</v>
      </c>
      <c r="G536" s="141">
        <f t="shared" si="262"/>
        <v>1500000000</v>
      </c>
      <c r="H536" s="141">
        <f t="shared" si="262"/>
        <v>0</v>
      </c>
      <c r="I536" s="141">
        <f t="shared" si="262"/>
        <v>0</v>
      </c>
      <c r="J536" s="141">
        <f t="shared" si="262"/>
        <v>0</v>
      </c>
      <c r="K536" s="141">
        <f t="shared" si="262"/>
        <v>0</v>
      </c>
      <c r="L536" s="141">
        <f t="shared" si="262"/>
        <v>0</v>
      </c>
      <c r="M536" s="141">
        <f t="shared" si="262"/>
        <v>0</v>
      </c>
      <c r="N536" s="141">
        <f t="shared" si="262"/>
        <v>0</v>
      </c>
      <c r="O536" s="233">
        <f t="shared" si="218"/>
        <v>1500000000</v>
      </c>
      <c r="P536" s="82">
        <v>1500000000</v>
      </c>
      <c r="Q536" s="104">
        <f t="shared" si="244"/>
        <v>0</v>
      </c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</row>
    <row r="537" spans="1:74" s="83" customFormat="1" ht="15.75" x14ac:dyDescent="0.2">
      <c r="A537" s="72" t="s">
        <v>1508</v>
      </c>
      <c r="B537" s="73" t="s">
        <v>1507</v>
      </c>
      <c r="C537" s="39"/>
      <c r="D537" s="39"/>
      <c r="E537" s="39"/>
      <c r="F537" s="39"/>
      <c r="G537" s="39">
        <v>1500000000</v>
      </c>
      <c r="H537" s="39"/>
      <c r="I537" s="39"/>
      <c r="J537" s="39"/>
      <c r="K537" s="39"/>
      <c r="L537" s="39"/>
      <c r="M537" s="39"/>
      <c r="N537" s="39"/>
      <c r="O537" s="136">
        <f t="shared" si="218"/>
        <v>1500000000</v>
      </c>
      <c r="P537" s="107">
        <v>1500000000</v>
      </c>
      <c r="Q537" s="104">
        <f t="shared" si="244"/>
        <v>0</v>
      </c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</row>
    <row r="538" spans="1:74" s="108" customFormat="1" ht="31.5" x14ac:dyDescent="0.2">
      <c r="A538" s="77" t="s">
        <v>1509</v>
      </c>
      <c r="B538" s="75" t="s">
        <v>1510</v>
      </c>
      <c r="C538" s="141">
        <f>+C539</f>
        <v>0</v>
      </c>
      <c r="D538" s="141">
        <f>+D539</f>
        <v>0</v>
      </c>
      <c r="E538" s="141">
        <f>+E539</f>
        <v>0</v>
      </c>
      <c r="F538" s="141">
        <f t="shared" ref="F538:N538" si="263">+F539</f>
        <v>0</v>
      </c>
      <c r="G538" s="141">
        <f t="shared" si="263"/>
        <v>1514607600.95</v>
      </c>
      <c r="H538" s="141">
        <f t="shared" si="263"/>
        <v>0</v>
      </c>
      <c r="I538" s="141">
        <f t="shared" si="263"/>
        <v>0</v>
      </c>
      <c r="J538" s="141">
        <f t="shared" si="263"/>
        <v>0</v>
      </c>
      <c r="K538" s="141">
        <f t="shared" si="263"/>
        <v>0</v>
      </c>
      <c r="L538" s="141">
        <f t="shared" si="263"/>
        <v>0</v>
      </c>
      <c r="M538" s="141">
        <f t="shared" si="263"/>
        <v>0</v>
      </c>
      <c r="N538" s="141">
        <f t="shared" si="263"/>
        <v>0</v>
      </c>
      <c r="O538" s="233">
        <f t="shared" si="218"/>
        <v>1514607600.95</v>
      </c>
      <c r="P538" s="82">
        <v>1514607600.95</v>
      </c>
      <c r="Q538" s="104">
        <f t="shared" si="244"/>
        <v>0</v>
      </c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</row>
    <row r="539" spans="1:74" s="83" customFormat="1" ht="15.75" x14ac:dyDescent="0.2">
      <c r="A539" s="72" t="s">
        <v>1511</v>
      </c>
      <c r="B539" s="73" t="s">
        <v>1510</v>
      </c>
      <c r="C539" s="39"/>
      <c r="D539" s="39"/>
      <c r="E539" s="39"/>
      <c r="F539" s="39"/>
      <c r="G539" s="39">
        <v>1514607600.95</v>
      </c>
      <c r="H539" s="39"/>
      <c r="I539" s="39"/>
      <c r="J539" s="39"/>
      <c r="K539" s="39"/>
      <c r="L539" s="39"/>
      <c r="M539" s="39"/>
      <c r="N539" s="39"/>
      <c r="O539" s="136">
        <f t="shared" si="218"/>
        <v>1514607600.95</v>
      </c>
      <c r="P539" s="107">
        <v>1514607600.95</v>
      </c>
      <c r="Q539" s="104">
        <f t="shared" si="244"/>
        <v>0</v>
      </c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</row>
    <row r="540" spans="1:74" s="108" customFormat="1" ht="15.75" x14ac:dyDescent="0.2">
      <c r="A540" s="77" t="s">
        <v>1512</v>
      </c>
      <c r="B540" s="75" t="s">
        <v>1513</v>
      </c>
      <c r="C540" s="141">
        <f>+C541</f>
        <v>0</v>
      </c>
      <c r="D540" s="141">
        <f>+D541</f>
        <v>0</v>
      </c>
      <c r="E540" s="141">
        <f>+E541</f>
        <v>0</v>
      </c>
      <c r="F540" s="141">
        <f t="shared" ref="F540:N540" si="264">+F541</f>
        <v>0</v>
      </c>
      <c r="G540" s="141">
        <f t="shared" si="264"/>
        <v>3000000000</v>
      </c>
      <c r="H540" s="141">
        <f t="shared" si="264"/>
        <v>0</v>
      </c>
      <c r="I540" s="141">
        <f t="shared" si="264"/>
        <v>0</v>
      </c>
      <c r="J540" s="141">
        <f t="shared" si="264"/>
        <v>0</v>
      </c>
      <c r="K540" s="141">
        <f t="shared" si="264"/>
        <v>0</v>
      </c>
      <c r="L540" s="141">
        <f t="shared" si="264"/>
        <v>0</v>
      </c>
      <c r="M540" s="141">
        <f t="shared" si="264"/>
        <v>0</v>
      </c>
      <c r="N540" s="141">
        <f t="shared" si="264"/>
        <v>0</v>
      </c>
      <c r="O540" s="233">
        <f t="shared" si="218"/>
        <v>3000000000</v>
      </c>
      <c r="P540" s="82">
        <v>3000000000</v>
      </c>
      <c r="Q540" s="104">
        <f t="shared" si="244"/>
        <v>0</v>
      </c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</row>
    <row r="541" spans="1:74" s="83" customFormat="1" ht="15.75" x14ac:dyDescent="0.2">
      <c r="A541" s="72" t="s">
        <v>1514</v>
      </c>
      <c r="B541" s="73" t="s">
        <v>1513</v>
      </c>
      <c r="C541" s="39"/>
      <c r="D541" s="39"/>
      <c r="E541" s="39"/>
      <c r="F541" s="39"/>
      <c r="G541" s="39">
        <v>3000000000</v>
      </c>
      <c r="H541" s="39"/>
      <c r="I541" s="39"/>
      <c r="J541" s="39"/>
      <c r="K541" s="39"/>
      <c r="L541" s="39"/>
      <c r="M541" s="39"/>
      <c r="N541" s="39"/>
      <c r="O541" s="136">
        <f t="shared" si="218"/>
        <v>3000000000</v>
      </c>
      <c r="P541" s="107">
        <v>3000000000</v>
      </c>
      <c r="Q541" s="104">
        <f t="shared" si="244"/>
        <v>0</v>
      </c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</row>
    <row r="542" spans="1:74" s="108" customFormat="1" ht="31.5" x14ac:dyDescent="0.2">
      <c r="A542" s="77" t="s">
        <v>1515</v>
      </c>
      <c r="B542" s="75" t="s">
        <v>1516</v>
      </c>
      <c r="C542" s="141">
        <f>+C543</f>
        <v>0</v>
      </c>
      <c r="D542" s="141">
        <f>+D543</f>
        <v>0</v>
      </c>
      <c r="E542" s="141">
        <f>+E543</f>
        <v>0</v>
      </c>
      <c r="F542" s="141">
        <f t="shared" ref="F542:N542" si="265">+F543</f>
        <v>0</v>
      </c>
      <c r="G542" s="141">
        <f t="shared" si="265"/>
        <v>287868062</v>
      </c>
      <c r="H542" s="141">
        <f t="shared" si="265"/>
        <v>0</v>
      </c>
      <c r="I542" s="141">
        <f t="shared" si="265"/>
        <v>0</v>
      </c>
      <c r="J542" s="141">
        <f t="shared" si="265"/>
        <v>0</v>
      </c>
      <c r="K542" s="141">
        <f t="shared" si="265"/>
        <v>0</v>
      </c>
      <c r="L542" s="141">
        <f t="shared" si="265"/>
        <v>0</v>
      </c>
      <c r="M542" s="141">
        <f t="shared" si="265"/>
        <v>0</v>
      </c>
      <c r="N542" s="141">
        <f t="shared" si="265"/>
        <v>0</v>
      </c>
      <c r="O542" s="233">
        <f t="shared" si="218"/>
        <v>287868062</v>
      </c>
      <c r="P542" s="82">
        <v>287868062</v>
      </c>
      <c r="Q542" s="104">
        <f t="shared" si="244"/>
        <v>0</v>
      </c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</row>
    <row r="543" spans="1:74" s="83" customFormat="1" ht="28.5" x14ac:dyDescent="0.2">
      <c r="A543" s="72" t="s">
        <v>1517</v>
      </c>
      <c r="B543" s="73" t="s">
        <v>1516</v>
      </c>
      <c r="C543" s="39"/>
      <c r="D543" s="39"/>
      <c r="E543" s="39"/>
      <c r="F543" s="39"/>
      <c r="G543" s="39">
        <v>287868062</v>
      </c>
      <c r="H543" s="39"/>
      <c r="I543" s="39"/>
      <c r="J543" s="39"/>
      <c r="K543" s="39"/>
      <c r="L543" s="39"/>
      <c r="M543" s="39"/>
      <c r="N543" s="39"/>
      <c r="O543" s="136">
        <f t="shared" si="218"/>
        <v>287868062</v>
      </c>
      <c r="P543" s="107">
        <v>287868062</v>
      </c>
      <c r="Q543" s="104">
        <f t="shared" si="244"/>
        <v>0</v>
      </c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</row>
    <row r="544" spans="1:74" s="108" customFormat="1" ht="31.5" x14ac:dyDescent="0.2">
      <c r="A544" s="77" t="s">
        <v>1518</v>
      </c>
      <c r="B544" s="75" t="s">
        <v>1519</v>
      </c>
      <c r="C544" s="141">
        <f>+C545</f>
        <v>0</v>
      </c>
      <c r="D544" s="141">
        <f>+D545</f>
        <v>0</v>
      </c>
      <c r="E544" s="141">
        <f>+E545</f>
        <v>0</v>
      </c>
      <c r="F544" s="141">
        <f t="shared" ref="F544:N544" si="266">+F545</f>
        <v>0</v>
      </c>
      <c r="G544" s="141">
        <f t="shared" si="266"/>
        <v>320982097</v>
      </c>
      <c r="H544" s="141">
        <f t="shared" si="266"/>
        <v>0</v>
      </c>
      <c r="I544" s="141">
        <f t="shared" si="266"/>
        <v>0</v>
      </c>
      <c r="J544" s="141">
        <f t="shared" si="266"/>
        <v>0</v>
      </c>
      <c r="K544" s="141">
        <f t="shared" si="266"/>
        <v>0</v>
      </c>
      <c r="L544" s="141">
        <f t="shared" si="266"/>
        <v>0</v>
      </c>
      <c r="M544" s="141">
        <f t="shared" si="266"/>
        <v>0</v>
      </c>
      <c r="N544" s="141">
        <f t="shared" si="266"/>
        <v>0</v>
      </c>
      <c r="O544" s="233">
        <f t="shared" si="218"/>
        <v>320982097</v>
      </c>
      <c r="P544" s="107">
        <v>320982097</v>
      </c>
      <c r="Q544" s="104">
        <f t="shared" si="244"/>
        <v>0</v>
      </c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</row>
    <row r="545" spans="1:74" s="83" customFormat="1" ht="14.25" x14ac:dyDescent="0.2">
      <c r="A545" s="72" t="s">
        <v>1520</v>
      </c>
      <c r="B545" s="73" t="s">
        <v>1519</v>
      </c>
      <c r="C545" s="39"/>
      <c r="D545" s="39"/>
      <c r="E545" s="39"/>
      <c r="F545" s="39"/>
      <c r="G545" s="39">
        <v>320982097</v>
      </c>
      <c r="H545" s="39"/>
      <c r="I545" s="39"/>
      <c r="J545" s="39"/>
      <c r="K545" s="39"/>
      <c r="L545" s="39"/>
      <c r="M545" s="39"/>
      <c r="N545" s="39"/>
      <c r="O545" s="136">
        <f t="shared" si="218"/>
        <v>320982097</v>
      </c>
      <c r="P545" s="82">
        <v>320982097</v>
      </c>
      <c r="Q545" s="104">
        <f t="shared" si="244"/>
        <v>0</v>
      </c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</row>
    <row r="546" spans="1:74" s="108" customFormat="1" ht="63" x14ac:dyDescent="0.2">
      <c r="A546" s="77" t="s">
        <v>1521</v>
      </c>
      <c r="B546" s="75" t="s">
        <v>1522</v>
      </c>
      <c r="C546" s="141">
        <f>SUM(C547:C548)</f>
        <v>0</v>
      </c>
      <c r="D546" s="141">
        <f t="shared" ref="D546:N546" si="267">SUM(D547:D548)</f>
        <v>0</v>
      </c>
      <c r="E546" s="141">
        <f t="shared" si="267"/>
        <v>0</v>
      </c>
      <c r="F546" s="141">
        <f t="shared" si="267"/>
        <v>0</v>
      </c>
      <c r="G546" s="141">
        <f t="shared" si="267"/>
        <v>746887763.63</v>
      </c>
      <c r="H546" s="141">
        <f t="shared" si="267"/>
        <v>0</v>
      </c>
      <c r="I546" s="141">
        <f t="shared" si="267"/>
        <v>0</v>
      </c>
      <c r="J546" s="141">
        <f t="shared" si="267"/>
        <v>0</v>
      </c>
      <c r="K546" s="141">
        <f t="shared" si="267"/>
        <v>8357.1200000000008</v>
      </c>
      <c r="L546" s="141">
        <f t="shared" si="267"/>
        <v>0</v>
      </c>
      <c r="M546" s="141">
        <f t="shared" si="267"/>
        <v>0</v>
      </c>
      <c r="N546" s="141">
        <f t="shared" si="267"/>
        <v>0</v>
      </c>
      <c r="O546" s="233">
        <f t="shared" si="218"/>
        <v>746896120.75</v>
      </c>
      <c r="P546" s="107">
        <v>746887763.63</v>
      </c>
      <c r="Q546" s="104">
        <f t="shared" si="244"/>
        <v>-8357.1200000047684</v>
      </c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</row>
    <row r="547" spans="1:74" s="83" customFormat="1" ht="57" x14ac:dyDescent="0.2">
      <c r="A547" s="72" t="s">
        <v>1523</v>
      </c>
      <c r="B547" s="73" t="s">
        <v>1522</v>
      </c>
      <c r="C547" s="39"/>
      <c r="D547" s="39"/>
      <c r="E547" s="39"/>
      <c r="F547" s="39"/>
      <c r="G547" s="39">
        <v>746887763.63</v>
      </c>
      <c r="H547" s="39"/>
      <c r="I547" s="39"/>
      <c r="J547" s="39"/>
      <c r="K547" s="39"/>
      <c r="L547" s="39"/>
      <c r="M547" s="39"/>
      <c r="N547" s="39"/>
      <c r="O547" s="233">
        <f t="shared" si="218"/>
        <v>746887763.63</v>
      </c>
      <c r="P547" s="82">
        <v>746887763.63</v>
      </c>
      <c r="Q547" s="104">
        <f t="shared" si="244"/>
        <v>0</v>
      </c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</row>
    <row r="548" spans="1:74" s="83" customFormat="1" ht="57" x14ac:dyDescent="0.2">
      <c r="A548" s="72" t="s">
        <v>1523</v>
      </c>
      <c r="B548" s="73" t="s">
        <v>1522</v>
      </c>
      <c r="C548" s="39"/>
      <c r="D548" s="39"/>
      <c r="E548" s="39"/>
      <c r="F548" s="39"/>
      <c r="G548" s="39"/>
      <c r="H548" s="39"/>
      <c r="I548" s="39"/>
      <c r="J548" s="39"/>
      <c r="K548" s="39">
        <v>8357.1200000000008</v>
      </c>
      <c r="L548" s="39"/>
      <c r="M548" s="39"/>
      <c r="N548" s="39"/>
      <c r="O548" s="233">
        <f t="shared" si="218"/>
        <v>8357.1200000000008</v>
      </c>
      <c r="P548" s="82"/>
      <c r="Q548" s="104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</row>
    <row r="549" spans="1:74" s="108" customFormat="1" ht="31.5" x14ac:dyDescent="0.2">
      <c r="A549" s="77" t="s">
        <v>1524</v>
      </c>
      <c r="B549" s="75" t="s">
        <v>1525</v>
      </c>
      <c r="C549" s="141">
        <f>+C550</f>
        <v>0</v>
      </c>
      <c r="D549" s="141">
        <f>+D550</f>
        <v>0</v>
      </c>
      <c r="E549" s="141">
        <f>+E550</f>
        <v>0</v>
      </c>
      <c r="F549" s="141">
        <f t="shared" ref="F549:N549" si="268">+F550</f>
        <v>0</v>
      </c>
      <c r="G549" s="141">
        <f t="shared" si="268"/>
        <v>493740289</v>
      </c>
      <c r="H549" s="141">
        <f t="shared" si="268"/>
        <v>0</v>
      </c>
      <c r="I549" s="141">
        <f t="shared" si="268"/>
        <v>0</v>
      </c>
      <c r="J549" s="141">
        <f t="shared" si="268"/>
        <v>0</v>
      </c>
      <c r="K549" s="141">
        <f t="shared" si="268"/>
        <v>0</v>
      </c>
      <c r="L549" s="141">
        <f t="shared" si="268"/>
        <v>0</v>
      </c>
      <c r="M549" s="141">
        <f t="shared" si="268"/>
        <v>0</v>
      </c>
      <c r="N549" s="141">
        <f t="shared" si="268"/>
        <v>0</v>
      </c>
      <c r="O549" s="233">
        <f t="shared" si="218"/>
        <v>493740289</v>
      </c>
      <c r="P549" s="107">
        <v>493740289</v>
      </c>
      <c r="Q549" s="104">
        <f t="shared" si="244"/>
        <v>0</v>
      </c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</row>
    <row r="550" spans="1:74" s="83" customFormat="1" ht="28.5" x14ac:dyDescent="0.2">
      <c r="A550" s="72" t="s">
        <v>1526</v>
      </c>
      <c r="B550" s="73" t="s">
        <v>1525</v>
      </c>
      <c r="C550" s="39"/>
      <c r="D550" s="39"/>
      <c r="E550" s="39"/>
      <c r="F550" s="39"/>
      <c r="G550" s="39">
        <v>493740289</v>
      </c>
      <c r="H550" s="39"/>
      <c r="I550" s="39"/>
      <c r="J550" s="39"/>
      <c r="K550" s="39"/>
      <c r="L550" s="39"/>
      <c r="M550" s="39"/>
      <c r="N550" s="39"/>
      <c r="O550" s="136">
        <f t="shared" ref="O550:O623" si="269">SUM(C550:N550)</f>
        <v>493740289</v>
      </c>
      <c r="P550" s="107">
        <v>493740289</v>
      </c>
      <c r="Q550" s="104">
        <f t="shared" si="244"/>
        <v>0</v>
      </c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</row>
    <row r="551" spans="1:74" s="108" customFormat="1" ht="31.5" x14ac:dyDescent="0.2">
      <c r="A551" s="77" t="s">
        <v>1527</v>
      </c>
      <c r="B551" s="75" t="s">
        <v>1528</v>
      </c>
      <c r="C551" s="141">
        <f>+C552</f>
        <v>0</v>
      </c>
      <c r="D551" s="141">
        <f>+D552</f>
        <v>0</v>
      </c>
      <c r="E551" s="141">
        <f>+E552</f>
        <v>0</v>
      </c>
      <c r="F551" s="141">
        <f t="shared" ref="F551:N551" si="270">+F552</f>
        <v>0</v>
      </c>
      <c r="G551" s="141">
        <f t="shared" si="270"/>
        <v>91334526.659999996</v>
      </c>
      <c r="H551" s="141">
        <f t="shared" si="270"/>
        <v>0</v>
      </c>
      <c r="I551" s="141">
        <f t="shared" si="270"/>
        <v>0</v>
      </c>
      <c r="J551" s="141">
        <f t="shared" si="270"/>
        <v>0</v>
      </c>
      <c r="K551" s="141">
        <f t="shared" si="270"/>
        <v>0</v>
      </c>
      <c r="L551" s="141">
        <f t="shared" si="270"/>
        <v>0</v>
      </c>
      <c r="M551" s="141">
        <f t="shared" si="270"/>
        <v>0</v>
      </c>
      <c r="N551" s="141">
        <f t="shared" si="270"/>
        <v>0</v>
      </c>
      <c r="O551" s="233">
        <f t="shared" si="269"/>
        <v>91334526.659999996</v>
      </c>
      <c r="P551" s="82">
        <v>91334526.659999996</v>
      </c>
      <c r="Q551" s="104">
        <f t="shared" si="244"/>
        <v>0</v>
      </c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</row>
    <row r="552" spans="1:74" s="83" customFormat="1" ht="15.75" x14ac:dyDescent="0.2">
      <c r="A552" s="72" t="s">
        <v>1529</v>
      </c>
      <c r="B552" s="73" t="s">
        <v>1528</v>
      </c>
      <c r="C552" s="39"/>
      <c r="D552" s="39"/>
      <c r="E552" s="39"/>
      <c r="F552" s="39"/>
      <c r="G552" s="39">
        <v>91334526.659999996</v>
      </c>
      <c r="H552" s="39"/>
      <c r="I552" s="39"/>
      <c r="J552" s="39"/>
      <c r="K552" s="39"/>
      <c r="L552" s="39"/>
      <c r="M552" s="39"/>
      <c r="N552" s="39"/>
      <c r="O552" s="136">
        <f t="shared" si="269"/>
        <v>91334526.659999996</v>
      </c>
      <c r="P552" s="107">
        <v>91334526.659999996</v>
      </c>
      <c r="Q552" s="104">
        <f t="shared" ref="Q552:Q637" si="271">+P552-O552</f>
        <v>0</v>
      </c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</row>
    <row r="553" spans="1:74" s="108" customFormat="1" ht="31.5" x14ac:dyDescent="0.2">
      <c r="A553" s="77" t="s">
        <v>1530</v>
      </c>
      <c r="B553" s="75" t="s">
        <v>1531</v>
      </c>
      <c r="C553" s="141">
        <f>+C554</f>
        <v>0</v>
      </c>
      <c r="D553" s="141">
        <f>+D554</f>
        <v>0</v>
      </c>
      <c r="E553" s="141">
        <f>+E554</f>
        <v>0</v>
      </c>
      <c r="F553" s="141">
        <f t="shared" ref="F553:N553" si="272">+F554</f>
        <v>0</v>
      </c>
      <c r="G553" s="141">
        <f t="shared" si="272"/>
        <v>336647722.75999999</v>
      </c>
      <c r="H553" s="141">
        <f t="shared" si="272"/>
        <v>0</v>
      </c>
      <c r="I553" s="141">
        <f t="shared" si="272"/>
        <v>0</v>
      </c>
      <c r="J553" s="141">
        <f t="shared" si="272"/>
        <v>0</v>
      </c>
      <c r="K553" s="141">
        <f t="shared" si="272"/>
        <v>0</v>
      </c>
      <c r="L553" s="141">
        <f t="shared" si="272"/>
        <v>0</v>
      </c>
      <c r="M553" s="141">
        <f t="shared" si="272"/>
        <v>0</v>
      </c>
      <c r="N553" s="141">
        <f t="shared" si="272"/>
        <v>0</v>
      </c>
      <c r="O553" s="233">
        <f t="shared" si="269"/>
        <v>336647722.75999999</v>
      </c>
      <c r="P553" s="82">
        <v>336647722.75999999</v>
      </c>
      <c r="Q553" s="104">
        <f t="shared" si="271"/>
        <v>0</v>
      </c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</row>
    <row r="554" spans="1:74" s="83" customFormat="1" ht="28.5" x14ac:dyDescent="0.2">
      <c r="A554" s="72" t="s">
        <v>1532</v>
      </c>
      <c r="B554" s="73" t="s">
        <v>1531</v>
      </c>
      <c r="C554" s="39"/>
      <c r="D554" s="39"/>
      <c r="E554" s="39"/>
      <c r="F554" s="39"/>
      <c r="G554" s="39">
        <v>336647722.75999999</v>
      </c>
      <c r="H554" s="39"/>
      <c r="I554" s="39"/>
      <c r="J554" s="39"/>
      <c r="K554" s="39"/>
      <c r="L554" s="39"/>
      <c r="M554" s="39"/>
      <c r="N554" s="39"/>
      <c r="O554" s="136">
        <f t="shared" si="269"/>
        <v>336647722.75999999</v>
      </c>
      <c r="P554" s="82">
        <v>336647722.75999999</v>
      </c>
      <c r="Q554" s="104">
        <f t="shared" si="271"/>
        <v>0</v>
      </c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</row>
    <row r="555" spans="1:74" s="108" customFormat="1" ht="31.5" x14ac:dyDescent="0.2">
      <c r="A555" s="77" t="s">
        <v>1533</v>
      </c>
      <c r="B555" s="75" t="s">
        <v>1534</v>
      </c>
      <c r="C555" s="141">
        <f>+C556</f>
        <v>0</v>
      </c>
      <c r="D555" s="141">
        <f>+D556</f>
        <v>0</v>
      </c>
      <c r="E555" s="141">
        <f>+E556</f>
        <v>0</v>
      </c>
      <c r="F555" s="141">
        <f t="shared" ref="F555:N555" si="273">+F556</f>
        <v>0</v>
      </c>
      <c r="G555" s="141">
        <f t="shared" si="273"/>
        <v>4277916497.3200002</v>
      </c>
      <c r="H555" s="141">
        <f t="shared" si="273"/>
        <v>0</v>
      </c>
      <c r="I555" s="141">
        <f t="shared" si="273"/>
        <v>0</v>
      </c>
      <c r="J555" s="141">
        <f t="shared" si="273"/>
        <v>0</v>
      </c>
      <c r="K555" s="141">
        <f t="shared" si="273"/>
        <v>0</v>
      </c>
      <c r="L555" s="141">
        <f t="shared" si="273"/>
        <v>0</v>
      </c>
      <c r="M555" s="141">
        <f t="shared" si="273"/>
        <v>0</v>
      </c>
      <c r="N555" s="141">
        <f t="shared" si="273"/>
        <v>0</v>
      </c>
      <c r="O555" s="233">
        <f t="shared" si="269"/>
        <v>4277916497.3200002</v>
      </c>
      <c r="P555" s="82">
        <v>4277916497.3200002</v>
      </c>
      <c r="Q555" s="104">
        <f t="shared" si="271"/>
        <v>0</v>
      </c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</row>
    <row r="556" spans="1:74" s="83" customFormat="1" ht="28.5" x14ac:dyDescent="0.2">
      <c r="A556" s="72" t="s">
        <v>1535</v>
      </c>
      <c r="B556" s="73" t="s">
        <v>1534</v>
      </c>
      <c r="C556" s="39"/>
      <c r="D556" s="39"/>
      <c r="E556" s="39"/>
      <c r="F556" s="39"/>
      <c r="G556" s="39">
        <v>4277916497.3200002</v>
      </c>
      <c r="H556" s="39"/>
      <c r="I556" s="39"/>
      <c r="J556" s="39"/>
      <c r="K556" s="39"/>
      <c r="L556" s="39"/>
      <c r="M556" s="39"/>
      <c r="N556" s="39"/>
      <c r="O556" s="136">
        <f t="shared" si="269"/>
        <v>4277916497.3200002</v>
      </c>
      <c r="P556" s="82">
        <v>4277916497.3200002</v>
      </c>
      <c r="Q556" s="104">
        <f t="shared" si="271"/>
        <v>0</v>
      </c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</row>
    <row r="557" spans="1:74" s="108" customFormat="1" ht="15.75" x14ac:dyDescent="0.2">
      <c r="A557" s="77" t="s">
        <v>1536</v>
      </c>
      <c r="B557" s="75" t="s">
        <v>1537</v>
      </c>
      <c r="C557" s="141">
        <f>+C558</f>
        <v>0</v>
      </c>
      <c r="D557" s="141">
        <f>+D558</f>
        <v>0</v>
      </c>
      <c r="E557" s="141">
        <f>+E558</f>
        <v>0</v>
      </c>
      <c r="F557" s="141">
        <f t="shared" ref="F557:N557" si="274">+F558</f>
        <v>0</v>
      </c>
      <c r="G557" s="141">
        <f t="shared" si="274"/>
        <v>14058954.529999999</v>
      </c>
      <c r="H557" s="141">
        <f t="shared" si="274"/>
        <v>0</v>
      </c>
      <c r="I557" s="141">
        <f t="shared" si="274"/>
        <v>0</v>
      </c>
      <c r="J557" s="141">
        <f t="shared" si="274"/>
        <v>0</v>
      </c>
      <c r="K557" s="141">
        <f t="shared" si="274"/>
        <v>0</v>
      </c>
      <c r="L557" s="141">
        <f t="shared" si="274"/>
        <v>0</v>
      </c>
      <c r="M557" s="141">
        <f t="shared" si="274"/>
        <v>0</v>
      </c>
      <c r="N557" s="141">
        <f t="shared" si="274"/>
        <v>0</v>
      </c>
      <c r="O557" s="233">
        <f t="shared" si="269"/>
        <v>14058954.529999999</v>
      </c>
      <c r="P557" s="82">
        <v>14058954.529999999</v>
      </c>
      <c r="Q557" s="104">
        <f t="shared" si="271"/>
        <v>0</v>
      </c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</row>
    <row r="558" spans="1:74" s="83" customFormat="1" ht="14.25" x14ac:dyDescent="0.2">
      <c r="A558" s="72" t="s">
        <v>1538</v>
      </c>
      <c r="B558" s="73" t="s">
        <v>1537</v>
      </c>
      <c r="C558" s="39"/>
      <c r="D558" s="39"/>
      <c r="E558" s="39"/>
      <c r="F558" s="39"/>
      <c r="G558" s="39">
        <v>14058954.529999999</v>
      </c>
      <c r="H558" s="39"/>
      <c r="I558" s="39"/>
      <c r="J558" s="39"/>
      <c r="K558" s="39"/>
      <c r="L558" s="39"/>
      <c r="M558" s="39"/>
      <c r="N558" s="39"/>
      <c r="O558" s="136">
        <f t="shared" si="269"/>
        <v>14058954.529999999</v>
      </c>
      <c r="P558" s="82">
        <v>14058954.529999999</v>
      </c>
      <c r="Q558" s="104">
        <f t="shared" si="271"/>
        <v>0</v>
      </c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</row>
    <row r="559" spans="1:74" s="108" customFormat="1" ht="31.5" x14ac:dyDescent="0.2">
      <c r="A559" s="77" t="s">
        <v>1539</v>
      </c>
      <c r="B559" s="75" t="s">
        <v>1540</v>
      </c>
      <c r="C559" s="141">
        <f>+C560</f>
        <v>0</v>
      </c>
      <c r="D559" s="141">
        <f>+D560</f>
        <v>0</v>
      </c>
      <c r="E559" s="141">
        <f>+E560</f>
        <v>0</v>
      </c>
      <c r="F559" s="141">
        <f t="shared" ref="F559:N559" si="275">+F560</f>
        <v>0</v>
      </c>
      <c r="G559" s="141">
        <f t="shared" si="275"/>
        <v>234675</v>
      </c>
      <c r="H559" s="141">
        <f t="shared" si="275"/>
        <v>0</v>
      </c>
      <c r="I559" s="141">
        <f t="shared" si="275"/>
        <v>0</v>
      </c>
      <c r="J559" s="141">
        <f t="shared" si="275"/>
        <v>0</v>
      </c>
      <c r="K559" s="141">
        <f t="shared" si="275"/>
        <v>0</v>
      </c>
      <c r="L559" s="141">
        <f t="shared" si="275"/>
        <v>0</v>
      </c>
      <c r="M559" s="141">
        <f t="shared" si="275"/>
        <v>0</v>
      </c>
      <c r="N559" s="141">
        <f t="shared" si="275"/>
        <v>0</v>
      </c>
      <c r="O559" s="233">
        <f t="shared" si="269"/>
        <v>234675</v>
      </c>
      <c r="P559" s="82">
        <v>234675</v>
      </c>
      <c r="Q559" s="104">
        <f t="shared" si="271"/>
        <v>0</v>
      </c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</row>
    <row r="560" spans="1:74" s="83" customFormat="1" ht="28.5" x14ac:dyDescent="0.2">
      <c r="A560" s="72" t="s">
        <v>1541</v>
      </c>
      <c r="B560" s="73" t="s">
        <v>1540</v>
      </c>
      <c r="C560" s="39"/>
      <c r="D560" s="39"/>
      <c r="E560" s="39"/>
      <c r="F560" s="39"/>
      <c r="G560" s="39">
        <v>234675</v>
      </c>
      <c r="H560" s="39"/>
      <c r="I560" s="39"/>
      <c r="J560" s="39"/>
      <c r="K560" s="39"/>
      <c r="L560" s="39"/>
      <c r="M560" s="39"/>
      <c r="N560" s="39"/>
      <c r="O560" s="136">
        <f t="shared" si="269"/>
        <v>234675</v>
      </c>
      <c r="P560" s="82">
        <v>234675</v>
      </c>
      <c r="Q560" s="104">
        <f t="shared" si="271"/>
        <v>0</v>
      </c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</row>
    <row r="561" spans="1:74" s="108" customFormat="1" ht="31.5" x14ac:dyDescent="0.2">
      <c r="A561" s="77" t="s">
        <v>1542</v>
      </c>
      <c r="B561" s="75" t="s">
        <v>1543</v>
      </c>
      <c r="C561" s="141">
        <f>+C562</f>
        <v>0</v>
      </c>
      <c r="D561" s="141">
        <f>+D562</f>
        <v>0</v>
      </c>
      <c r="E561" s="141">
        <f>+E562</f>
        <v>0</v>
      </c>
      <c r="F561" s="141">
        <f t="shared" ref="F561:N561" si="276">+F562</f>
        <v>0</v>
      </c>
      <c r="G561" s="141">
        <f t="shared" si="276"/>
        <v>6828499.0099999998</v>
      </c>
      <c r="H561" s="141">
        <f t="shared" si="276"/>
        <v>0</v>
      </c>
      <c r="I561" s="141">
        <f t="shared" si="276"/>
        <v>0</v>
      </c>
      <c r="J561" s="141">
        <f t="shared" si="276"/>
        <v>0</v>
      </c>
      <c r="K561" s="141">
        <f t="shared" si="276"/>
        <v>0</v>
      </c>
      <c r="L561" s="141">
        <f t="shared" si="276"/>
        <v>0</v>
      </c>
      <c r="M561" s="141">
        <f t="shared" si="276"/>
        <v>0</v>
      </c>
      <c r="N561" s="141">
        <f t="shared" si="276"/>
        <v>0</v>
      </c>
      <c r="O561" s="233">
        <f t="shared" si="269"/>
        <v>6828499.0099999998</v>
      </c>
      <c r="P561" s="82">
        <v>6828499.0099999998</v>
      </c>
      <c r="Q561" s="104">
        <f t="shared" si="271"/>
        <v>0</v>
      </c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</row>
    <row r="562" spans="1:74" s="83" customFormat="1" ht="28.5" x14ac:dyDescent="0.2">
      <c r="A562" s="72" t="s">
        <v>1544</v>
      </c>
      <c r="B562" s="73" t="s">
        <v>1543</v>
      </c>
      <c r="C562" s="39"/>
      <c r="D562" s="39"/>
      <c r="E562" s="39"/>
      <c r="F562" s="39"/>
      <c r="G562" s="39">
        <v>6828499.0099999998</v>
      </c>
      <c r="H562" s="39"/>
      <c r="I562" s="39"/>
      <c r="J562" s="39"/>
      <c r="K562" s="39"/>
      <c r="L562" s="39"/>
      <c r="M562" s="39"/>
      <c r="N562" s="39"/>
      <c r="O562" s="136">
        <f t="shared" si="269"/>
        <v>6828499.0099999998</v>
      </c>
      <c r="P562" s="82">
        <v>6828499.0099999998</v>
      </c>
      <c r="Q562" s="104">
        <f t="shared" si="271"/>
        <v>0</v>
      </c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</row>
    <row r="563" spans="1:74" s="108" customFormat="1" ht="47.25" x14ac:dyDescent="0.2">
      <c r="A563" s="77" t="s">
        <v>1545</v>
      </c>
      <c r="B563" s="75" t="s">
        <v>1546</v>
      </c>
      <c r="C563" s="141">
        <f>+C564</f>
        <v>0</v>
      </c>
      <c r="D563" s="141">
        <f>+D564</f>
        <v>0</v>
      </c>
      <c r="E563" s="141">
        <f>+E564</f>
        <v>0</v>
      </c>
      <c r="F563" s="141">
        <f t="shared" ref="F563:N563" si="277">+F564</f>
        <v>0</v>
      </c>
      <c r="G563" s="141">
        <f t="shared" si="277"/>
        <v>302919</v>
      </c>
      <c r="H563" s="141">
        <f t="shared" si="277"/>
        <v>0</v>
      </c>
      <c r="I563" s="141">
        <f t="shared" si="277"/>
        <v>0</v>
      </c>
      <c r="J563" s="141">
        <f t="shared" si="277"/>
        <v>0</v>
      </c>
      <c r="K563" s="141">
        <f t="shared" si="277"/>
        <v>0</v>
      </c>
      <c r="L563" s="141">
        <f t="shared" si="277"/>
        <v>0</v>
      </c>
      <c r="M563" s="141">
        <f t="shared" si="277"/>
        <v>0</v>
      </c>
      <c r="N563" s="141">
        <f t="shared" si="277"/>
        <v>0</v>
      </c>
      <c r="O563" s="233">
        <f t="shared" si="269"/>
        <v>302919</v>
      </c>
      <c r="P563" s="82">
        <v>302919</v>
      </c>
      <c r="Q563" s="104">
        <f t="shared" si="271"/>
        <v>0</v>
      </c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</row>
    <row r="564" spans="1:74" s="83" customFormat="1" ht="42.75" x14ac:dyDescent="0.2">
      <c r="A564" s="72" t="s">
        <v>1547</v>
      </c>
      <c r="B564" s="73" t="s">
        <v>1546</v>
      </c>
      <c r="C564" s="39"/>
      <c r="D564" s="39"/>
      <c r="E564" s="39"/>
      <c r="F564" s="39"/>
      <c r="G564" s="39">
        <v>302919</v>
      </c>
      <c r="H564" s="39"/>
      <c r="I564" s="39"/>
      <c r="J564" s="39"/>
      <c r="K564" s="39"/>
      <c r="L564" s="39"/>
      <c r="M564" s="39"/>
      <c r="N564" s="39"/>
      <c r="O564" s="136">
        <f t="shared" si="269"/>
        <v>302919</v>
      </c>
      <c r="P564" s="82">
        <v>302919</v>
      </c>
      <c r="Q564" s="104">
        <f t="shared" si="271"/>
        <v>0</v>
      </c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</row>
    <row r="565" spans="1:74" s="108" customFormat="1" ht="47.25" x14ac:dyDescent="0.2">
      <c r="A565" s="77" t="s">
        <v>1548</v>
      </c>
      <c r="B565" s="75" t="s">
        <v>1549</v>
      </c>
      <c r="C565" s="141">
        <f>+C566</f>
        <v>0</v>
      </c>
      <c r="D565" s="141">
        <f>+D566</f>
        <v>0</v>
      </c>
      <c r="E565" s="141">
        <f>+E566</f>
        <v>0</v>
      </c>
      <c r="F565" s="141">
        <f t="shared" ref="F565:N565" si="278">+F566</f>
        <v>0</v>
      </c>
      <c r="G565" s="141">
        <f t="shared" si="278"/>
        <v>1000000</v>
      </c>
      <c r="H565" s="141">
        <f t="shared" si="278"/>
        <v>0</v>
      </c>
      <c r="I565" s="141">
        <f t="shared" si="278"/>
        <v>0</v>
      </c>
      <c r="J565" s="141">
        <f t="shared" si="278"/>
        <v>0</v>
      </c>
      <c r="K565" s="141">
        <f t="shared" si="278"/>
        <v>0</v>
      </c>
      <c r="L565" s="141">
        <f t="shared" si="278"/>
        <v>0</v>
      </c>
      <c r="M565" s="141">
        <f t="shared" si="278"/>
        <v>0</v>
      </c>
      <c r="N565" s="141">
        <f t="shared" si="278"/>
        <v>0</v>
      </c>
      <c r="O565" s="233">
        <f t="shared" si="269"/>
        <v>1000000</v>
      </c>
      <c r="P565" s="82">
        <v>1000000</v>
      </c>
      <c r="Q565" s="104">
        <f t="shared" si="271"/>
        <v>0</v>
      </c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</row>
    <row r="566" spans="1:74" s="83" customFormat="1" ht="28.5" x14ac:dyDescent="0.2">
      <c r="A566" s="72" t="s">
        <v>1550</v>
      </c>
      <c r="B566" s="73" t="s">
        <v>1549</v>
      </c>
      <c r="C566" s="39"/>
      <c r="D566" s="39"/>
      <c r="E566" s="39"/>
      <c r="F566" s="39"/>
      <c r="G566" s="39">
        <v>1000000</v>
      </c>
      <c r="H566" s="39"/>
      <c r="I566" s="39"/>
      <c r="J566" s="39"/>
      <c r="K566" s="39"/>
      <c r="L566" s="39"/>
      <c r="M566" s="39"/>
      <c r="N566" s="39"/>
      <c r="O566" s="136">
        <f t="shared" si="269"/>
        <v>1000000</v>
      </c>
      <c r="P566" s="82">
        <v>1000000</v>
      </c>
      <c r="Q566" s="104">
        <f t="shared" si="271"/>
        <v>0</v>
      </c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</row>
    <row r="567" spans="1:74" s="108" customFormat="1" ht="31.5" x14ac:dyDescent="0.2">
      <c r="A567" s="77" t="s">
        <v>1551</v>
      </c>
      <c r="B567" s="75" t="s">
        <v>1552</v>
      </c>
      <c r="C567" s="141">
        <f>+C568</f>
        <v>0</v>
      </c>
      <c r="D567" s="141">
        <f>+D568</f>
        <v>0</v>
      </c>
      <c r="E567" s="141">
        <f>+E568</f>
        <v>0</v>
      </c>
      <c r="F567" s="141">
        <f t="shared" ref="F567:N567" si="279">+F568</f>
        <v>0</v>
      </c>
      <c r="G567" s="141">
        <f t="shared" si="279"/>
        <v>30926960</v>
      </c>
      <c r="H567" s="141">
        <f t="shared" si="279"/>
        <v>0</v>
      </c>
      <c r="I567" s="141">
        <f t="shared" si="279"/>
        <v>0</v>
      </c>
      <c r="J567" s="141">
        <f t="shared" si="279"/>
        <v>0</v>
      </c>
      <c r="K567" s="141">
        <f t="shared" si="279"/>
        <v>0</v>
      </c>
      <c r="L567" s="141">
        <f t="shared" si="279"/>
        <v>0</v>
      </c>
      <c r="M567" s="141">
        <f t="shared" si="279"/>
        <v>0</v>
      </c>
      <c r="N567" s="141">
        <f t="shared" si="279"/>
        <v>0</v>
      </c>
      <c r="O567" s="233">
        <f t="shared" si="269"/>
        <v>30926960</v>
      </c>
      <c r="P567" s="82">
        <v>30926960</v>
      </c>
      <c r="Q567" s="104">
        <f t="shared" si="271"/>
        <v>0</v>
      </c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</row>
    <row r="568" spans="1:74" s="83" customFormat="1" ht="28.5" x14ac:dyDescent="0.2">
      <c r="A568" s="72" t="s">
        <v>1553</v>
      </c>
      <c r="B568" s="73" t="s">
        <v>1552</v>
      </c>
      <c r="C568" s="39"/>
      <c r="D568" s="39"/>
      <c r="E568" s="39"/>
      <c r="F568" s="39"/>
      <c r="G568" s="39">
        <v>30926960</v>
      </c>
      <c r="H568" s="39"/>
      <c r="I568" s="39"/>
      <c r="J568" s="39"/>
      <c r="K568" s="39"/>
      <c r="L568" s="39"/>
      <c r="M568" s="39"/>
      <c r="N568" s="39"/>
      <c r="O568" s="136">
        <f t="shared" si="269"/>
        <v>30926960</v>
      </c>
      <c r="P568" s="82">
        <v>30926960</v>
      </c>
      <c r="Q568" s="104">
        <f t="shared" si="271"/>
        <v>0</v>
      </c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</row>
    <row r="569" spans="1:74" s="108" customFormat="1" ht="15.75" x14ac:dyDescent="0.2">
      <c r="A569" s="77" t="s">
        <v>1554</v>
      </c>
      <c r="B569" s="75" t="s">
        <v>1555</v>
      </c>
      <c r="C569" s="141">
        <f>+C570</f>
        <v>0</v>
      </c>
      <c r="D569" s="141">
        <f>+D570</f>
        <v>0</v>
      </c>
      <c r="E569" s="141">
        <f>+E570</f>
        <v>0</v>
      </c>
      <c r="F569" s="141">
        <f t="shared" ref="F569:N569" si="280">+F570</f>
        <v>0</v>
      </c>
      <c r="G569" s="141">
        <f t="shared" si="280"/>
        <v>1820196924.4300001</v>
      </c>
      <c r="H569" s="141">
        <f t="shared" si="280"/>
        <v>0</v>
      </c>
      <c r="I569" s="141">
        <f t="shared" si="280"/>
        <v>0</v>
      </c>
      <c r="J569" s="141">
        <f t="shared" si="280"/>
        <v>0</v>
      </c>
      <c r="K569" s="141">
        <f t="shared" si="280"/>
        <v>0</v>
      </c>
      <c r="L569" s="141">
        <f t="shared" si="280"/>
        <v>0</v>
      </c>
      <c r="M569" s="141">
        <f t="shared" si="280"/>
        <v>0</v>
      </c>
      <c r="N569" s="141">
        <f t="shared" si="280"/>
        <v>0</v>
      </c>
      <c r="O569" s="233">
        <f t="shared" si="269"/>
        <v>1820196924.4300001</v>
      </c>
      <c r="P569" s="82">
        <v>1820196924.4300001</v>
      </c>
      <c r="Q569" s="104">
        <f t="shared" si="271"/>
        <v>0</v>
      </c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</row>
    <row r="570" spans="1:74" s="83" customFormat="1" ht="14.25" x14ac:dyDescent="0.2">
      <c r="A570" s="72" t="s">
        <v>1556</v>
      </c>
      <c r="B570" s="73" t="s">
        <v>1555</v>
      </c>
      <c r="C570" s="39"/>
      <c r="D570" s="39"/>
      <c r="E570" s="39"/>
      <c r="F570" s="39"/>
      <c r="G570" s="39">
        <v>1820196924.4300001</v>
      </c>
      <c r="H570" s="39"/>
      <c r="I570" s="39"/>
      <c r="J570" s="39"/>
      <c r="K570" s="39"/>
      <c r="L570" s="39"/>
      <c r="M570" s="39"/>
      <c r="N570" s="39"/>
      <c r="O570" s="136">
        <f t="shared" si="269"/>
        <v>1820196924.4300001</v>
      </c>
      <c r="P570" s="82">
        <v>1820196924.4300001</v>
      </c>
      <c r="Q570" s="104">
        <f t="shared" si="271"/>
        <v>0</v>
      </c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</row>
    <row r="571" spans="1:74" s="108" customFormat="1" ht="31.5" x14ac:dyDescent="0.2">
      <c r="A571" s="77" t="s">
        <v>1557</v>
      </c>
      <c r="B571" s="75" t="s">
        <v>1558</v>
      </c>
      <c r="C571" s="141">
        <f>+C572</f>
        <v>0</v>
      </c>
      <c r="D571" s="141">
        <f>+D572</f>
        <v>0</v>
      </c>
      <c r="E571" s="141">
        <f>+E572</f>
        <v>0</v>
      </c>
      <c r="F571" s="141">
        <f t="shared" ref="F571:N571" si="281">+F572</f>
        <v>0</v>
      </c>
      <c r="G571" s="141">
        <f t="shared" si="281"/>
        <v>26914974.489999998</v>
      </c>
      <c r="H571" s="141">
        <f t="shared" si="281"/>
        <v>0</v>
      </c>
      <c r="I571" s="141">
        <f t="shared" si="281"/>
        <v>0</v>
      </c>
      <c r="J571" s="141">
        <f t="shared" si="281"/>
        <v>0</v>
      </c>
      <c r="K571" s="141">
        <f t="shared" si="281"/>
        <v>0</v>
      </c>
      <c r="L571" s="141">
        <f t="shared" si="281"/>
        <v>0</v>
      </c>
      <c r="M571" s="141">
        <f t="shared" si="281"/>
        <v>0</v>
      </c>
      <c r="N571" s="141">
        <f t="shared" si="281"/>
        <v>0</v>
      </c>
      <c r="O571" s="233">
        <f t="shared" si="269"/>
        <v>26914974.489999998</v>
      </c>
      <c r="P571" s="82">
        <v>26914974.489999998</v>
      </c>
      <c r="Q571" s="104">
        <f t="shared" si="271"/>
        <v>0</v>
      </c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</row>
    <row r="572" spans="1:74" s="83" customFormat="1" ht="28.5" x14ac:dyDescent="0.2">
      <c r="A572" s="72" t="s">
        <v>1559</v>
      </c>
      <c r="B572" s="73" t="s">
        <v>1558</v>
      </c>
      <c r="C572" s="39"/>
      <c r="D572" s="39"/>
      <c r="E572" s="39"/>
      <c r="F572" s="39"/>
      <c r="G572" s="39">
        <v>26914974.489999998</v>
      </c>
      <c r="H572" s="39"/>
      <c r="I572" s="39"/>
      <c r="J572" s="39"/>
      <c r="K572" s="39"/>
      <c r="L572" s="39"/>
      <c r="M572" s="39"/>
      <c r="N572" s="39"/>
      <c r="O572" s="136">
        <f t="shared" si="269"/>
        <v>26914974.489999998</v>
      </c>
      <c r="P572" s="82">
        <v>26914974.489999998</v>
      </c>
      <c r="Q572" s="104">
        <f t="shared" si="271"/>
        <v>0</v>
      </c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</row>
    <row r="573" spans="1:74" s="108" customFormat="1" ht="31.5" x14ac:dyDescent="0.2">
      <c r="A573" s="77" t="s">
        <v>1560</v>
      </c>
      <c r="B573" s="75" t="s">
        <v>1561</v>
      </c>
      <c r="C573" s="141">
        <f>+C574</f>
        <v>0</v>
      </c>
      <c r="D573" s="141">
        <f>+D574</f>
        <v>0</v>
      </c>
      <c r="E573" s="141">
        <f>+E574</f>
        <v>0</v>
      </c>
      <c r="F573" s="141">
        <f t="shared" ref="F573:N573" si="282">+F574</f>
        <v>0</v>
      </c>
      <c r="G573" s="141">
        <f t="shared" si="282"/>
        <v>64231303.409999996</v>
      </c>
      <c r="H573" s="141">
        <f t="shared" si="282"/>
        <v>0</v>
      </c>
      <c r="I573" s="141">
        <f t="shared" si="282"/>
        <v>0</v>
      </c>
      <c r="J573" s="141">
        <f t="shared" si="282"/>
        <v>0</v>
      </c>
      <c r="K573" s="141">
        <f t="shared" si="282"/>
        <v>0</v>
      </c>
      <c r="L573" s="141">
        <f t="shared" si="282"/>
        <v>0</v>
      </c>
      <c r="M573" s="141">
        <f t="shared" si="282"/>
        <v>0</v>
      </c>
      <c r="N573" s="141">
        <f t="shared" si="282"/>
        <v>0</v>
      </c>
      <c r="O573" s="233">
        <f t="shared" si="269"/>
        <v>64231303.409999996</v>
      </c>
      <c r="P573" s="82">
        <v>64231303.409999996</v>
      </c>
      <c r="Q573" s="104">
        <f t="shared" si="271"/>
        <v>0</v>
      </c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</row>
    <row r="574" spans="1:74" s="83" customFormat="1" ht="28.5" x14ac:dyDescent="0.2">
      <c r="A574" s="72" t="s">
        <v>1562</v>
      </c>
      <c r="B574" s="73" t="s">
        <v>1561</v>
      </c>
      <c r="C574" s="39"/>
      <c r="D574" s="39"/>
      <c r="E574" s="39"/>
      <c r="F574" s="39"/>
      <c r="G574" s="39">
        <v>64231303.409999996</v>
      </c>
      <c r="H574" s="39"/>
      <c r="I574" s="39"/>
      <c r="J574" s="39"/>
      <c r="K574" s="39"/>
      <c r="L574" s="39"/>
      <c r="M574" s="39"/>
      <c r="N574" s="39"/>
      <c r="O574" s="136">
        <f t="shared" si="269"/>
        <v>64231303.409999996</v>
      </c>
      <c r="P574" s="82">
        <v>64231303.409999996</v>
      </c>
      <c r="Q574" s="104">
        <f t="shared" si="271"/>
        <v>0</v>
      </c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</row>
    <row r="575" spans="1:74" s="108" customFormat="1" ht="31.5" x14ac:dyDescent="0.2">
      <c r="A575" s="77" t="s">
        <v>1563</v>
      </c>
      <c r="B575" s="75" t="s">
        <v>1561</v>
      </c>
      <c r="C575" s="141">
        <f>+C576</f>
        <v>0</v>
      </c>
      <c r="D575" s="141">
        <f>+D576</f>
        <v>0</v>
      </c>
      <c r="E575" s="141">
        <f>+E576</f>
        <v>0</v>
      </c>
      <c r="F575" s="141">
        <f t="shared" ref="F575:N575" si="283">+F576</f>
        <v>0</v>
      </c>
      <c r="G575" s="141">
        <f t="shared" si="283"/>
        <v>18464558</v>
      </c>
      <c r="H575" s="141">
        <f t="shared" si="283"/>
        <v>0</v>
      </c>
      <c r="I575" s="141">
        <f t="shared" si="283"/>
        <v>0</v>
      </c>
      <c r="J575" s="141">
        <f t="shared" si="283"/>
        <v>0</v>
      </c>
      <c r="K575" s="141">
        <f t="shared" si="283"/>
        <v>0</v>
      </c>
      <c r="L575" s="141">
        <f t="shared" si="283"/>
        <v>0</v>
      </c>
      <c r="M575" s="141">
        <f t="shared" si="283"/>
        <v>0</v>
      </c>
      <c r="N575" s="141">
        <f t="shared" si="283"/>
        <v>0</v>
      </c>
      <c r="O575" s="233">
        <f t="shared" si="269"/>
        <v>18464558</v>
      </c>
      <c r="P575" s="82">
        <v>18464558</v>
      </c>
      <c r="Q575" s="104">
        <f t="shared" si="271"/>
        <v>0</v>
      </c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</row>
    <row r="576" spans="1:74" s="83" customFormat="1" ht="28.5" x14ac:dyDescent="0.2">
      <c r="A576" s="72" t="s">
        <v>1564</v>
      </c>
      <c r="B576" s="73" t="s">
        <v>1565</v>
      </c>
      <c r="C576" s="39"/>
      <c r="D576" s="39"/>
      <c r="E576" s="39"/>
      <c r="F576" s="39"/>
      <c r="G576" s="39">
        <v>18464558</v>
      </c>
      <c r="H576" s="39"/>
      <c r="I576" s="39"/>
      <c r="J576" s="39"/>
      <c r="K576" s="39"/>
      <c r="L576" s="39"/>
      <c r="M576" s="39"/>
      <c r="N576" s="39"/>
      <c r="O576" s="136">
        <f t="shared" si="269"/>
        <v>18464558</v>
      </c>
      <c r="P576" s="82">
        <v>18464558</v>
      </c>
      <c r="Q576" s="104">
        <f t="shared" si="271"/>
        <v>0</v>
      </c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</row>
    <row r="577" spans="1:74" s="108" customFormat="1" ht="15.75" x14ac:dyDescent="0.2">
      <c r="A577" s="77" t="s">
        <v>1566</v>
      </c>
      <c r="B577" s="75" t="s">
        <v>1567</v>
      </c>
      <c r="C577" s="141">
        <f>+C578+C580+C582+C584</f>
        <v>0</v>
      </c>
      <c r="D577" s="141">
        <f t="shared" ref="D577:N577" si="284">+D578+D580+D582+D584</f>
        <v>0</v>
      </c>
      <c r="E577" s="141">
        <f t="shared" si="284"/>
        <v>0</v>
      </c>
      <c r="F577" s="141">
        <f t="shared" si="284"/>
        <v>0</v>
      </c>
      <c r="G577" s="141">
        <f t="shared" si="284"/>
        <v>575059092</v>
      </c>
      <c r="H577" s="141">
        <f t="shared" si="284"/>
        <v>0</v>
      </c>
      <c r="I577" s="141">
        <f t="shared" si="284"/>
        <v>0</v>
      </c>
      <c r="J577" s="141">
        <f t="shared" si="284"/>
        <v>0</v>
      </c>
      <c r="K577" s="141">
        <f t="shared" si="284"/>
        <v>43696.25</v>
      </c>
      <c r="L577" s="141">
        <f t="shared" si="284"/>
        <v>0</v>
      </c>
      <c r="M577" s="141">
        <f t="shared" si="284"/>
        <v>19709161</v>
      </c>
      <c r="N577" s="141">
        <f t="shared" si="284"/>
        <v>0</v>
      </c>
      <c r="O577" s="233">
        <f t="shared" si="269"/>
        <v>594811949.25</v>
      </c>
      <c r="P577" s="82">
        <v>575059092</v>
      </c>
      <c r="Q577" s="104">
        <f t="shared" si="271"/>
        <v>-19752857.25</v>
      </c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</row>
    <row r="578" spans="1:74" s="108" customFormat="1" ht="31.5" x14ac:dyDescent="0.2">
      <c r="A578" s="77" t="s">
        <v>1568</v>
      </c>
      <c r="B578" s="75" t="s">
        <v>1569</v>
      </c>
      <c r="C578" s="141">
        <f>+C579</f>
        <v>0</v>
      </c>
      <c r="D578" s="141">
        <f>+D579</f>
        <v>0</v>
      </c>
      <c r="E578" s="141">
        <f>+E579</f>
        <v>0</v>
      </c>
      <c r="F578" s="141">
        <f t="shared" ref="F578:N578" si="285">+F579</f>
        <v>0</v>
      </c>
      <c r="G578" s="141">
        <f t="shared" si="285"/>
        <v>516752058</v>
      </c>
      <c r="H578" s="141">
        <f t="shared" si="285"/>
        <v>0</v>
      </c>
      <c r="I578" s="141">
        <f t="shared" si="285"/>
        <v>0</v>
      </c>
      <c r="J578" s="141">
        <f t="shared" si="285"/>
        <v>0</v>
      </c>
      <c r="K578" s="141">
        <f t="shared" si="285"/>
        <v>0</v>
      </c>
      <c r="L578" s="141">
        <f t="shared" si="285"/>
        <v>0</v>
      </c>
      <c r="M578" s="141">
        <f t="shared" si="285"/>
        <v>0</v>
      </c>
      <c r="N578" s="141">
        <f t="shared" si="285"/>
        <v>0</v>
      </c>
      <c r="O578" s="233">
        <f t="shared" si="269"/>
        <v>516752058</v>
      </c>
      <c r="P578" s="82">
        <v>516752058</v>
      </c>
      <c r="Q578" s="104">
        <f t="shared" si="271"/>
        <v>0</v>
      </c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</row>
    <row r="579" spans="1:74" s="83" customFormat="1" ht="28.5" x14ac:dyDescent="0.2">
      <c r="A579" s="72" t="s">
        <v>1570</v>
      </c>
      <c r="B579" s="73" t="s">
        <v>1571</v>
      </c>
      <c r="C579" s="39"/>
      <c r="D579" s="39"/>
      <c r="E579" s="39"/>
      <c r="F579" s="39"/>
      <c r="G579" s="39">
        <v>516752058</v>
      </c>
      <c r="H579" s="39"/>
      <c r="I579" s="39"/>
      <c r="J579" s="39"/>
      <c r="K579" s="39"/>
      <c r="L579" s="39"/>
      <c r="M579" s="39"/>
      <c r="N579" s="39"/>
      <c r="O579" s="136">
        <f t="shared" si="269"/>
        <v>516752058</v>
      </c>
      <c r="P579" s="82">
        <v>516752058</v>
      </c>
      <c r="Q579" s="104">
        <f t="shared" si="271"/>
        <v>0</v>
      </c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</row>
    <row r="580" spans="1:74" s="108" customFormat="1" ht="31.5" x14ac:dyDescent="0.2">
      <c r="A580" s="77" t="s">
        <v>1572</v>
      </c>
      <c r="B580" s="75" t="s">
        <v>1573</v>
      </c>
      <c r="C580" s="141">
        <f>+C581</f>
        <v>0</v>
      </c>
      <c r="D580" s="141">
        <f>+D581</f>
        <v>0</v>
      </c>
      <c r="E580" s="141">
        <f>+E581</f>
        <v>0</v>
      </c>
      <c r="F580" s="141">
        <f t="shared" ref="F580:N580" si="286">+F581</f>
        <v>0</v>
      </c>
      <c r="G580" s="141">
        <f t="shared" si="286"/>
        <v>58307034</v>
      </c>
      <c r="H580" s="141">
        <f t="shared" si="286"/>
        <v>0</v>
      </c>
      <c r="I580" s="141">
        <f t="shared" si="286"/>
        <v>0</v>
      </c>
      <c r="J580" s="141">
        <f t="shared" si="286"/>
        <v>0</v>
      </c>
      <c r="K580" s="141">
        <f t="shared" si="286"/>
        <v>0</v>
      </c>
      <c r="L580" s="141">
        <f t="shared" si="286"/>
        <v>0</v>
      </c>
      <c r="M580" s="141">
        <f t="shared" si="286"/>
        <v>0</v>
      </c>
      <c r="N580" s="141">
        <f t="shared" si="286"/>
        <v>0</v>
      </c>
      <c r="O580" s="233">
        <f t="shared" si="269"/>
        <v>58307034</v>
      </c>
      <c r="P580" s="82">
        <v>58307034</v>
      </c>
      <c r="Q580" s="104">
        <f t="shared" si="271"/>
        <v>0</v>
      </c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</row>
    <row r="581" spans="1:74" s="83" customFormat="1" ht="28.5" x14ac:dyDescent="0.2">
      <c r="A581" s="72" t="s">
        <v>1574</v>
      </c>
      <c r="B581" s="73" t="s">
        <v>1573</v>
      </c>
      <c r="C581" s="39"/>
      <c r="D581" s="39"/>
      <c r="E581" s="39"/>
      <c r="F581" s="39"/>
      <c r="G581" s="39">
        <v>58307034</v>
      </c>
      <c r="H581" s="39"/>
      <c r="I581" s="39"/>
      <c r="J581" s="39"/>
      <c r="K581" s="39"/>
      <c r="L581" s="39"/>
      <c r="M581" s="39"/>
      <c r="N581" s="39"/>
      <c r="O581" s="136">
        <f t="shared" si="269"/>
        <v>58307034</v>
      </c>
      <c r="P581" s="82">
        <v>58307034</v>
      </c>
      <c r="Q581" s="104">
        <f t="shared" si="271"/>
        <v>0</v>
      </c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</row>
    <row r="582" spans="1:74" s="108" customFormat="1" ht="31.5" x14ac:dyDescent="0.2">
      <c r="A582" s="77" t="s">
        <v>1879</v>
      </c>
      <c r="B582" s="75" t="s">
        <v>1880</v>
      </c>
      <c r="C582" s="141">
        <f>+C583</f>
        <v>0</v>
      </c>
      <c r="D582" s="141">
        <f t="shared" ref="D582:N582" si="287">+D583</f>
        <v>0</v>
      </c>
      <c r="E582" s="141">
        <f t="shared" si="287"/>
        <v>0</v>
      </c>
      <c r="F582" s="141">
        <f t="shared" si="287"/>
        <v>0</v>
      </c>
      <c r="G582" s="141">
        <f t="shared" si="287"/>
        <v>0</v>
      </c>
      <c r="H582" s="141">
        <f t="shared" si="287"/>
        <v>0</v>
      </c>
      <c r="I582" s="141">
        <f t="shared" si="287"/>
        <v>0</v>
      </c>
      <c r="J582" s="141">
        <f t="shared" si="287"/>
        <v>0</v>
      </c>
      <c r="K582" s="141">
        <f t="shared" si="287"/>
        <v>43696.25</v>
      </c>
      <c r="L582" s="141">
        <f t="shared" si="287"/>
        <v>0</v>
      </c>
      <c r="M582" s="141">
        <f t="shared" si="287"/>
        <v>0</v>
      </c>
      <c r="N582" s="141">
        <f t="shared" si="287"/>
        <v>0</v>
      </c>
      <c r="O582" s="136">
        <f t="shared" si="269"/>
        <v>43696.25</v>
      </c>
      <c r="P582" s="82">
        <v>58307034</v>
      </c>
      <c r="Q582" s="61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</row>
    <row r="583" spans="1:74" s="83" customFormat="1" ht="28.5" x14ac:dyDescent="0.2">
      <c r="A583" s="72" t="s">
        <v>1881</v>
      </c>
      <c r="B583" s="73" t="s">
        <v>1880</v>
      </c>
      <c r="C583" s="39"/>
      <c r="D583" s="39"/>
      <c r="E583" s="39"/>
      <c r="F583" s="39"/>
      <c r="G583" s="39"/>
      <c r="H583" s="39"/>
      <c r="I583" s="39"/>
      <c r="J583" s="39"/>
      <c r="K583" s="39">
        <v>43696.25</v>
      </c>
      <c r="L583" s="39"/>
      <c r="M583" s="39"/>
      <c r="N583" s="39"/>
      <c r="O583" s="136">
        <f t="shared" si="269"/>
        <v>43696.25</v>
      </c>
      <c r="P583" s="82">
        <v>58307034</v>
      </c>
      <c r="Q583" s="104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</row>
    <row r="584" spans="1:74" s="108" customFormat="1" ht="31.5" x14ac:dyDescent="0.2">
      <c r="A584" s="77" t="s">
        <v>1892</v>
      </c>
      <c r="B584" s="75" t="s">
        <v>1893</v>
      </c>
      <c r="C584" s="141">
        <f>+C585</f>
        <v>0</v>
      </c>
      <c r="D584" s="141">
        <f t="shared" ref="D584:N584" si="288">+D585</f>
        <v>0</v>
      </c>
      <c r="E584" s="141">
        <f t="shared" si="288"/>
        <v>0</v>
      </c>
      <c r="F584" s="141">
        <f t="shared" si="288"/>
        <v>0</v>
      </c>
      <c r="G584" s="141">
        <f t="shared" si="288"/>
        <v>0</v>
      </c>
      <c r="H584" s="141">
        <f t="shared" si="288"/>
        <v>0</v>
      </c>
      <c r="I584" s="141">
        <f t="shared" si="288"/>
        <v>0</v>
      </c>
      <c r="J584" s="141">
        <f t="shared" si="288"/>
        <v>0</v>
      </c>
      <c r="K584" s="141">
        <f t="shared" si="288"/>
        <v>0</v>
      </c>
      <c r="L584" s="141">
        <f t="shared" si="288"/>
        <v>0</v>
      </c>
      <c r="M584" s="141">
        <f t="shared" si="288"/>
        <v>19709161</v>
      </c>
      <c r="N584" s="141">
        <f t="shared" si="288"/>
        <v>0</v>
      </c>
      <c r="O584" s="136">
        <f t="shared" si="269"/>
        <v>19709161</v>
      </c>
      <c r="P584" s="107"/>
      <c r="Q584" s="61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</row>
    <row r="585" spans="1:74" s="83" customFormat="1" ht="42.75" x14ac:dyDescent="0.2">
      <c r="A585" s="72" t="s">
        <v>1894</v>
      </c>
      <c r="B585" s="73" t="s">
        <v>1895</v>
      </c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>
        <v>19709161</v>
      </c>
      <c r="N585" s="39"/>
      <c r="O585" s="136">
        <f t="shared" si="269"/>
        <v>19709161</v>
      </c>
      <c r="P585" s="82"/>
      <c r="Q585" s="104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</row>
    <row r="586" spans="1:74" s="108" customFormat="1" ht="31.5" x14ac:dyDescent="0.2">
      <c r="A586" s="77" t="s">
        <v>1575</v>
      </c>
      <c r="B586" s="75" t="s">
        <v>1576</v>
      </c>
      <c r="C586" s="141">
        <f t="shared" ref="C586:E587" si="289">+C587</f>
        <v>0</v>
      </c>
      <c r="D586" s="141">
        <f t="shared" si="289"/>
        <v>0</v>
      </c>
      <c r="E586" s="141">
        <f t="shared" si="289"/>
        <v>0</v>
      </c>
      <c r="F586" s="141">
        <f t="shared" ref="F586:N587" si="290">+F587</f>
        <v>0</v>
      </c>
      <c r="G586" s="141">
        <f t="shared" si="290"/>
        <v>40452895.149999999</v>
      </c>
      <c r="H586" s="141">
        <f t="shared" si="290"/>
        <v>0</v>
      </c>
      <c r="I586" s="141">
        <f t="shared" si="290"/>
        <v>0</v>
      </c>
      <c r="J586" s="141">
        <f t="shared" si="290"/>
        <v>0</v>
      </c>
      <c r="K586" s="141">
        <f t="shared" si="290"/>
        <v>0</v>
      </c>
      <c r="L586" s="141">
        <f t="shared" si="290"/>
        <v>0</v>
      </c>
      <c r="M586" s="141">
        <f t="shared" si="290"/>
        <v>0</v>
      </c>
      <c r="N586" s="141">
        <f t="shared" si="290"/>
        <v>0</v>
      </c>
      <c r="O586" s="233">
        <f t="shared" si="269"/>
        <v>40452895.149999999</v>
      </c>
      <c r="P586" s="82">
        <v>58307034</v>
      </c>
      <c r="Q586" s="104">
        <f t="shared" si="271"/>
        <v>17854138.850000001</v>
      </c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</row>
    <row r="587" spans="1:74" s="108" customFormat="1" ht="31.5" x14ac:dyDescent="0.2">
      <c r="A587" s="77" t="s">
        <v>1577</v>
      </c>
      <c r="B587" s="75" t="s">
        <v>1578</v>
      </c>
      <c r="C587" s="141">
        <f t="shared" si="289"/>
        <v>0</v>
      </c>
      <c r="D587" s="141">
        <f t="shared" si="289"/>
        <v>0</v>
      </c>
      <c r="E587" s="141">
        <f t="shared" si="289"/>
        <v>0</v>
      </c>
      <c r="F587" s="141">
        <f t="shared" si="290"/>
        <v>0</v>
      </c>
      <c r="G587" s="141">
        <f t="shared" si="290"/>
        <v>40452895.149999999</v>
      </c>
      <c r="H587" s="141">
        <f t="shared" si="290"/>
        <v>0</v>
      </c>
      <c r="I587" s="141">
        <f t="shared" si="290"/>
        <v>0</v>
      </c>
      <c r="J587" s="141">
        <f t="shared" si="290"/>
        <v>0</v>
      </c>
      <c r="K587" s="141">
        <f t="shared" si="290"/>
        <v>0</v>
      </c>
      <c r="L587" s="141">
        <f t="shared" si="290"/>
        <v>0</v>
      </c>
      <c r="M587" s="141">
        <f t="shared" si="290"/>
        <v>0</v>
      </c>
      <c r="N587" s="141">
        <f t="shared" si="290"/>
        <v>0</v>
      </c>
      <c r="O587" s="233">
        <f t="shared" si="269"/>
        <v>40452895.149999999</v>
      </c>
      <c r="P587" s="82">
        <v>40452895.149999999</v>
      </c>
      <c r="Q587" s="104">
        <f t="shared" si="271"/>
        <v>0</v>
      </c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</row>
    <row r="588" spans="1:74" s="83" customFormat="1" ht="28.5" x14ac:dyDescent="0.2">
      <c r="A588" s="72" t="s">
        <v>1579</v>
      </c>
      <c r="B588" s="73" t="s">
        <v>1578</v>
      </c>
      <c r="C588" s="39"/>
      <c r="D588" s="39"/>
      <c r="E588" s="39"/>
      <c r="F588" s="39"/>
      <c r="G588" s="39">
        <v>40452895.149999999</v>
      </c>
      <c r="H588" s="39"/>
      <c r="I588" s="39"/>
      <c r="J588" s="39"/>
      <c r="K588" s="39"/>
      <c r="L588" s="39"/>
      <c r="M588" s="39"/>
      <c r="N588" s="39"/>
      <c r="O588" s="136">
        <f t="shared" si="269"/>
        <v>40452895.149999999</v>
      </c>
      <c r="P588" s="82">
        <v>40452895.149999999</v>
      </c>
      <c r="Q588" s="104">
        <f t="shared" si="271"/>
        <v>0</v>
      </c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</row>
    <row r="589" spans="1:74" s="108" customFormat="1" ht="31.5" x14ac:dyDescent="0.2">
      <c r="A589" s="77" t="s">
        <v>1580</v>
      </c>
      <c r="B589" s="75" t="s">
        <v>1581</v>
      </c>
      <c r="C589" s="141">
        <f>SUM(C590:C591)</f>
        <v>0</v>
      </c>
      <c r="D589" s="141">
        <f>SUM(D590:D591)</f>
        <v>0</v>
      </c>
      <c r="E589" s="141">
        <f>SUM(E590:E591)</f>
        <v>0</v>
      </c>
      <c r="F589" s="141">
        <f t="shared" ref="F589:N589" si="291">SUM(F590:F591)</f>
        <v>0</v>
      </c>
      <c r="G589" s="141">
        <f t="shared" si="291"/>
        <v>1688537021.8899999</v>
      </c>
      <c r="H589" s="141">
        <f t="shared" si="291"/>
        <v>0</v>
      </c>
      <c r="I589" s="141">
        <f t="shared" si="291"/>
        <v>0</v>
      </c>
      <c r="J589" s="141">
        <f t="shared" si="291"/>
        <v>0</v>
      </c>
      <c r="K589" s="141">
        <f t="shared" si="291"/>
        <v>0</v>
      </c>
      <c r="L589" s="141">
        <f t="shared" si="291"/>
        <v>0</v>
      </c>
      <c r="M589" s="141">
        <f t="shared" si="291"/>
        <v>0</v>
      </c>
      <c r="N589" s="141">
        <f t="shared" si="291"/>
        <v>0</v>
      </c>
      <c r="O589" s="233">
        <f t="shared" si="269"/>
        <v>1688537021.8899999</v>
      </c>
      <c r="P589" s="82">
        <v>1688537021.8900001</v>
      </c>
      <c r="Q589" s="104">
        <f t="shared" si="271"/>
        <v>0</v>
      </c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</row>
    <row r="590" spans="1:74" s="83" customFormat="1" ht="57" x14ac:dyDescent="0.2">
      <c r="A590" s="72" t="s">
        <v>1582</v>
      </c>
      <c r="B590" s="73" t="s">
        <v>1583</v>
      </c>
      <c r="C590" s="39"/>
      <c r="D590" s="39"/>
      <c r="E590" s="39"/>
      <c r="F590" s="39"/>
      <c r="G590" s="39">
        <v>619767114</v>
      </c>
      <c r="H590" s="39"/>
      <c r="I590" s="39"/>
      <c r="J590" s="39"/>
      <c r="K590" s="39"/>
      <c r="L590" s="39"/>
      <c r="M590" s="39"/>
      <c r="N590" s="39"/>
      <c r="O590" s="136">
        <f t="shared" si="269"/>
        <v>619767114</v>
      </c>
      <c r="P590" s="82">
        <v>619767114</v>
      </c>
      <c r="Q590" s="104">
        <f t="shared" si="271"/>
        <v>0</v>
      </c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</row>
    <row r="591" spans="1:74" s="83" customFormat="1" ht="28.5" x14ac:dyDescent="0.2">
      <c r="A591" s="72" t="s">
        <v>1584</v>
      </c>
      <c r="B591" s="73" t="s">
        <v>1585</v>
      </c>
      <c r="C591" s="39"/>
      <c r="D591" s="39"/>
      <c r="E591" s="39"/>
      <c r="F591" s="39"/>
      <c r="G591" s="39">
        <v>1068769907.89</v>
      </c>
      <c r="H591" s="39"/>
      <c r="I591" s="39"/>
      <c r="J591" s="39"/>
      <c r="K591" s="39"/>
      <c r="L591" s="39"/>
      <c r="M591" s="39"/>
      <c r="N591" s="39"/>
      <c r="O591" s="136">
        <f t="shared" si="269"/>
        <v>1068769907.89</v>
      </c>
      <c r="P591" s="82">
        <v>1068769907.89</v>
      </c>
      <c r="Q591" s="104">
        <f t="shared" si="271"/>
        <v>0</v>
      </c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</row>
    <row r="592" spans="1:74" s="108" customFormat="1" ht="31.5" x14ac:dyDescent="0.2">
      <c r="A592" s="77" t="s">
        <v>1858</v>
      </c>
      <c r="B592" s="75" t="s">
        <v>1859</v>
      </c>
      <c r="C592" s="141">
        <f>+C593</f>
        <v>0</v>
      </c>
      <c r="D592" s="141">
        <f t="shared" ref="D592:N592" si="292">+D593</f>
        <v>0</v>
      </c>
      <c r="E592" s="141">
        <f t="shared" si="292"/>
        <v>0</v>
      </c>
      <c r="F592" s="141">
        <f t="shared" si="292"/>
        <v>0</v>
      </c>
      <c r="G592" s="141">
        <f t="shared" si="292"/>
        <v>0</v>
      </c>
      <c r="H592" s="141">
        <f t="shared" si="292"/>
        <v>0</v>
      </c>
      <c r="I592" s="141">
        <f t="shared" si="292"/>
        <v>0</v>
      </c>
      <c r="J592" s="141">
        <f t="shared" si="292"/>
        <v>369302179</v>
      </c>
      <c r="K592" s="141">
        <f t="shared" si="292"/>
        <v>0</v>
      </c>
      <c r="L592" s="141">
        <f t="shared" si="292"/>
        <v>0</v>
      </c>
      <c r="M592" s="141">
        <f t="shared" si="292"/>
        <v>0</v>
      </c>
      <c r="N592" s="141">
        <f t="shared" si="292"/>
        <v>0</v>
      </c>
      <c r="O592" s="136">
        <f t="shared" si="269"/>
        <v>369302179</v>
      </c>
      <c r="P592" s="107"/>
      <c r="Q592" s="61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</row>
    <row r="593" spans="1:74" s="83" customFormat="1" ht="28.5" x14ac:dyDescent="0.2">
      <c r="A593" s="72" t="s">
        <v>1860</v>
      </c>
      <c r="B593" s="73" t="s">
        <v>1861</v>
      </c>
      <c r="C593" s="39"/>
      <c r="D593" s="39"/>
      <c r="E593" s="39"/>
      <c r="F593" s="39"/>
      <c r="G593" s="39"/>
      <c r="H593" s="39"/>
      <c r="I593" s="39"/>
      <c r="J593" s="39">
        <v>369302179</v>
      </c>
      <c r="K593" s="39"/>
      <c r="L593" s="39"/>
      <c r="M593" s="39"/>
      <c r="N593" s="39"/>
      <c r="O593" s="136">
        <f t="shared" si="269"/>
        <v>369302179</v>
      </c>
      <c r="P593" s="82"/>
      <c r="Q593" s="104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</row>
    <row r="594" spans="1:74" s="83" customFormat="1" ht="45" x14ac:dyDescent="0.2">
      <c r="A594" s="172" t="s">
        <v>1882</v>
      </c>
      <c r="B594" s="173" t="s">
        <v>1883</v>
      </c>
      <c r="C594" s="141">
        <f t="shared" ref="C594:N594" si="293">SUM(C595:C596)</f>
        <v>0</v>
      </c>
      <c r="D594" s="141">
        <f t="shared" si="293"/>
        <v>0</v>
      </c>
      <c r="E594" s="141">
        <f t="shared" si="293"/>
        <v>0</v>
      </c>
      <c r="F594" s="141">
        <f t="shared" si="293"/>
        <v>0</v>
      </c>
      <c r="G594" s="141">
        <f t="shared" si="293"/>
        <v>0</v>
      </c>
      <c r="H594" s="141">
        <f t="shared" si="293"/>
        <v>0</v>
      </c>
      <c r="I594" s="141">
        <f t="shared" si="293"/>
        <v>0</v>
      </c>
      <c r="J594" s="141">
        <f t="shared" si="293"/>
        <v>0</v>
      </c>
      <c r="K594" s="141">
        <f t="shared" si="293"/>
        <v>966792170.46000004</v>
      </c>
      <c r="L594" s="141">
        <f t="shared" si="293"/>
        <v>0</v>
      </c>
      <c r="M594" s="141">
        <f t="shared" si="293"/>
        <v>0</v>
      </c>
      <c r="N594" s="141">
        <f t="shared" si="293"/>
        <v>0</v>
      </c>
      <c r="O594" s="136">
        <f t="shared" si="269"/>
        <v>966792170.46000004</v>
      </c>
      <c r="P594" s="82"/>
      <c r="Q594" s="104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</row>
    <row r="595" spans="1:74" s="83" customFormat="1" ht="28.5" x14ac:dyDescent="0.2">
      <c r="A595" s="72" t="s">
        <v>1862</v>
      </c>
      <c r="B595" s="73" t="s">
        <v>1863</v>
      </c>
      <c r="C595" s="39"/>
      <c r="D595" s="39"/>
      <c r="E595" s="39"/>
      <c r="F595" s="39"/>
      <c r="G595" s="39"/>
      <c r="H595" s="39"/>
      <c r="I595" s="39"/>
      <c r="J595" s="39"/>
      <c r="K595" s="39">
        <v>966707087.46000004</v>
      </c>
      <c r="L595" s="39"/>
      <c r="M595" s="39"/>
      <c r="N595" s="39"/>
      <c r="O595" s="136">
        <f t="shared" si="269"/>
        <v>966707087.46000004</v>
      </c>
      <c r="P595" s="82"/>
      <c r="Q595" s="104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</row>
    <row r="596" spans="1:74" s="83" customFormat="1" ht="28.5" x14ac:dyDescent="0.2">
      <c r="A596" s="72" t="s">
        <v>1864</v>
      </c>
      <c r="B596" s="73" t="s">
        <v>1865</v>
      </c>
      <c r="C596" s="39"/>
      <c r="D596" s="39"/>
      <c r="E596" s="39"/>
      <c r="F596" s="39"/>
      <c r="G596" s="39"/>
      <c r="H596" s="39"/>
      <c r="I596" s="39"/>
      <c r="J596" s="39"/>
      <c r="K596" s="39">
        <v>85083</v>
      </c>
      <c r="L596" s="39"/>
      <c r="M596" s="39"/>
      <c r="N596" s="39"/>
      <c r="O596" s="136">
        <f t="shared" si="269"/>
        <v>85083</v>
      </c>
      <c r="P596" s="82"/>
      <c r="Q596" s="104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</row>
    <row r="597" spans="1:74" s="108" customFormat="1" ht="47.25" x14ac:dyDescent="0.2">
      <c r="A597" s="77" t="s">
        <v>1884</v>
      </c>
      <c r="B597" s="75" t="s">
        <v>1867</v>
      </c>
      <c r="C597" s="141">
        <f t="shared" ref="C597:N597" si="294">SUM(C598)</f>
        <v>0</v>
      </c>
      <c r="D597" s="141">
        <f t="shared" si="294"/>
        <v>0</v>
      </c>
      <c r="E597" s="141">
        <f t="shared" si="294"/>
        <v>0</v>
      </c>
      <c r="F597" s="141">
        <f t="shared" si="294"/>
        <v>0</v>
      </c>
      <c r="G597" s="141">
        <f t="shared" si="294"/>
        <v>0</v>
      </c>
      <c r="H597" s="141">
        <f t="shared" si="294"/>
        <v>0</v>
      </c>
      <c r="I597" s="141">
        <f t="shared" si="294"/>
        <v>0</v>
      </c>
      <c r="J597" s="141">
        <f t="shared" si="294"/>
        <v>0</v>
      </c>
      <c r="K597" s="141">
        <f t="shared" si="294"/>
        <v>59424.45</v>
      </c>
      <c r="L597" s="141">
        <f t="shared" si="294"/>
        <v>0</v>
      </c>
      <c r="M597" s="141">
        <f t="shared" si="294"/>
        <v>0</v>
      </c>
      <c r="N597" s="141">
        <f t="shared" si="294"/>
        <v>0</v>
      </c>
      <c r="O597" s="136">
        <f t="shared" si="269"/>
        <v>59424.45</v>
      </c>
      <c r="P597" s="107"/>
      <c r="Q597" s="61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</row>
    <row r="598" spans="1:74" s="83" customFormat="1" ht="42.75" x14ac:dyDescent="0.2">
      <c r="A598" s="72" t="s">
        <v>1866</v>
      </c>
      <c r="B598" s="73" t="s">
        <v>1867</v>
      </c>
      <c r="C598" s="39"/>
      <c r="D598" s="39"/>
      <c r="E598" s="39"/>
      <c r="F598" s="39"/>
      <c r="G598" s="39"/>
      <c r="H598" s="39"/>
      <c r="I598" s="39"/>
      <c r="J598" s="39"/>
      <c r="K598" s="39">
        <v>59424.45</v>
      </c>
      <c r="L598" s="39"/>
      <c r="M598" s="39"/>
      <c r="N598" s="39"/>
      <c r="O598" s="136">
        <f t="shared" si="269"/>
        <v>59424.45</v>
      </c>
      <c r="P598" s="82"/>
      <c r="Q598" s="104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</row>
    <row r="599" spans="1:74" s="108" customFormat="1" ht="47.25" x14ac:dyDescent="0.2">
      <c r="A599" s="77" t="s">
        <v>1885</v>
      </c>
      <c r="B599" s="75" t="s">
        <v>1867</v>
      </c>
      <c r="C599" s="141">
        <f t="shared" ref="C599:N599" si="295">SUM(C600)</f>
        <v>0</v>
      </c>
      <c r="D599" s="141">
        <f t="shared" si="295"/>
        <v>0</v>
      </c>
      <c r="E599" s="141">
        <f t="shared" si="295"/>
        <v>0</v>
      </c>
      <c r="F599" s="141">
        <f t="shared" si="295"/>
        <v>0</v>
      </c>
      <c r="G599" s="141">
        <f t="shared" si="295"/>
        <v>0</v>
      </c>
      <c r="H599" s="141">
        <f t="shared" si="295"/>
        <v>0</v>
      </c>
      <c r="I599" s="141">
        <f t="shared" si="295"/>
        <v>0</v>
      </c>
      <c r="J599" s="141">
        <f t="shared" si="295"/>
        <v>0</v>
      </c>
      <c r="K599" s="141">
        <f t="shared" si="295"/>
        <v>18213</v>
      </c>
      <c r="L599" s="141">
        <f t="shared" si="295"/>
        <v>0</v>
      </c>
      <c r="M599" s="141">
        <f t="shared" si="295"/>
        <v>0</v>
      </c>
      <c r="N599" s="141">
        <f t="shared" si="295"/>
        <v>0</v>
      </c>
      <c r="O599" s="136">
        <f t="shared" si="269"/>
        <v>18213</v>
      </c>
      <c r="P599" s="107"/>
      <c r="Q599" s="61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</row>
    <row r="600" spans="1:74" s="83" customFormat="1" ht="42.75" x14ac:dyDescent="0.2">
      <c r="A600" s="72" t="s">
        <v>1868</v>
      </c>
      <c r="B600" s="73" t="s">
        <v>1869</v>
      </c>
      <c r="C600" s="39"/>
      <c r="D600" s="39"/>
      <c r="E600" s="39"/>
      <c r="F600" s="39"/>
      <c r="G600" s="39"/>
      <c r="H600" s="39"/>
      <c r="I600" s="39"/>
      <c r="J600" s="39"/>
      <c r="K600" s="39">
        <v>18213</v>
      </c>
      <c r="L600" s="39"/>
      <c r="M600" s="39"/>
      <c r="N600" s="39"/>
      <c r="O600" s="136">
        <f t="shared" si="269"/>
        <v>18213</v>
      </c>
      <c r="P600" s="82"/>
      <c r="Q600" s="104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</row>
    <row r="601" spans="1:74" s="108" customFormat="1" ht="47.25" x14ac:dyDescent="0.2">
      <c r="A601" s="77" t="s">
        <v>1886</v>
      </c>
      <c r="B601" s="75" t="s">
        <v>1871</v>
      </c>
      <c r="C601" s="141">
        <f t="shared" ref="C601:N601" si="296">SUM(C602)</f>
        <v>0</v>
      </c>
      <c r="D601" s="141">
        <f t="shared" si="296"/>
        <v>0</v>
      </c>
      <c r="E601" s="141">
        <f t="shared" si="296"/>
        <v>0</v>
      </c>
      <c r="F601" s="141">
        <f t="shared" si="296"/>
        <v>0</v>
      </c>
      <c r="G601" s="141">
        <f t="shared" si="296"/>
        <v>0</v>
      </c>
      <c r="H601" s="141">
        <f t="shared" si="296"/>
        <v>0</v>
      </c>
      <c r="I601" s="141">
        <f t="shared" si="296"/>
        <v>0</v>
      </c>
      <c r="J601" s="141">
        <f t="shared" si="296"/>
        <v>0</v>
      </c>
      <c r="K601" s="141">
        <f t="shared" si="296"/>
        <v>53228.82</v>
      </c>
      <c r="L601" s="141">
        <f t="shared" si="296"/>
        <v>0</v>
      </c>
      <c r="M601" s="141">
        <f t="shared" si="296"/>
        <v>0</v>
      </c>
      <c r="N601" s="141">
        <f t="shared" si="296"/>
        <v>0</v>
      </c>
      <c r="O601" s="136">
        <f t="shared" si="269"/>
        <v>53228.82</v>
      </c>
      <c r="P601" s="107"/>
      <c r="Q601" s="61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</row>
    <row r="602" spans="1:74" s="83" customFormat="1" ht="42.75" x14ac:dyDescent="0.2">
      <c r="A602" s="72" t="s">
        <v>1870</v>
      </c>
      <c r="B602" s="73" t="s">
        <v>1871</v>
      </c>
      <c r="C602" s="39"/>
      <c r="D602" s="39"/>
      <c r="E602" s="39"/>
      <c r="F602" s="39"/>
      <c r="G602" s="39"/>
      <c r="H602" s="39"/>
      <c r="I602" s="39"/>
      <c r="J602" s="39"/>
      <c r="K602" s="39">
        <v>53228.82</v>
      </c>
      <c r="L602" s="39"/>
      <c r="M602" s="39"/>
      <c r="N602" s="39"/>
      <c r="O602" s="136">
        <f t="shared" si="269"/>
        <v>53228.82</v>
      </c>
      <c r="P602" s="82"/>
      <c r="Q602" s="104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</row>
    <row r="603" spans="1:74" s="108" customFormat="1" ht="63" x14ac:dyDescent="0.2">
      <c r="A603" s="77" t="s">
        <v>1887</v>
      </c>
      <c r="B603" s="75" t="s">
        <v>1873</v>
      </c>
      <c r="C603" s="141">
        <f t="shared" ref="C603:N603" si="297">SUM(C604)</f>
        <v>0</v>
      </c>
      <c r="D603" s="141">
        <f t="shared" si="297"/>
        <v>0</v>
      </c>
      <c r="E603" s="141">
        <f t="shared" si="297"/>
        <v>0</v>
      </c>
      <c r="F603" s="141">
        <f t="shared" si="297"/>
        <v>0</v>
      </c>
      <c r="G603" s="141">
        <f t="shared" si="297"/>
        <v>0</v>
      </c>
      <c r="H603" s="141">
        <f t="shared" si="297"/>
        <v>0</v>
      </c>
      <c r="I603" s="141">
        <f t="shared" si="297"/>
        <v>0</v>
      </c>
      <c r="J603" s="141">
        <f t="shared" si="297"/>
        <v>0</v>
      </c>
      <c r="K603" s="141">
        <f t="shared" si="297"/>
        <v>2883</v>
      </c>
      <c r="L603" s="141">
        <f t="shared" si="297"/>
        <v>0</v>
      </c>
      <c r="M603" s="141">
        <f t="shared" si="297"/>
        <v>0</v>
      </c>
      <c r="N603" s="141">
        <f t="shared" si="297"/>
        <v>0</v>
      </c>
      <c r="O603" s="136">
        <f t="shared" si="269"/>
        <v>2883</v>
      </c>
      <c r="P603" s="107"/>
      <c r="Q603" s="61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</row>
    <row r="604" spans="1:74" s="83" customFormat="1" ht="57" x14ac:dyDescent="0.2">
      <c r="A604" s="72" t="s">
        <v>1872</v>
      </c>
      <c r="B604" s="73" t="s">
        <v>1873</v>
      </c>
      <c r="C604" s="39"/>
      <c r="D604" s="39"/>
      <c r="E604" s="39"/>
      <c r="F604" s="39"/>
      <c r="G604" s="39"/>
      <c r="H604" s="39"/>
      <c r="I604" s="39"/>
      <c r="J604" s="39"/>
      <c r="K604" s="39">
        <v>2883</v>
      </c>
      <c r="L604" s="39"/>
      <c r="M604" s="39"/>
      <c r="N604" s="39"/>
      <c r="O604" s="136">
        <f t="shared" si="269"/>
        <v>2883</v>
      </c>
      <c r="P604" s="82"/>
      <c r="Q604" s="104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</row>
    <row r="605" spans="1:74" s="83" customFormat="1" ht="19.5" x14ac:dyDescent="0.2">
      <c r="A605" s="77" t="s">
        <v>837</v>
      </c>
      <c r="B605" s="75" t="s">
        <v>838</v>
      </c>
      <c r="C605" s="188">
        <f t="shared" ref="C605:N605" si="298">+C606+C609</f>
        <v>0</v>
      </c>
      <c r="D605" s="188">
        <f t="shared" si="298"/>
        <v>0</v>
      </c>
      <c r="E605" s="188">
        <f t="shared" si="298"/>
        <v>0</v>
      </c>
      <c r="F605" s="188">
        <f t="shared" si="298"/>
        <v>0</v>
      </c>
      <c r="G605" s="188">
        <f t="shared" si="298"/>
        <v>0</v>
      </c>
      <c r="H605" s="188">
        <f t="shared" si="298"/>
        <v>0</v>
      </c>
      <c r="I605" s="188">
        <f t="shared" si="298"/>
        <v>0</v>
      </c>
      <c r="J605" s="188">
        <f t="shared" si="298"/>
        <v>0</v>
      </c>
      <c r="K605" s="188">
        <f t="shared" si="298"/>
        <v>0</v>
      </c>
      <c r="L605" s="188">
        <f t="shared" si="298"/>
        <v>0</v>
      </c>
      <c r="M605" s="188">
        <f t="shared" si="298"/>
        <v>0</v>
      </c>
      <c r="N605" s="188">
        <f t="shared" si="298"/>
        <v>0</v>
      </c>
      <c r="O605" s="136">
        <f t="shared" si="269"/>
        <v>0</v>
      </c>
      <c r="P605" s="82">
        <v>0</v>
      </c>
      <c r="Q605" s="104">
        <f t="shared" si="271"/>
        <v>0</v>
      </c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</row>
    <row r="606" spans="1:74" s="83" customFormat="1" ht="63" x14ac:dyDescent="0.2">
      <c r="A606" s="77" t="s">
        <v>839</v>
      </c>
      <c r="B606" s="75" t="s">
        <v>840</v>
      </c>
      <c r="C606" s="188">
        <f t="shared" ref="C606:N606" si="299">SUM(C607:C608)</f>
        <v>0</v>
      </c>
      <c r="D606" s="188">
        <f t="shared" si="299"/>
        <v>0</v>
      </c>
      <c r="E606" s="188">
        <f t="shared" si="299"/>
        <v>0</v>
      </c>
      <c r="F606" s="188">
        <f t="shared" si="299"/>
        <v>0</v>
      </c>
      <c r="G606" s="188">
        <f t="shared" si="299"/>
        <v>0</v>
      </c>
      <c r="H606" s="188">
        <f t="shared" si="299"/>
        <v>0</v>
      </c>
      <c r="I606" s="188">
        <f t="shared" si="299"/>
        <v>0</v>
      </c>
      <c r="J606" s="188">
        <f t="shared" si="299"/>
        <v>0</v>
      </c>
      <c r="K606" s="188">
        <f t="shared" si="299"/>
        <v>0</v>
      </c>
      <c r="L606" s="188">
        <f t="shared" si="299"/>
        <v>0</v>
      </c>
      <c r="M606" s="188">
        <f t="shared" si="299"/>
        <v>0</v>
      </c>
      <c r="N606" s="188">
        <f t="shared" si="299"/>
        <v>0</v>
      </c>
      <c r="O606" s="136">
        <f t="shared" si="269"/>
        <v>0</v>
      </c>
      <c r="P606" s="82">
        <v>0</v>
      </c>
      <c r="Q606" s="104">
        <f t="shared" si="271"/>
        <v>0</v>
      </c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</row>
    <row r="607" spans="1:74" s="83" customFormat="1" ht="42.75" x14ac:dyDescent="0.2">
      <c r="A607" s="72" t="s">
        <v>841</v>
      </c>
      <c r="B607" s="73" t="s">
        <v>842</v>
      </c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136">
        <f t="shared" si="269"/>
        <v>0</v>
      </c>
      <c r="P607" s="105">
        <v>0</v>
      </c>
      <c r="Q607" s="104">
        <f t="shared" si="271"/>
        <v>0</v>
      </c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</row>
    <row r="608" spans="1:74" s="83" customFormat="1" ht="42.75" x14ac:dyDescent="0.2">
      <c r="A608" s="72" t="s">
        <v>843</v>
      </c>
      <c r="B608" s="73" t="s">
        <v>844</v>
      </c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36">
        <f t="shared" si="269"/>
        <v>0</v>
      </c>
      <c r="P608" s="105">
        <v>0</v>
      </c>
      <c r="Q608" s="104">
        <f t="shared" si="271"/>
        <v>0</v>
      </c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</row>
    <row r="609" spans="1:74" s="83" customFormat="1" ht="79.5" customHeight="1" x14ac:dyDescent="0.2">
      <c r="A609" s="77" t="s">
        <v>845</v>
      </c>
      <c r="B609" s="75" t="s">
        <v>846</v>
      </c>
      <c r="C609" s="188">
        <f t="shared" ref="C609:N609" si="300">+C610</f>
        <v>0</v>
      </c>
      <c r="D609" s="188">
        <f t="shared" si="300"/>
        <v>0</v>
      </c>
      <c r="E609" s="188">
        <f t="shared" si="300"/>
        <v>0</v>
      </c>
      <c r="F609" s="188">
        <f t="shared" si="300"/>
        <v>0</v>
      </c>
      <c r="G609" s="188">
        <f t="shared" si="300"/>
        <v>0</v>
      </c>
      <c r="H609" s="188">
        <f t="shared" si="300"/>
        <v>0</v>
      </c>
      <c r="I609" s="188">
        <f t="shared" si="300"/>
        <v>0</v>
      </c>
      <c r="J609" s="188">
        <f t="shared" si="300"/>
        <v>0</v>
      </c>
      <c r="K609" s="188">
        <f t="shared" si="300"/>
        <v>0</v>
      </c>
      <c r="L609" s="188">
        <f t="shared" si="300"/>
        <v>0</v>
      </c>
      <c r="M609" s="188">
        <f t="shared" si="300"/>
        <v>0</v>
      </c>
      <c r="N609" s="188">
        <f t="shared" si="300"/>
        <v>0</v>
      </c>
      <c r="O609" s="136">
        <f t="shared" si="269"/>
        <v>0</v>
      </c>
      <c r="P609" s="105">
        <v>0</v>
      </c>
      <c r="Q609" s="104">
        <f t="shared" si="271"/>
        <v>0</v>
      </c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</row>
    <row r="610" spans="1:74" s="83" customFormat="1" ht="14.25" x14ac:dyDescent="0.2">
      <c r="A610" s="72" t="s">
        <v>847</v>
      </c>
      <c r="B610" s="73" t="s">
        <v>848</v>
      </c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136">
        <f t="shared" si="269"/>
        <v>0</v>
      </c>
      <c r="P610" s="105">
        <v>0</v>
      </c>
      <c r="Q610" s="104">
        <f t="shared" si="271"/>
        <v>0</v>
      </c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</row>
    <row r="611" spans="1:74" s="83" customFormat="1" ht="31.5" x14ac:dyDescent="0.2">
      <c r="A611" s="77" t="s">
        <v>849</v>
      </c>
      <c r="B611" s="75" t="s">
        <v>850</v>
      </c>
      <c r="C611" s="207">
        <f t="shared" ref="C611:N611" si="301">+C612</f>
        <v>0</v>
      </c>
      <c r="D611" s="207">
        <f t="shared" si="301"/>
        <v>0</v>
      </c>
      <c r="E611" s="207">
        <f t="shared" si="301"/>
        <v>0</v>
      </c>
      <c r="F611" s="207">
        <f t="shared" si="301"/>
        <v>6881458116.8400002</v>
      </c>
      <c r="G611" s="207">
        <f t="shared" si="301"/>
        <v>0</v>
      </c>
      <c r="H611" s="207">
        <f t="shared" si="301"/>
        <v>427564239.73000002</v>
      </c>
      <c r="I611" s="207">
        <f t="shared" si="301"/>
        <v>0</v>
      </c>
      <c r="J611" s="207">
        <f t="shared" si="301"/>
        <v>0</v>
      </c>
      <c r="K611" s="207">
        <f t="shared" si="301"/>
        <v>777263256</v>
      </c>
      <c r="L611" s="207">
        <f t="shared" si="301"/>
        <v>0</v>
      </c>
      <c r="M611" s="207">
        <f t="shared" si="301"/>
        <v>4017992854.79</v>
      </c>
      <c r="N611" s="207">
        <f t="shared" si="301"/>
        <v>0</v>
      </c>
      <c r="O611" s="136">
        <f t="shared" si="269"/>
        <v>12104278467.360001</v>
      </c>
      <c r="P611" s="105">
        <v>6881458116.8400002</v>
      </c>
      <c r="Q611" s="104">
        <f t="shared" si="271"/>
        <v>-5222820350.5200005</v>
      </c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</row>
    <row r="612" spans="1:74" s="83" customFormat="1" ht="18.75" x14ac:dyDescent="0.2">
      <c r="A612" s="77" t="s">
        <v>851</v>
      </c>
      <c r="B612" s="75" t="s">
        <v>852</v>
      </c>
      <c r="C612" s="207">
        <f>+C613+C614+C617+C637+C638+C639+C640+C641+C643+C644+C645+C646+C647+C648+C649+C650+C651+C652+C653+C654+C655+C658+C659+C660+C662+C663+C665+C666+C667+C668+C669+C670+C671+C672+C673+C674+C675+C676+C677+C679+C680+C681+C682+C683+C684+C685+C687+C688+C689+C690+C691+C692+C693+C694+C695+C642+C664+C615+C616+C656+C657+C661+C678+C686</f>
        <v>0</v>
      </c>
      <c r="D612" s="207">
        <f t="shared" ref="D612:N612" si="302">+D613+D614+D617+D637+D638+D639+D640+D641+D643+D644+D645+D646+D647+D648+D649+D650+D651+D652+D653+D654+D655+D658+D659+D660+D662+D663+D665+D666+D667+D668+D669+D670+D671+D672+D673+D674+D675+D676+D677+D679+D680+D681+D682+D683+D684+D685+D687+D688+D689+D690+D691+D692+D693+D694+D695+D642+D664+D615+D616+D656+D657+D661+D678+D686</f>
        <v>0</v>
      </c>
      <c r="E612" s="207">
        <f t="shared" si="302"/>
        <v>0</v>
      </c>
      <c r="F612" s="207">
        <f t="shared" si="302"/>
        <v>6881458116.8400002</v>
      </c>
      <c r="G612" s="207">
        <f t="shared" si="302"/>
        <v>0</v>
      </c>
      <c r="H612" s="207">
        <f t="shared" si="302"/>
        <v>427564239.73000002</v>
      </c>
      <c r="I612" s="207">
        <f t="shared" si="302"/>
        <v>0</v>
      </c>
      <c r="J612" s="207">
        <f t="shared" si="302"/>
        <v>0</v>
      </c>
      <c r="K612" s="207">
        <f t="shared" si="302"/>
        <v>777263256</v>
      </c>
      <c r="L612" s="207">
        <f t="shared" si="302"/>
        <v>0</v>
      </c>
      <c r="M612" s="207">
        <f t="shared" si="302"/>
        <v>4017992854.79</v>
      </c>
      <c r="N612" s="207">
        <f t="shared" si="302"/>
        <v>0</v>
      </c>
      <c r="O612" s="136">
        <f t="shared" si="269"/>
        <v>12104278467.360001</v>
      </c>
      <c r="P612" s="105">
        <v>6881458116.8400002</v>
      </c>
      <c r="Q612" s="104">
        <f t="shared" si="271"/>
        <v>-5222820350.5200005</v>
      </c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</row>
    <row r="613" spans="1:74" s="83" customFormat="1" ht="14.25" x14ac:dyDescent="0.2">
      <c r="A613" s="72" t="s">
        <v>853</v>
      </c>
      <c r="B613" s="73" t="s">
        <v>284</v>
      </c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36">
        <f t="shared" si="269"/>
        <v>0</v>
      </c>
      <c r="P613" s="105">
        <v>0</v>
      </c>
      <c r="Q613" s="104">
        <f t="shared" si="271"/>
        <v>0</v>
      </c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</row>
    <row r="614" spans="1:74" s="83" customFormat="1" ht="14.25" x14ac:dyDescent="0.2">
      <c r="A614" s="72" t="s">
        <v>854</v>
      </c>
      <c r="B614" s="73" t="s">
        <v>285</v>
      </c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36">
        <f t="shared" si="269"/>
        <v>0</v>
      </c>
      <c r="P614" s="105">
        <v>0</v>
      </c>
      <c r="Q614" s="104">
        <f t="shared" si="271"/>
        <v>0</v>
      </c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</row>
    <row r="615" spans="1:74" s="83" customFormat="1" ht="14.25" x14ac:dyDescent="0.2">
      <c r="A615" s="72" t="s">
        <v>854</v>
      </c>
      <c r="B615" s="73" t="s">
        <v>285</v>
      </c>
      <c r="C615" s="124"/>
      <c r="D615" s="124"/>
      <c r="E615" s="124"/>
      <c r="F615" s="124"/>
      <c r="G615" s="124"/>
      <c r="H615" s="124">
        <v>427564239.73000002</v>
      </c>
      <c r="I615" s="124"/>
      <c r="J615" s="124"/>
      <c r="K615" s="124"/>
      <c r="L615" s="124"/>
      <c r="M615" s="124"/>
      <c r="N615" s="124"/>
      <c r="O615" s="136">
        <f t="shared" si="269"/>
        <v>427564239.73000002</v>
      </c>
      <c r="P615" s="105"/>
      <c r="Q615" s="104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</row>
    <row r="616" spans="1:74" s="83" customFormat="1" ht="14.25" x14ac:dyDescent="0.2">
      <c r="A616" s="72" t="s">
        <v>854</v>
      </c>
      <c r="B616" s="73" t="s">
        <v>285</v>
      </c>
      <c r="C616" s="124"/>
      <c r="D616" s="124"/>
      <c r="E616" s="124"/>
      <c r="F616" s="124"/>
      <c r="G616" s="124"/>
      <c r="H616" s="124"/>
      <c r="I616" s="124"/>
      <c r="J616" s="124"/>
      <c r="K616" s="124">
        <v>777263256</v>
      </c>
      <c r="L616" s="124"/>
      <c r="M616" s="124"/>
      <c r="N616" s="124"/>
      <c r="O616" s="136">
        <f t="shared" si="269"/>
        <v>777263256</v>
      </c>
      <c r="P616" s="105"/>
      <c r="Q616" s="104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</row>
    <row r="617" spans="1:74" s="83" customFormat="1" ht="19.5" x14ac:dyDescent="0.2">
      <c r="A617" s="77" t="s">
        <v>855</v>
      </c>
      <c r="B617" s="75" t="s">
        <v>856</v>
      </c>
      <c r="C617" s="188">
        <f t="shared" ref="C617:N617" si="303">+C618+C621+C623+C625+C627+C630+C632</f>
        <v>0</v>
      </c>
      <c r="D617" s="188">
        <f t="shared" si="303"/>
        <v>0</v>
      </c>
      <c r="E617" s="188">
        <f t="shared" si="303"/>
        <v>0</v>
      </c>
      <c r="F617" s="188">
        <f t="shared" si="303"/>
        <v>4190433949.29</v>
      </c>
      <c r="G617" s="188">
        <f t="shared" si="303"/>
        <v>0</v>
      </c>
      <c r="H617" s="188">
        <f t="shared" si="303"/>
        <v>0</v>
      </c>
      <c r="I617" s="188">
        <f t="shared" si="303"/>
        <v>0</v>
      </c>
      <c r="J617" s="188">
        <f t="shared" si="303"/>
        <v>0</v>
      </c>
      <c r="K617" s="188">
        <f t="shared" si="303"/>
        <v>0</v>
      </c>
      <c r="L617" s="188">
        <f t="shared" si="303"/>
        <v>0</v>
      </c>
      <c r="M617" s="188">
        <f t="shared" si="303"/>
        <v>913665848.01999998</v>
      </c>
      <c r="N617" s="188">
        <f t="shared" si="303"/>
        <v>0</v>
      </c>
      <c r="O617" s="136">
        <f t="shared" si="269"/>
        <v>5104099797.3099995</v>
      </c>
      <c r="P617" s="105">
        <v>4190433949.29</v>
      </c>
      <c r="Q617" s="104">
        <f t="shared" si="271"/>
        <v>-913665848.0199995</v>
      </c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</row>
    <row r="618" spans="1:74" s="83" customFormat="1" ht="30" x14ac:dyDescent="0.2">
      <c r="A618" s="172" t="s">
        <v>857</v>
      </c>
      <c r="B618" s="173" t="s">
        <v>286</v>
      </c>
      <c r="C618" s="188">
        <f>SUM(C619:C620)</f>
        <v>0</v>
      </c>
      <c r="D618" s="188">
        <f t="shared" ref="D618:N618" si="304">SUM(D619:D620)</f>
        <v>0</v>
      </c>
      <c r="E618" s="188">
        <f t="shared" si="304"/>
        <v>0</v>
      </c>
      <c r="F618" s="188">
        <f t="shared" si="304"/>
        <v>0</v>
      </c>
      <c r="G618" s="188">
        <f t="shared" si="304"/>
        <v>0</v>
      </c>
      <c r="H618" s="188">
        <f t="shared" si="304"/>
        <v>0</v>
      </c>
      <c r="I618" s="188">
        <f t="shared" si="304"/>
        <v>0</v>
      </c>
      <c r="J618" s="188">
        <f t="shared" si="304"/>
        <v>0</v>
      </c>
      <c r="K618" s="188">
        <f t="shared" si="304"/>
        <v>0</v>
      </c>
      <c r="L618" s="188">
        <f t="shared" si="304"/>
        <v>0</v>
      </c>
      <c r="M618" s="188">
        <f t="shared" si="304"/>
        <v>861358292</v>
      </c>
      <c r="N618" s="188">
        <f t="shared" si="304"/>
        <v>0</v>
      </c>
      <c r="O618" s="136">
        <f t="shared" si="269"/>
        <v>861358292</v>
      </c>
      <c r="P618" s="105">
        <v>0</v>
      </c>
      <c r="Q618" s="104">
        <f t="shared" si="271"/>
        <v>-861358292</v>
      </c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</row>
    <row r="619" spans="1:74" s="83" customFormat="1" ht="28.5" x14ac:dyDescent="0.2">
      <c r="A619" s="72" t="s">
        <v>858</v>
      </c>
      <c r="B619" s="73" t="s">
        <v>286</v>
      </c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36">
        <f t="shared" si="269"/>
        <v>0</v>
      </c>
      <c r="P619" s="82">
        <v>0</v>
      </c>
      <c r="Q619" s="104">
        <f t="shared" si="271"/>
        <v>0</v>
      </c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</row>
    <row r="620" spans="1:74" s="83" customFormat="1" ht="28.5" x14ac:dyDescent="0.2">
      <c r="A620" s="72" t="s">
        <v>858</v>
      </c>
      <c r="B620" s="73" t="s">
        <v>286</v>
      </c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>
        <v>861358292</v>
      </c>
      <c r="N620" s="124"/>
      <c r="O620" s="136">
        <f t="shared" si="269"/>
        <v>861358292</v>
      </c>
      <c r="P620" s="82"/>
      <c r="Q620" s="104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</row>
    <row r="621" spans="1:74" s="83" customFormat="1" ht="33.75" customHeight="1" x14ac:dyDescent="0.2">
      <c r="A621" s="77" t="s">
        <v>859</v>
      </c>
      <c r="B621" s="75" t="s">
        <v>287</v>
      </c>
      <c r="C621" s="188">
        <f t="shared" ref="C621:N621" si="305">+C622</f>
        <v>0</v>
      </c>
      <c r="D621" s="188">
        <f t="shared" si="305"/>
        <v>0</v>
      </c>
      <c r="E621" s="188">
        <f t="shared" si="305"/>
        <v>0</v>
      </c>
      <c r="F621" s="188">
        <f t="shared" si="305"/>
        <v>0</v>
      </c>
      <c r="G621" s="188">
        <f t="shared" si="305"/>
        <v>0</v>
      </c>
      <c r="H621" s="188">
        <f t="shared" si="305"/>
        <v>0</v>
      </c>
      <c r="I621" s="188">
        <f t="shared" si="305"/>
        <v>0</v>
      </c>
      <c r="J621" s="188">
        <f t="shared" si="305"/>
        <v>0</v>
      </c>
      <c r="K621" s="188">
        <f t="shared" si="305"/>
        <v>0</v>
      </c>
      <c r="L621" s="188">
        <f t="shared" si="305"/>
        <v>0</v>
      </c>
      <c r="M621" s="188">
        <f t="shared" si="305"/>
        <v>0</v>
      </c>
      <c r="N621" s="188">
        <f t="shared" si="305"/>
        <v>0</v>
      </c>
      <c r="O621" s="136">
        <f t="shared" si="269"/>
        <v>0</v>
      </c>
      <c r="P621" s="82">
        <v>0</v>
      </c>
      <c r="Q621" s="104">
        <f t="shared" si="271"/>
        <v>0</v>
      </c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</row>
    <row r="622" spans="1:74" s="83" customFormat="1" ht="28.5" x14ac:dyDescent="0.2">
      <c r="A622" s="72" t="s">
        <v>860</v>
      </c>
      <c r="B622" s="73" t="s">
        <v>861</v>
      </c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36">
        <f t="shared" si="269"/>
        <v>0</v>
      </c>
      <c r="P622" s="105">
        <v>0</v>
      </c>
      <c r="Q622" s="104">
        <f t="shared" si="271"/>
        <v>0</v>
      </c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</row>
    <row r="623" spans="1:74" s="83" customFormat="1" ht="19.5" x14ac:dyDescent="0.2">
      <c r="A623" s="77" t="s">
        <v>862</v>
      </c>
      <c r="B623" s="75" t="s">
        <v>288</v>
      </c>
      <c r="C623" s="188">
        <f t="shared" ref="C623:N623" si="306">+C624</f>
        <v>0</v>
      </c>
      <c r="D623" s="188">
        <f t="shared" si="306"/>
        <v>0</v>
      </c>
      <c r="E623" s="188">
        <f t="shared" si="306"/>
        <v>0</v>
      </c>
      <c r="F623" s="188">
        <f t="shared" si="306"/>
        <v>0</v>
      </c>
      <c r="G623" s="188">
        <f t="shared" si="306"/>
        <v>0</v>
      </c>
      <c r="H623" s="188">
        <f t="shared" si="306"/>
        <v>0</v>
      </c>
      <c r="I623" s="188">
        <f t="shared" si="306"/>
        <v>0</v>
      </c>
      <c r="J623" s="188">
        <f t="shared" si="306"/>
        <v>0</v>
      </c>
      <c r="K623" s="188">
        <f t="shared" si="306"/>
        <v>0</v>
      </c>
      <c r="L623" s="188">
        <f t="shared" si="306"/>
        <v>0</v>
      </c>
      <c r="M623" s="188">
        <f t="shared" si="306"/>
        <v>0</v>
      </c>
      <c r="N623" s="188">
        <f t="shared" si="306"/>
        <v>0</v>
      </c>
      <c r="O623" s="136">
        <f t="shared" si="269"/>
        <v>0</v>
      </c>
      <c r="P623" s="105">
        <v>0</v>
      </c>
      <c r="Q623" s="104">
        <f t="shared" si="271"/>
        <v>0</v>
      </c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</row>
    <row r="624" spans="1:74" s="83" customFormat="1" ht="14.25" x14ac:dyDescent="0.2">
      <c r="A624" s="72" t="s">
        <v>863</v>
      </c>
      <c r="B624" s="73" t="s">
        <v>864</v>
      </c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36">
        <f t="shared" ref="O624:O689" si="307">SUM(C624:N624)</f>
        <v>0</v>
      </c>
      <c r="Q624" s="104">
        <f t="shared" si="271"/>
        <v>0</v>
      </c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</row>
    <row r="625" spans="1:74" s="83" customFormat="1" ht="19.5" x14ac:dyDescent="0.2">
      <c r="A625" s="77" t="s">
        <v>865</v>
      </c>
      <c r="B625" s="75" t="s">
        <v>289</v>
      </c>
      <c r="C625" s="188">
        <f t="shared" ref="C625:N625" si="308">+C626</f>
        <v>0</v>
      </c>
      <c r="D625" s="188">
        <f t="shared" si="308"/>
        <v>0</v>
      </c>
      <c r="E625" s="188">
        <f t="shared" si="308"/>
        <v>0</v>
      </c>
      <c r="F625" s="188">
        <f t="shared" si="308"/>
        <v>0</v>
      </c>
      <c r="G625" s="188">
        <f t="shared" si="308"/>
        <v>0</v>
      </c>
      <c r="H625" s="188">
        <f t="shared" si="308"/>
        <v>0</v>
      </c>
      <c r="I625" s="188">
        <f t="shared" si="308"/>
        <v>0</v>
      </c>
      <c r="J625" s="188">
        <f t="shared" si="308"/>
        <v>0</v>
      </c>
      <c r="K625" s="188">
        <f t="shared" si="308"/>
        <v>0</v>
      </c>
      <c r="L625" s="188">
        <f t="shared" si="308"/>
        <v>0</v>
      </c>
      <c r="M625" s="188">
        <f t="shared" si="308"/>
        <v>0</v>
      </c>
      <c r="N625" s="188">
        <f t="shared" si="308"/>
        <v>0</v>
      </c>
      <c r="O625" s="136">
        <f t="shared" si="307"/>
        <v>0</v>
      </c>
      <c r="Q625" s="104">
        <f t="shared" si="271"/>
        <v>0</v>
      </c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</row>
    <row r="626" spans="1:74" s="83" customFormat="1" ht="14.25" x14ac:dyDescent="0.2">
      <c r="A626" s="72" t="s">
        <v>866</v>
      </c>
      <c r="B626" s="73" t="s">
        <v>867</v>
      </c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36">
        <f t="shared" si="307"/>
        <v>0</v>
      </c>
      <c r="Q626" s="104">
        <f t="shared" si="271"/>
        <v>0</v>
      </c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</row>
    <row r="627" spans="1:74" s="83" customFormat="1" ht="27.75" customHeight="1" x14ac:dyDescent="0.2">
      <c r="A627" s="77" t="s">
        <v>868</v>
      </c>
      <c r="B627" s="75" t="s">
        <v>290</v>
      </c>
      <c r="C627" s="188">
        <f>+C628+C629</f>
        <v>0</v>
      </c>
      <c r="D627" s="188">
        <f t="shared" ref="D627:N627" si="309">+D628+D629</f>
        <v>0</v>
      </c>
      <c r="E627" s="188">
        <f t="shared" si="309"/>
        <v>0</v>
      </c>
      <c r="F627" s="188">
        <f t="shared" si="309"/>
        <v>4190433949.29</v>
      </c>
      <c r="G627" s="188">
        <f t="shared" si="309"/>
        <v>0</v>
      </c>
      <c r="H627" s="188">
        <f t="shared" si="309"/>
        <v>0</v>
      </c>
      <c r="I627" s="188">
        <f t="shared" si="309"/>
        <v>0</v>
      </c>
      <c r="J627" s="188">
        <f t="shared" si="309"/>
        <v>0</v>
      </c>
      <c r="K627" s="188">
        <f t="shared" si="309"/>
        <v>0</v>
      </c>
      <c r="L627" s="188">
        <f t="shared" si="309"/>
        <v>0</v>
      </c>
      <c r="M627" s="188">
        <f t="shared" si="309"/>
        <v>0</v>
      </c>
      <c r="N627" s="188">
        <f t="shared" si="309"/>
        <v>0</v>
      </c>
      <c r="O627" s="136">
        <f t="shared" si="307"/>
        <v>4190433949.29</v>
      </c>
      <c r="P627" s="105">
        <v>4190433949.29</v>
      </c>
      <c r="Q627" s="104">
        <f t="shared" si="271"/>
        <v>0</v>
      </c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</row>
    <row r="628" spans="1:74" s="83" customFormat="1" ht="28.5" x14ac:dyDescent="0.2">
      <c r="A628" s="72" t="s">
        <v>869</v>
      </c>
      <c r="B628" s="73" t="s">
        <v>870</v>
      </c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36">
        <f t="shared" si="307"/>
        <v>0</v>
      </c>
      <c r="P628" s="143">
        <v>0</v>
      </c>
      <c r="Q628" s="104">
        <f t="shared" si="271"/>
        <v>0</v>
      </c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</row>
    <row r="629" spans="1:74" s="83" customFormat="1" ht="28.5" x14ac:dyDescent="0.2">
      <c r="A629" s="72" t="s">
        <v>869</v>
      </c>
      <c r="B629" s="73" t="s">
        <v>870</v>
      </c>
      <c r="C629" s="124"/>
      <c r="D629" s="124"/>
      <c r="E629" s="124"/>
      <c r="F629" s="124">
        <v>4190433949.29</v>
      </c>
      <c r="G629" s="124"/>
      <c r="H629" s="124"/>
      <c r="I629" s="124"/>
      <c r="J629" s="124"/>
      <c r="K629" s="124"/>
      <c r="L629" s="124"/>
      <c r="M629" s="124"/>
      <c r="N629" s="124"/>
      <c r="O629" s="136">
        <f t="shared" si="307"/>
        <v>4190433949.29</v>
      </c>
      <c r="P629" s="82">
        <v>4190433949.29</v>
      </c>
      <c r="Q629" s="104">
        <f t="shared" si="271"/>
        <v>0</v>
      </c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</row>
    <row r="630" spans="1:74" s="83" customFormat="1" ht="19.5" x14ac:dyDescent="0.2">
      <c r="A630" s="77" t="s">
        <v>871</v>
      </c>
      <c r="B630" s="75" t="s">
        <v>291</v>
      </c>
      <c r="C630" s="188">
        <f t="shared" ref="C630:N630" si="310">+C631</f>
        <v>0</v>
      </c>
      <c r="D630" s="188">
        <f t="shared" si="310"/>
        <v>0</v>
      </c>
      <c r="E630" s="188">
        <f t="shared" si="310"/>
        <v>0</v>
      </c>
      <c r="F630" s="188">
        <f t="shared" si="310"/>
        <v>0</v>
      </c>
      <c r="G630" s="188">
        <f t="shared" si="310"/>
        <v>0</v>
      </c>
      <c r="H630" s="188">
        <f t="shared" si="310"/>
        <v>0</v>
      </c>
      <c r="I630" s="188">
        <f t="shared" si="310"/>
        <v>0</v>
      </c>
      <c r="J630" s="188">
        <f t="shared" si="310"/>
        <v>0</v>
      </c>
      <c r="K630" s="188">
        <f t="shared" si="310"/>
        <v>0</v>
      </c>
      <c r="L630" s="188">
        <f t="shared" si="310"/>
        <v>0</v>
      </c>
      <c r="M630" s="188">
        <f t="shared" si="310"/>
        <v>0</v>
      </c>
      <c r="N630" s="188">
        <f t="shared" si="310"/>
        <v>0</v>
      </c>
      <c r="O630" s="136">
        <f t="shared" si="307"/>
        <v>0</v>
      </c>
      <c r="P630" s="82">
        <v>0</v>
      </c>
      <c r="Q630" s="104">
        <f t="shared" si="271"/>
        <v>0</v>
      </c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</row>
    <row r="631" spans="1:74" s="83" customFormat="1" ht="14.25" x14ac:dyDescent="0.2">
      <c r="A631" s="72" t="s">
        <v>872</v>
      </c>
      <c r="B631" s="73" t="s">
        <v>291</v>
      </c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36">
        <f t="shared" si="307"/>
        <v>0</v>
      </c>
      <c r="P631" s="82">
        <v>0</v>
      </c>
      <c r="Q631" s="104">
        <f t="shared" si="271"/>
        <v>0</v>
      </c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</row>
    <row r="632" spans="1:74" s="83" customFormat="1" ht="19.5" x14ac:dyDescent="0.2">
      <c r="A632" s="77" t="s">
        <v>873</v>
      </c>
      <c r="B632" s="75" t="s">
        <v>874</v>
      </c>
      <c r="C632" s="188">
        <f>SUM(C633:C636)</f>
        <v>0</v>
      </c>
      <c r="D632" s="188">
        <f t="shared" ref="D632:N632" si="311">SUM(D633:D636)</f>
        <v>0</v>
      </c>
      <c r="E632" s="188">
        <f t="shared" si="311"/>
        <v>0</v>
      </c>
      <c r="F632" s="188">
        <f t="shared" si="311"/>
        <v>0</v>
      </c>
      <c r="G632" s="188">
        <f t="shared" si="311"/>
        <v>0</v>
      </c>
      <c r="H632" s="188">
        <f t="shared" si="311"/>
        <v>0</v>
      </c>
      <c r="I632" s="188">
        <f t="shared" si="311"/>
        <v>0</v>
      </c>
      <c r="J632" s="188">
        <f t="shared" si="311"/>
        <v>0</v>
      </c>
      <c r="K632" s="188">
        <f t="shared" si="311"/>
        <v>0</v>
      </c>
      <c r="L632" s="188">
        <f t="shared" si="311"/>
        <v>0</v>
      </c>
      <c r="M632" s="188">
        <f t="shared" si="311"/>
        <v>52307556.020000003</v>
      </c>
      <c r="N632" s="188">
        <f t="shared" si="311"/>
        <v>0</v>
      </c>
      <c r="O632" s="136">
        <f t="shared" si="307"/>
        <v>52307556.020000003</v>
      </c>
      <c r="P632" s="82">
        <v>0</v>
      </c>
      <c r="Q632" s="104">
        <f t="shared" si="271"/>
        <v>-52307556.020000003</v>
      </c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</row>
    <row r="633" spans="1:74" s="83" customFormat="1" ht="28.5" x14ac:dyDescent="0.2">
      <c r="A633" s="72" t="s">
        <v>875</v>
      </c>
      <c r="B633" s="73" t="s">
        <v>292</v>
      </c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136">
        <f t="shared" si="307"/>
        <v>0</v>
      </c>
      <c r="P633" s="82">
        <v>0</v>
      </c>
      <c r="Q633" s="104">
        <f t="shared" si="271"/>
        <v>0</v>
      </c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</row>
    <row r="634" spans="1:74" s="83" customFormat="1" ht="28.5" x14ac:dyDescent="0.2">
      <c r="A634" s="72" t="s">
        <v>876</v>
      </c>
      <c r="B634" s="73" t="s">
        <v>293</v>
      </c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136">
        <f t="shared" si="307"/>
        <v>0</v>
      </c>
      <c r="P634" s="82">
        <v>0</v>
      </c>
      <c r="Q634" s="104">
        <f t="shared" si="271"/>
        <v>0</v>
      </c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</row>
    <row r="635" spans="1:74" s="83" customFormat="1" ht="28.5" x14ac:dyDescent="0.2">
      <c r="A635" s="72" t="s">
        <v>876</v>
      </c>
      <c r="B635" s="73" t="s">
        <v>293</v>
      </c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>
        <v>52307556.020000003</v>
      </c>
      <c r="N635" s="39"/>
      <c r="O635" s="136">
        <f t="shared" si="307"/>
        <v>52307556.020000003</v>
      </c>
      <c r="P635" s="82"/>
      <c r="Q635" s="104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</row>
    <row r="636" spans="1:74" s="83" customFormat="1" ht="28.5" x14ac:dyDescent="0.2">
      <c r="A636" s="72" t="s">
        <v>877</v>
      </c>
      <c r="B636" s="73" t="s">
        <v>294</v>
      </c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136">
        <f t="shared" si="307"/>
        <v>0</v>
      </c>
      <c r="P636" s="105">
        <v>0</v>
      </c>
      <c r="Q636" s="104">
        <f t="shared" si="271"/>
        <v>0</v>
      </c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</row>
    <row r="637" spans="1:74" s="83" customFormat="1" ht="14.25" x14ac:dyDescent="0.2">
      <c r="A637" s="72" t="s">
        <v>878</v>
      </c>
      <c r="B637" s="73" t="s">
        <v>295</v>
      </c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136">
        <f t="shared" si="307"/>
        <v>0</v>
      </c>
      <c r="P637" s="105">
        <v>0</v>
      </c>
      <c r="Q637" s="104">
        <f t="shared" si="271"/>
        <v>0</v>
      </c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</row>
    <row r="638" spans="1:74" s="83" customFormat="1" ht="14.25" x14ac:dyDescent="0.2">
      <c r="A638" s="72" t="s">
        <v>879</v>
      </c>
      <c r="B638" s="73" t="s">
        <v>296</v>
      </c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136">
        <f t="shared" si="307"/>
        <v>0</v>
      </c>
      <c r="P638" s="105">
        <v>0</v>
      </c>
      <c r="Q638" s="104">
        <f t="shared" ref="Q638:Q714" si="312">+P638-O638</f>
        <v>0</v>
      </c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</row>
    <row r="639" spans="1:74" s="83" customFormat="1" ht="14.25" x14ac:dyDescent="0.2">
      <c r="A639" s="72" t="s">
        <v>880</v>
      </c>
      <c r="B639" s="73" t="s">
        <v>297</v>
      </c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136">
        <f t="shared" si="307"/>
        <v>0</v>
      </c>
      <c r="P639" s="105">
        <v>0</v>
      </c>
      <c r="Q639" s="104">
        <f t="shared" si="312"/>
        <v>0</v>
      </c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</row>
    <row r="640" spans="1:74" s="83" customFormat="1" ht="14.25" x14ac:dyDescent="0.2">
      <c r="A640" s="72" t="s">
        <v>881</v>
      </c>
      <c r="B640" s="73" t="s">
        <v>298</v>
      </c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136">
        <f t="shared" si="307"/>
        <v>0</v>
      </c>
      <c r="P640" s="105">
        <v>0</v>
      </c>
      <c r="Q640" s="104">
        <f t="shared" si="312"/>
        <v>0</v>
      </c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</row>
    <row r="641" spans="1:74" s="83" customFormat="1" ht="28.5" x14ac:dyDescent="0.2">
      <c r="A641" s="72" t="s">
        <v>882</v>
      </c>
      <c r="B641" s="73" t="s">
        <v>299</v>
      </c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136">
        <f t="shared" si="307"/>
        <v>0</v>
      </c>
      <c r="Q641" s="104">
        <f t="shared" si="312"/>
        <v>0</v>
      </c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</row>
    <row r="642" spans="1:74" s="83" customFormat="1" ht="28.5" x14ac:dyDescent="0.2">
      <c r="A642" s="72" t="s">
        <v>882</v>
      </c>
      <c r="B642" s="73" t="s">
        <v>299</v>
      </c>
      <c r="C642" s="39"/>
      <c r="D642" s="39"/>
      <c r="E642" s="39"/>
      <c r="F642" s="39">
        <v>2281458860.8000002</v>
      </c>
      <c r="G642" s="39"/>
      <c r="H642" s="39"/>
      <c r="I642" s="39"/>
      <c r="J642" s="39"/>
      <c r="K642" s="39"/>
      <c r="L642" s="39"/>
      <c r="M642" s="39"/>
      <c r="N642" s="39"/>
      <c r="O642" s="136">
        <f t="shared" si="307"/>
        <v>2281458860.8000002</v>
      </c>
      <c r="P642" s="105">
        <v>2281458860.8000002</v>
      </c>
      <c r="Q642" s="104">
        <f t="shared" si="312"/>
        <v>0</v>
      </c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</row>
    <row r="643" spans="1:74" s="83" customFormat="1" ht="28.5" x14ac:dyDescent="0.2">
      <c r="A643" s="72" t="s">
        <v>883</v>
      </c>
      <c r="B643" s="73" t="s">
        <v>300</v>
      </c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136">
        <f t="shared" si="307"/>
        <v>0</v>
      </c>
      <c r="P643" s="105">
        <v>0</v>
      </c>
      <c r="Q643" s="104">
        <f t="shared" si="312"/>
        <v>0</v>
      </c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</row>
    <row r="644" spans="1:74" s="106" customFormat="1" ht="28.5" x14ac:dyDescent="0.2">
      <c r="A644" s="72" t="s">
        <v>884</v>
      </c>
      <c r="B644" s="73" t="s">
        <v>301</v>
      </c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136">
        <f t="shared" si="307"/>
        <v>0</v>
      </c>
      <c r="P644" s="82">
        <v>0</v>
      </c>
      <c r="Q644" s="104">
        <f t="shared" si="312"/>
        <v>0</v>
      </c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H644" s="105"/>
      <c r="AI644" s="105"/>
      <c r="AJ644" s="105"/>
      <c r="AK644" s="105"/>
      <c r="AL644" s="105"/>
      <c r="AM644" s="105"/>
      <c r="AN644" s="105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</row>
    <row r="645" spans="1:74" s="106" customFormat="1" ht="42.75" x14ac:dyDescent="0.2">
      <c r="A645" s="72" t="s">
        <v>885</v>
      </c>
      <c r="B645" s="73" t="s">
        <v>302</v>
      </c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136">
        <f t="shared" si="307"/>
        <v>0</v>
      </c>
      <c r="P645" s="82">
        <v>0</v>
      </c>
      <c r="Q645" s="104">
        <f t="shared" si="312"/>
        <v>0</v>
      </c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H645" s="105"/>
      <c r="AI645" s="105"/>
      <c r="AJ645" s="105"/>
      <c r="AK645" s="105"/>
      <c r="AL645" s="105"/>
      <c r="AM645" s="105"/>
      <c r="AN645" s="105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</row>
    <row r="646" spans="1:74" s="106" customFormat="1" ht="28.5" x14ac:dyDescent="0.2">
      <c r="A646" s="72" t="s">
        <v>886</v>
      </c>
      <c r="B646" s="73" t="s">
        <v>303</v>
      </c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136">
        <f t="shared" si="307"/>
        <v>0</v>
      </c>
      <c r="P646" s="82">
        <v>0</v>
      </c>
      <c r="Q646" s="104">
        <f t="shared" si="312"/>
        <v>0</v>
      </c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H646" s="105"/>
      <c r="AI646" s="105"/>
      <c r="AJ646" s="105"/>
      <c r="AK646" s="105"/>
      <c r="AL646" s="105"/>
      <c r="AM646" s="105"/>
      <c r="AN646" s="105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</row>
    <row r="647" spans="1:74" s="106" customFormat="1" ht="28.5" x14ac:dyDescent="0.2">
      <c r="A647" s="72" t="s">
        <v>887</v>
      </c>
      <c r="B647" s="73" t="s">
        <v>304</v>
      </c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136">
        <f t="shared" si="307"/>
        <v>0</v>
      </c>
      <c r="P647" s="82">
        <v>0</v>
      </c>
      <c r="Q647" s="104">
        <f t="shared" si="312"/>
        <v>0</v>
      </c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H647" s="105"/>
      <c r="AI647" s="105"/>
      <c r="AJ647" s="105"/>
      <c r="AK647" s="105"/>
      <c r="AL647" s="105"/>
      <c r="AM647" s="105"/>
      <c r="AN647" s="105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</row>
    <row r="648" spans="1:74" s="106" customFormat="1" ht="28.5" x14ac:dyDescent="0.2">
      <c r="A648" s="72" t="s">
        <v>888</v>
      </c>
      <c r="B648" s="73" t="s">
        <v>889</v>
      </c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136">
        <f t="shared" si="307"/>
        <v>0</v>
      </c>
      <c r="P648" s="105">
        <v>0</v>
      </c>
      <c r="Q648" s="104">
        <f t="shared" si="312"/>
        <v>0</v>
      </c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H648" s="105"/>
      <c r="AI648" s="105"/>
      <c r="AJ648" s="105"/>
      <c r="AK648" s="105"/>
      <c r="AL648" s="105"/>
      <c r="AM648" s="105"/>
      <c r="AN648" s="105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</row>
    <row r="649" spans="1:74" s="106" customFormat="1" ht="28.5" x14ac:dyDescent="0.2">
      <c r="A649" s="72" t="s">
        <v>890</v>
      </c>
      <c r="B649" s="73" t="s">
        <v>305</v>
      </c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136">
        <f t="shared" si="307"/>
        <v>0</v>
      </c>
      <c r="P649" s="105">
        <v>0</v>
      </c>
      <c r="Q649" s="104">
        <f t="shared" si="312"/>
        <v>0</v>
      </c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H649" s="105"/>
      <c r="AI649" s="105"/>
      <c r="AJ649" s="105"/>
      <c r="AK649" s="105"/>
      <c r="AL649" s="105"/>
      <c r="AM649" s="105"/>
      <c r="AN649" s="105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</row>
    <row r="650" spans="1:74" s="106" customFormat="1" ht="28.5" x14ac:dyDescent="0.2">
      <c r="A650" s="72" t="s">
        <v>891</v>
      </c>
      <c r="B650" s="73" t="s">
        <v>306</v>
      </c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136">
        <f t="shared" si="307"/>
        <v>0</v>
      </c>
      <c r="P650" s="82">
        <v>0</v>
      </c>
      <c r="Q650" s="104">
        <f t="shared" si="312"/>
        <v>0</v>
      </c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H650" s="105"/>
      <c r="AI650" s="105"/>
      <c r="AJ650" s="105"/>
      <c r="AK650" s="105"/>
      <c r="AL650" s="105"/>
      <c r="AM650" s="105"/>
      <c r="AN650" s="105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</row>
    <row r="651" spans="1:74" s="106" customFormat="1" ht="28.5" x14ac:dyDescent="0.2">
      <c r="A651" s="72" t="s">
        <v>892</v>
      </c>
      <c r="B651" s="73" t="s">
        <v>893</v>
      </c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136">
        <f t="shared" si="307"/>
        <v>0</v>
      </c>
      <c r="P651" s="105">
        <v>0</v>
      </c>
      <c r="Q651" s="104">
        <f t="shared" si="312"/>
        <v>0</v>
      </c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H651" s="105"/>
      <c r="AI651" s="105"/>
      <c r="AJ651" s="105"/>
      <c r="AK651" s="105"/>
      <c r="AL651" s="105"/>
      <c r="AM651" s="105"/>
      <c r="AN651" s="105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</row>
    <row r="652" spans="1:74" s="106" customFormat="1" ht="28.5" x14ac:dyDescent="0.2">
      <c r="A652" s="72" t="s">
        <v>894</v>
      </c>
      <c r="B652" s="73" t="s">
        <v>895</v>
      </c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136">
        <f t="shared" si="307"/>
        <v>0</v>
      </c>
      <c r="P652" s="105">
        <v>0</v>
      </c>
      <c r="Q652" s="104">
        <f t="shared" si="312"/>
        <v>0</v>
      </c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H652" s="105"/>
      <c r="AI652" s="105"/>
      <c r="AJ652" s="105"/>
      <c r="AK652" s="105"/>
      <c r="AL652" s="105"/>
      <c r="AM652" s="105"/>
      <c r="AN652" s="105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</row>
    <row r="653" spans="1:74" s="106" customFormat="1" ht="14.25" x14ac:dyDescent="0.2">
      <c r="A653" s="72" t="s">
        <v>896</v>
      </c>
      <c r="B653" s="73" t="s">
        <v>897</v>
      </c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36">
        <f t="shared" si="307"/>
        <v>0</v>
      </c>
      <c r="P653" s="105">
        <v>0</v>
      </c>
      <c r="Q653" s="104">
        <f t="shared" si="312"/>
        <v>0</v>
      </c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H653" s="105"/>
      <c r="AI653" s="105"/>
      <c r="AJ653" s="105"/>
      <c r="AK653" s="105"/>
      <c r="AL653" s="105"/>
      <c r="AM653" s="105"/>
      <c r="AN653" s="105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</row>
    <row r="654" spans="1:74" s="83" customFormat="1" ht="14.25" x14ac:dyDescent="0.2">
      <c r="A654" s="72" t="s">
        <v>898</v>
      </c>
      <c r="B654" s="73" t="s">
        <v>899</v>
      </c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136">
        <f t="shared" si="307"/>
        <v>0</v>
      </c>
      <c r="P654" s="82">
        <v>0</v>
      </c>
      <c r="Q654" s="104">
        <f t="shared" si="312"/>
        <v>0</v>
      </c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</row>
    <row r="655" spans="1:74" s="106" customFormat="1" ht="28.5" x14ac:dyDescent="0.2">
      <c r="A655" s="72" t="s">
        <v>900</v>
      </c>
      <c r="B655" s="73" t="s">
        <v>325</v>
      </c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>
        <v>123766124</v>
      </c>
      <c r="N655" s="124"/>
      <c r="O655" s="136">
        <f t="shared" si="307"/>
        <v>123766124</v>
      </c>
      <c r="P655" s="105">
        <v>0</v>
      </c>
      <c r="Q655" s="101">
        <f t="shared" si="312"/>
        <v>-123766124</v>
      </c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H655" s="105"/>
      <c r="AI655" s="105"/>
      <c r="AJ655" s="105"/>
      <c r="AK655" s="105"/>
      <c r="AL655" s="105"/>
      <c r="AM655" s="105"/>
      <c r="AN655" s="105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</row>
    <row r="656" spans="1:74" s="106" customFormat="1" ht="28.5" x14ac:dyDescent="0.2">
      <c r="A656" s="72" t="s">
        <v>1896</v>
      </c>
      <c r="B656" s="73" t="s">
        <v>1897</v>
      </c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>
        <v>912138000</v>
      </c>
      <c r="N656" s="124"/>
      <c r="O656" s="136">
        <f t="shared" si="307"/>
        <v>912138000</v>
      </c>
      <c r="P656" s="105"/>
      <c r="Q656" s="101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H656" s="105"/>
      <c r="AI656" s="105"/>
      <c r="AJ656" s="105"/>
      <c r="AK656" s="105"/>
      <c r="AL656" s="105"/>
      <c r="AM656" s="105"/>
      <c r="AN656" s="105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</row>
    <row r="657" spans="1:74" s="106" customFormat="1" ht="14.25" x14ac:dyDescent="0.2">
      <c r="A657" s="72" t="s">
        <v>1898</v>
      </c>
      <c r="B657" s="73" t="s">
        <v>1899</v>
      </c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36">
        <f t="shared" si="307"/>
        <v>0</v>
      </c>
      <c r="P657" s="105"/>
      <c r="Q657" s="101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H657" s="105"/>
      <c r="AI657" s="105"/>
      <c r="AJ657" s="105"/>
      <c r="AK657" s="105"/>
      <c r="AL657" s="105"/>
      <c r="AM657" s="105"/>
      <c r="AN657" s="105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</row>
    <row r="658" spans="1:74" s="106" customFormat="1" ht="28.5" x14ac:dyDescent="0.2">
      <c r="A658" s="72" t="s">
        <v>901</v>
      </c>
      <c r="B658" s="73" t="s">
        <v>902</v>
      </c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36">
        <f t="shared" si="307"/>
        <v>0</v>
      </c>
      <c r="P658" s="105">
        <v>0</v>
      </c>
      <c r="Q658" s="104">
        <f t="shared" si="312"/>
        <v>0</v>
      </c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H658" s="105"/>
      <c r="AI658" s="105"/>
      <c r="AJ658" s="105"/>
      <c r="AK658" s="105"/>
      <c r="AL658" s="105"/>
      <c r="AM658" s="105"/>
      <c r="AN658" s="105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</row>
    <row r="659" spans="1:74" s="106" customFormat="1" ht="28.5" x14ac:dyDescent="0.2">
      <c r="A659" s="72" t="s">
        <v>903</v>
      </c>
      <c r="B659" s="73" t="s">
        <v>904</v>
      </c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36">
        <f t="shared" si="307"/>
        <v>0</v>
      </c>
      <c r="P659" s="82">
        <v>0</v>
      </c>
      <c r="Q659" s="104">
        <f t="shared" si="312"/>
        <v>0</v>
      </c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H659" s="105"/>
      <c r="AI659" s="105"/>
      <c r="AJ659" s="105"/>
      <c r="AK659" s="105"/>
      <c r="AL659" s="105"/>
      <c r="AM659" s="105"/>
      <c r="AN659" s="105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</row>
    <row r="660" spans="1:74" s="106" customFormat="1" ht="28.5" x14ac:dyDescent="0.2">
      <c r="A660" s="72" t="s">
        <v>905</v>
      </c>
      <c r="B660" s="73" t="s">
        <v>307</v>
      </c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36">
        <f t="shared" si="307"/>
        <v>0</v>
      </c>
      <c r="P660" s="82">
        <v>0</v>
      </c>
      <c r="Q660" s="104">
        <f t="shared" si="312"/>
        <v>0</v>
      </c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H660" s="105"/>
      <c r="AI660" s="105"/>
      <c r="AJ660" s="105"/>
      <c r="AK660" s="105"/>
      <c r="AL660" s="105"/>
      <c r="AM660" s="105"/>
      <c r="AN660" s="105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</row>
    <row r="661" spans="1:74" s="106" customFormat="1" ht="28.5" x14ac:dyDescent="0.2">
      <c r="A661" s="72" t="s">
        <v>905</v>
      </c>
      <c r="B661" s="73" t="s">
        <v>307</v>
      </c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>
        <v>98087472</v>
      </c>
      <c r="N661" s="124"/>
      <c r="O661" s="136">
        <f t="shared" si="307"/>
        <v>98087472</v>
      </c>
      <c r="P661" s="82"/>
      <c r="Q661" s="104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H661" s="105"/>
      <c r="AI661" s="105"/>
      <c r="AJ661" s="105"/>
      <c r="AK661" s="105"/>
      <c r="AL661" s="105"/>
      <c r="AM661" s="105"/>
      <c r="AN661" s="105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</row>
    <row r="662" spans="1:74" s="106" customFormat="1" ht="28.5" x14ac:dyDescent="0.2">
      <c r="A662" s="72" t="s">
        <v>906</v>
      </c>
      <c r="B662" s="73" t="s">
        <v>907</v>
      </c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36">
        <f t="shared" si="307"/>
        <v>0</v>
      </c>
      <c r="P662" s="105">
        <v>0</v>
      </c>
      <c r="Q662" s="104">
        <f t="shared" si="312"/>
        <v>0</v>
      </c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</row>
    <row r="663" spans="1:74" s="83" customFormat="1" ht="28.5" x14ac:dyDescent="0.2">
      <c r="A663" s="72" t="s">
        <v>908</v>
      </c>
      <c r="B663" s="73" t="s">
        <v>909</v>
      </c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36">
        <f t="shared" si="307"/>
        <v>0</v>
      </c>
      <c r="P663" s="105">
        <v>0</v>
      </c>
      <c r="Q663" s="104">
        <f t="shared" si="312"/>
        <v>0</v>
      </c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</row>
    <row r="664" spans="1:74" s="83" customFormat="1" ht="28.5" x14ac:dyDescent="0.2">
      <c r="A664" s="72" t="s">
        <v>910</v>
      </c>
      <c r="B664" s="73" t="s">
        <v>911</v>
      </c>
      <c r="C664" s="124"/>
      <c r="D664" s="124"/>
      <c r="E664" s="124"/>
      <c r="F664" s="124">
        <v>409565306.75</v>
      </c>
      <c r="G664" s="124"/>
      <c r="H664" s="124"/>
      <c r="I664" s="124"/>
      <c r="J664" s="124"/>
      <c r="K664" s="124"/>
      <c r="L664" s="124"/>
      <c r="M664" s="124"/>
      <c r="N664" s="124"/>
      <c r="O664" s="136">
        <f t="shared" si="307"/>
        <v>409565306.75</v>
      </c>
      <c r="P664" s="105">
        <v>409565306.75</v>
      </c>
      <c r="Q664" s="104">
        <f t="shared" si="312"/>
        <v>0</v>
      </c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</row>
    <row r="665" spans="1:74" s="83" customFormat="1" ht="28.5" x14ac:dyDescent="0.2">
      <c r="A665" s="72" t="s">
        <v>912</v>
      </c>
      <c r="B665" s="73" t="s">
        <v>913</v>
      </c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36">
        <f t="shared" si="307"/>
        <v>0</v>
      </c>
      <c r="P665" s="107">
        <v>0</v>
      </c>
      <c r="Q665" s="104">
        <f t="shared" si="312"/>
        <v>0</v>
      </c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</row>
    <row r="666" spans="1:74" s="83" customFormat="1" ht="28.5" x14ac:dyDescent="0.2">
      <c r="A666" s="72" t="s">
        <v>914</v>
      </c>
      <c r="B666" s="73" t="s">
        <v>915</v>
      </c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36">
        <f t="shared" si="307"/>
        <v>0</v>
      </c>
      <c r="P666" s="107">
        <v>0</v>
      </c>
      <c r="Q666" s="104">
        <f t="shared" si="312"/>
        <v>0</v>
      </c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</row>
    <row r="667" spans="1:74" s="83" customFormat="1" ht="42.75" x14ac:dyDescent="0.2">
      <c r="A667" s="72" t="s">
        <v>916</v>
      </c>
      <c r="B667" s="73" t="s">
        <v>308</v>
      </c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136">
        <f t="shared" si="307"/>
        <v>0</v>
      </c>
      <c r="P667" s="107">
        <v>0</v>
      </c>
      <c r="Q667" s="104">
        <f t="shared" si="312"/>
        <v>0</v>
      </c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</row>
    <row r="668" spans="1:74" s="106" customFormat="1" ht="42.75" x14ac:dyDescent="0.2">
      <c r="A668" s="72" t="s">
        <v>917</v>
      </c>
      <c r="B668" s="73" t="s">
        <v>309</v>
      </c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136">
        <f t="shared" si="307"/>
        <v>0</v>
      </c>
      <c r="P668" s="107">
        <v>0</v>
      </c>
      <c r="Q668" s="104">
        <f t="shared" si="312"/>
        <v>0</v>
      </c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H668" s="105"/>
      <c r="AI668" s="105"/>
      <c r="AJ668" s="105"/>
      <c r="AK668" s="105"/>
      <c r="AL668" s="105"/>
      <c r="AM668" s="105"/>
      <c r="AN668" s="105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</row>
    <row r="669" spans="1:74" s="106" customFormat="1" ht="42.75" x14ac:dyDescent="0.2">
      <c r="A669" s="72" t="s">
        <v>918</v>
      </c>
      <c r="B669" s="73" t="s">
        <v>310</v>
      </c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136">
        <f t="shared" si="307"/>
        <v>0</v>
      </c>
      <c r="P669" s="105">
        <v>0</v>
      </c>
      <c r="Q669" s="104">
        <f t="shared" si="312"/>
        <v>0</v>
      </c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H669" s="105"/>
      <c r="AI669" s="105"/>
      <c r="AJ669" s="105"/>
      <c r="AK669" s="105"/>
      <c r="AL669" s="105"/>
      <c r="AM669" s="105"/>
      <c r="AN669" s="105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</row>
    <row r="670" spans="1:74" s="106" customFormat="1" ht="28.5" x14ac:dyDescent="0.2">
      <c r="A670" s="72" t="s">
        <v>919</v>
      </c>
      <c r="B670" s="73" t="s">
        <v>311</v>
      </c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136">
        <f t="shared" si="307"/>
        <v>0</v>
      </c>
      <c r="P670" s="105">
        <v>0</v>
      </c>
      <c r="Q670" s="104">
        <f t="shared" si="312"/>
        <v>0</v>
      </c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H670" s="105"/>
      <c r="AI670" s="105"/>
      <c r="AJ670" s="105"/>
      <c r="AK670" s="105"/>
      <c r="AL670" s="105"/>
      <c r="AM670" s="105"/>
      <c r="AN670" s="105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</row>
    <row r="671" spans="1:74" s="106" customFormat="1" ht="42.75" x14ac:dyDescent="0.2">
      <c r="A671" s="72" t="s">
        <v>920</v>
      </c>
      <c r="B671" s="73" t="s">
        <v>312</v>
      </c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136">
        <f t="shared" si="307"/>
        <v>0</v>
      </c>
      <c r="P671" s="105">
        <v>0</v>
      </c>
      <c r="Q671" s="104">
        <f t="shared" si="312"/>
        <v>0</v>
      </c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H671" s="105"/>
      <c r="AI671" s="105"/>
      <c r="AJ671" s="105"/>
      <c r="AK671" s="105"/>
      <c r="AL671" s="105"/>
      <c r="AM671" s="105"/>
      <c r="AN671" s="105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</row>
    <row r="672" spans="1:74" s="106" customFormat="1" ht="42.75" x14ac:dyDescent="0.2">
      <c r="A672" s="72" t="s">
        <v>921</v>
      </c>
      <c r="B672" s="73" t="s">
        <v>313</v>
      </c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136">
        <f t="shared" si="307"/>
        <v>0</v>
      </c>
      <c r="P672" s="105">
        <v>0</v>
      </c>
      <c r="Q672" s="104">
        <f t="shared" si="312"/>
        <v>0</v>
      </c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H672" s="105"/>
      <c r="AI672" s="105"/>
      <c r="AJ672" s="105"/>
      <c r="AK672" s="105"/>
      <c r="AL672" s="105"/>
      <c r="AM672" s="105"/>
      <c r="AN672" s="105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</row>
    <row r="673" spans="1:74" s="106" customFormat="1" ht="57" x14ac:dyDescent="0.2">
      <c r="A673" s="72" t="s">
        <v>922</v>
      </c>
      <c r="B673" s="73" t="s">
        <v>314</v>
      </c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136">
        <f t="shared" si="307"/>
        <v>0</v>
      </c>
      <c r="P673" s="107">
        <v>0</v>
      </c>
      <c r="Q673" s="104">
        <f t="shared" si="312"/>
        <v>0</v>
      </c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</row>
    <row r="674" spans="1:74" s="106" customFormat="1" ht="57" x14ac:dyDescent="0.2">
      <c r="A674" s="72" t="s">
        <v>923</v>
      </c>
      <c r="B674" s="73" t="s">
        <v>315</v>
      </c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36">
        <f t="shared" si="307"/>
        <v>0</v>
      </c>
      <c r="P674" s="105">
        <v>0</v>
      </c>
      <c r="Q674" s="104">
        <f t="shared" si="312"/>
        <v>0</v>
      </c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H674" s="105"/>
      <c r="AI674" s="105"/>
      <c r="AJ674" s="105"/>
      <c r="AK674" s="105"/>
      <c r="AL674" s="105"/>
      <c r="AM674" s="105"/>
      <c r="AN674" s="105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</row>
    <row r="675" spans="1:74" s="83" customFormat="1" ht="71.25" x14ac:dyDescent="0.2">
      <c r="A675" s="72" t="s">
        <v>924</v>
      </c>
      <c r="B675" s="73" t="s">
        <v>316</v>
      </c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36">
        <f t="shared" si="307"/>
        <v>0</v>
      </c>
      <c r="P675" s="105">
        <v>0</v>
      </c>
      <c r="Q675" s="104">
        <f t="shared" si="312"/>
        <v>0</v>
      </c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</row>
    <row r="676" spans="1:74" s="83" customFormat="1" ht="57" x14ac:dyDescent="0.2">
      <c r="A676" s="72" t="s">
        <v>925</v>
      </c>
      <c r="B676" s="73" t="s">
        <v>317</v>
      </c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36">
        <f t="shared" si="307"/>
        <v>0</v>
      </c>
      <c r="P676" s="105">
        <v>0</v>
      </c>
      <c r="Q676" s="104">
        <f t="shared" si="312"/>
        <v>0</v>
      </c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</row>
    <row r="677" spans="1:74" s="83" customFormat="1" ht="14.25" x14ac:dyDescent="0.2">
      <c r="A677" s="72" t="s">
        <v>926</v>
      </c>
      <c r="B677" s="73" t="s">
        <v>318</v>
      </c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36">
        <f t="shared" si="307"/>
        <v>0</v>
      </c>
      <c r="P677" s="105">
        <v>0</v>
      </c>
      <c r="Q677" s="104">
        <f t="shared" si="312"/>
        <v>0</v>
      </c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</row>
    <row r="678" spans="1:74" s="83" customFormat="1" ht="14.25" x14ac:dyDescent="0.2">
      <c r="A678" s="72" t="s">
        <v>926</v>
      </c>
      <c r="B678" s="73" t="s">
        <v>318</v>
      </c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>
        <v>964331110</v>
      </c>
      <c r="N678" s="124"/>
      <c r="O678" s="136">
        <f t="shared" si="307"/>
        <v>964331110</v>
      </c>
      <c r="P678" s="105"/>
      <c r="Q678" s="104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</row>
    <row r="679" spans="1:74" s="83" customFormat="1" ht="28.5" x14ac:dyDescent="0.2">
      <c r="A679" s="72" t="s">
        <v>927</v>
      </c>
      <c r="B679" s="73" t="s">
        <v>319</v>
      </c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136">
        <f t="shared" si="307"/>
        <v>0</v>
      </c>
      <c r="P679" s="105">
        <v>0</v>
      </c>
      <c r="Q679" s="104">
        <f t="shared" si="312"/>
        <v>0</v>
      </c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</row>
    <row r="680" spans="1:74" s="106" customFormat="1" ht="28.5" x14ac:dyDescent="0.2">
      <c r="A680" s="72" t="s">
        <v>928</v>
      </c>
      <c r="B680" s="73" t="s">
        <v>320</v>
      </c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136">
        <f t="shared" si="307"/>
        <v>0</v>
      </c>
      <c r="P680" s="107">
        <v>0</v>
      </c>
      <c r="Q680" s="104">
        <f t="shared" si="312"/>
        <v>0</v>
      </c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</row>
    <row r="681" spans="1:74" s="106" customFormat="1" ht="28.5" x14ac:dyDescent="0.2">
      <c r="A681" s="72" t="s">
        <v>929</v>
      </c>
      <c r="B681" s="73" t="s">
        <v>321</v>
      </c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36">
        <f t="shared" si="307"/>
        <v>0</v>
      </c>
      <c r="P681" s="107">
        <v>0</v>
      </c>
      <c r="Q681" s="104">
        <f t="shared" si="312"/>
        <v>0</v>
      </c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</row>
    <row r="682" spans="1:74" s="83" customFormat="1" ht="28.5" x14ac:dyDescent="0.2">
      <c r="A682" s="72" t="s">
        <v>930</v>
      </c>
      <c r="B682" s="73" t="s">
        <v>322</v>
      </c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36">
        <f t="shared" si="307"/>
        <v>0</v>
      </c>
      <c r="P682" s="107">
        <v>0</v>
      </c>
      <c r="Q682" s="104">
        <f t="shared" si="312"/>
        <v>0</v>
      </c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</row>
    <row r="683" spans="1:74" s="106" customFormat="1" ht="28.5" x14ac:dyDescent="0.2">
      <c r="A683" s="72" t="s">
        <v>931</v>
      </c>
      <c r="B683" s="73" t="s">
        <v>323</v>
      </c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36">
        <f t="shared" si="307"/>
        <v>0</v>
      </c>
      <c r="P683" s="107">
        <v>0</v>
      </c>
      <c r="Q683" s="104">
        <f t="shared" si="312"/>
        <v>0</v>
      </c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</row>
    <row r="684" spans="1:74" s="106" customFormat="1" ht="42.75" x14ac:dyDescent="0.2">
      <c r="A684" s="72" t="s">
        <v>932</v>
      </c>
      <c r="B684" s="73" t="s">
        <v>324</v>
      </c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36">
        <f t="shared" si="307"/>
        <v>0</v>
      </c>
      <c r="P684" s="107">
        <v>0</v>
      </c>
      <c r="Q684" s="104">
        <f t="shared" si="312"/>
        <v>0</v>
      </c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</row>
    <row r="685" spans="1:74" s="106" customFormat="1" ht="28.5" x14ac:dyDescent="0.2">
      <c r="A685" s="72" t="s">
        <v>933</v>
      </c>
      <c r="B685" s="73" t="s">
        <v>934</v>
      </c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36">
        <f t="shared" si="307"/>
        <v>0</v>
      </c>
      <c r="P685" s="107">
        <v>0</v>
      </c>
      <c r="Q685" s="104">
        <f t="shared" si="312"/>
        <v>0</v>
      </c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</row>
    <row r="686" spans="1:74" s="106" customFormat="1" ht="28.5" x14ac:dyDescent="0.2">
      <c r="A686" s="72" t="s">
        <v>933</v>
      </c>
      <c r="B686" s="73" t="s">
        <v>934</v>
      </c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>
        <v>1006004300.77</v>
      </c>
      <c r="N686" s="124"/>
      <c r="O686" s="136">
        <f t="shared" si="307"/>
        <v>1006004300.77</v>
      </c>
      <c r="P686" s="107"/>
      <c r="Q686" s="104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</row>
    <row r="687" spans="1:74" s="83" customFormat="1" ht="42.75" x14ac:dyDescent="0.2">
      <c r="A687" s="72" t="s">
        <v>935</v>
      </c>
      <c r="B687" s="73" t="s">
        <v>936</v>
      </c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136">
        <f t="shared" si="307"/>
        <v>0</v>
      </c>
      <c r="P687" s="107">
        <v>0</v>
      </c>
      <c r="Q687" s="104">
        <f t="shared" si="312"/>
        <v>0</v>
      </c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</row>
    <row r="688" spans="1:74" s="106" customFormat="1" ht="42.75" x14ac:dyDescent="0.2">
      <c r="A688" s="72" t="s">
        <v>937</v>
      </c>
      <c r="B688" s="73" t="s">
        <v>938</v>
      </c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136">
        <f t="shared" si="307"/>
        <v>0</v>
      </c>
      <c r="P688" s="105">
        <v>0</v>
      </c>
      <c r="Q688" s="104">
        <f t="shared" si="312"/>
        <v>0</v>
      </c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H688" s="105"/>
      <c r="AI688" s="105"/>
      <c r="AJ688" s="105"/>
      <c r="AK688" s="105"/>
      <c r="AL688" s="105"/>
      <c r="AM688" s="105"/>
      <c r="AN688" s="105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</row>
    <row r="689" spans="1:74" s="106" customFormat="1" ht="42.75" x14ac:dyDescent="0.2">
      <c r="A689" s="72" t="s">
        <v>939</v>
      </c>
      <c r="B689" s="73" t="s">
        <v>940</v>
      </c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36">
        <f t="shared" si="307"/>
        <v>0</v>
      </c>
      <c r="P689" s="105">
        <v>0</v>
      </c>
      <c r="Q689" s="104">
        <f t="shared" si="312"/>
        <v>0</v>
      </c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</row>
    <row r="690" spans="1:74" s="83" customFormat="1" ht="42.75" x14ac:dyDescent="0.2">
      <c r="A690" s="72" t="s">
        <v>941</v>
      </c>
      <c r="B690" s="73" t="s">
        <v>942</v>
      </c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36">
        <f t="shared" ref="O690:O757" si="313">SUM(C690:N690)</f>
        <v>0</v>
      </c>
      <c r="P690" s="105">
        <v>0</v>
      </c>
      <c r="Q690" s="104">
        <f t="shared" si="312"/>
        <v>0</v>
      </c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</row>
    <row r="691" spans="1:74" s="83" customFormat="1" ht="28.5" x14ac:dyDescent="0.2">
      <c r="A691" s="72" t="s">
        <v>943</v>
      </c>
      <c r="B691" s="73" t="s">
        <v>944</v>
      </c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136">
        <f t="shared" si="313"/>
        <v>0</v>
      </c>
      <c r="P691" s="107">
        <v>0</v>
      </c>
      <c r="Q691" s="104">
        <f t="shared" si="312"/>
        <v>0</v>
      </c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</row>
    <row r="692" spans="1:74" s="106" customFormat="1" ht="42.75" x14ac:dyDescent="0.2">
      <c r="A692" s="72" t="s">
        <v>945</v>
      </c>
      <c r="B692" s="73" t="s">
        <v>946</v>
      </c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136">
        <f t="shared" si="313"/>
        <v>0</v>
      </c>
      <c r="P692" s="105">
        <v>0</v>
      </c>
      <c r="Q692" s="104">
        <f t="shared" si="312"/>
        <v>0</v>
      </c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H692" s="105"/>
      <c r="AI692" s="105"/>
      <c r="AJ692" s="105"/>
      <c r="AK692" s="105"/>
      <c r="AL692" s="105"/>
      <c r="AM692" s="105"/>
      <c r="AN692" s="105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</row>
    <row r="693" spans="1:74" s="106" customFormat="1" ht="42.75" x14ac:dyDescent="0.2">
      <c r="A693" s="72" t="s">
        <v>947</v>
      </c>
      <c r="B693" s="73" t="s">
        <v>379</v>
      </c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136">
        <f t="shared" si="313"/>
        <v>0</v>
      </c>
      <c r="P693" s="107">
        <v>0</v>
      </c>
      <c r="Q693" s="104">
        <f t="shared" si="312"/>
        <v>0</v>
      </c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H693" s="105"/>
      <c r="AI693" s="105"/>
      <c r="AJ693" s="105"/>
      <c r="AK693" s="105"/>
      <c r="AL693" s="105"/>
      <c r="AM693" s="105"/>
      <c r="AN693" s="105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</row>
    <row r="694" spans="1:74" s="106" customFormat="1" ht="28.5" x14ac:dyDescent="0.2">
      <c r="A694" s="72" t="s">
        <v>948</v>
      </c>
      <c r="B694" s="73" t="s">
        <v>949</v>
      </c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36">
        <f t="shared" si="313"/>
        <v>0</v>
      </c>
      <c r="P694" s="105">
        <v>0</v>
      </c>
      <c r="Q694" s="104">
        <f t="shared" si="312"/>
        <v>0</v>
      </c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H694" s="105"/>
      <c r="AI694" s="105"/>
      <c r="AJ694" s="105"/>
      <c r="AK694" s="105"/>
      <c r="AL694" s="105"/>
      <c r="AM694" s="105"/>
      <c r="AN694" s="105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</row>
    <row r="695" spans="1:74" s="106" customFormat="1" ht="42.75" x14ac:dyDescent="0.2">
      <c r="A695" s="72" t="s">
        <v>950</v>
      </c>
      <c r="B695" s="73" t="s">
        <v>951</v>
      </c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36">
        <f t="shared" si="313"/>
        <v>0</v>
      </c>
      <c r="P695" s="107">
        <v>0</v>
      </c>
      <c r="Q695" s="104">
        <f t="shared" si="312"/>
        <v>0</v>
      </c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H695" s="105"/>
      <c r="AI695" s="105"/>
      <c r="AJ695" s="105"/>
      <c r="AK695" s="105"/>
      <c r="AL695" s="105"/>
      <c r="AM695" s="105"/>
      <c r="AN695" s="105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</row>
    <row r="696" spans="1:74" s="108" customFormat="1" ht="15.75" x14ac:dyDescent="0.2">
      <c r="A696" s="235" t="s">
        <v>1586</v>
      </c>
      <c r="B696" s="247" t="s">
        <v>1587</v>
      </c>
      <c r="C696" s="74">
        <f>+C697</f>
        <v>0</v>
      </c>
      <c r="D696" s="74">
        <f t="shared" ref="D696:N696" si="314">+D697</f>
        <v>0</v>
      </c>
      <c r="E696" s="74">
        <f t="shared" si="314"/>
        <v>0</v>
      </c>
      <c r="F696" s="74">
        <f t="shared" si="314"/>
        <v>0</v>
      </c>
      <c r="G696" s="74">
        <f t="shared" si="314"/>
        <v>4900126032</v>
      </c>
      <c r="H696" s="74">
        <f t="shared" si="314"/>
        <v>1399970000</v>
      </c>
      <c r="I696" s="74">
        <f t="shared" si="314"/>
        <v>353771970.91000003</v>
      </c>
      <c r="J696" s="74">
        <f t="shared" si="314"/>
        <v>10251937900</v>
      </c>
      <c r="K696" s="74">
        <f t="shared" si="314"/>
        <v>0</v>
      </c>
      <c r="L696" s="74">
        <f t="shared" si="314"/>
        <v>0</v>
      </c>
      <c r="M696" s="74">
        <f t="shared" si="314"/>
        <v>0</v>
      </c>
      <c r="N696" s="74">
        <f t="shared" si="314"/>
        <v>19268744626</v>
      </c>
      <c r="O696" s="136">
        <f t="shared" si="313"/>
        <v>36174550528.910004</v>
      </c>
      <c r="P696" s="105">
        <v>4900126032</v>
      </c>
      <c r="Q696" s="104">
        <f t="shared" si="312"/>
        <v>-31274424496.910004</v>
      </c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</row>
    <row r="697" spans="1:74" s="108" customFormat="1" ht="15.75" x14ac:dyDescent="0.2">
      <c r="A697" s="77" t="s">
        <v>1588</v>
      </c>
      <c r="B697" s="75" t="s">
        <v>1589</v>
      </c>
      <c r="C697" s="74">
        <f>+C707+C698+C704</f>
        <v>0</v>
      </c>
      <c r="D697" s="74">
        <f t="shared" ref="D697:N697" si="315">+D707+D698+D704</f>
        <v>0</v>
      </c>
      <c r="E697" s="74">
        <f t="shared" si="315"/>
        <v>0</v>
      </c>
      <c r="F697" s="74">
        <f t="shared" si="315"/>
        <v>0</v>
      </c>
      <c r="G697" s="74">
        <f t="shared" si="315"/>
        <v>4900126032</v>
      </c>
      <c r="H697" s="74">
        <f t="shared" si="315"/>
        <v>1399970000</v>
      </c>
      <c r="I697" s="74">
        <f t="shared" si="315"/>
        <v>353771970.91000003</v>
      </c>
      <c r="J697" s="74">
        <f t="shared" si="315"/>
        <v>10251937900</v>
      </c>
      <c r="K697" s="74">
        <f t="shared" si="315"/>
        <v>0</v>
      </c>
      <c r="L697" s="74">
        <f t="shared" si="315"/>
        <v>0</v>
      </c>
      <c r="M697" s="74">
        <f t="shared" si="315"/>
        <v>0</v>
      </c>
      <c r="N697" s="74">
        <f t="shared" si="315"/>
        <v>19268744626</v>
      </c>
      <c r="O697" s="136">
        <f t="shared" si="313"/>
        <v>36174550528.910004</v>
      </c>
      <c r="P697" s="107">
        <v>4900126032</v>
      </c>
      <c r="Q697" s="104">
        <f t="shared" si="312"/>
        <v>-31274424496.910004</v>
      </c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</row>
    <row r="698" spans="1:74" s="108" customFormat="1" ht="15.75" x14ac:dyDescent="0.2">
      <c r="A698" s="77" t="s">
        <v>1842</v>
      </c>
      <c r="B698" s="267" t="s">
        <v>1843</v>
      </c>
      <c r="C698" s="74">
        <f>SUM(C699:C703)</f>
        <v>0</v>
      </c>
      <c r="D698" s="74">
        <f t="shared" ref="D698:N698" si="316">SUM(D699:D703)</f>
        <v>0</v>
      </c>
      <c r="E698" s="74">
        <f t="shared" si="316"/>
        <v>0</v>
      </c>
      <c r="F698" s="74">
        <f t="shared" si="316"/>
        <v>0</v>
      </c>
      <c r="G698" s="74">
        <f t="shared" si="316"/>
        <v>0</v>
      </c>
      <c r="H698" s="74">
        <f t="shared" si="316"/>
        <v>1399970000</v>
      </c>
      <c r="I698" s="74">
        <f t="shared" si="316"/>
        <v>353771970.91000003</v>
      </c>
      <c r="J698" s="74">
        <f t="shared" si="316"/>
        <v>10251937900</v>
      </c>
      <c r="K698" s="74">
        <f t="shared" si="316"/>
        <v>0</v>
      </c>
      <c r="L698" s="74">
        <f t="shared" si="316"/>
        <v>0</v>
      </c>
      <c r="M698" s="74">
        <f t="shared" si="316"/>
        <v>0</v>
      </c>
      <c r="N698" s="74">
        <f t="shared" si="316"/>
        <v>10000000000</v>
      </c>
      <c r="O698" s="136">
        <f t="shared" si="313"/>
        <v>22005679870.91</v>
      </c>
      <c r="P698" s="107"/>
      <c r="Q698" s="104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</row>
    <row r="699" spans="1:74" s="270" customFormat="1" ht="89.25" x14ac:dyDescent="0.2">
      <c r="A699" s="78" t="s">
        <v>1844</v>
      </c>
      <c r="B699" s="268" t="s">
        <v>1845</v>
      </c>
      <c r="C699" s="122"/>
      <c r="D699" s="122"/>
      <c r="E699" s="122"/>
      <c r="F699" s="122"/>
      <c r="G699" s="122"/>
      <c r="H699" s="122">
        <v>1399970000</v>
      </c>
      <c r="I699" s="122"/>
      <c r="J699" s="122"/>
      <c r="K699" s="122"/>
      <c r="L699" s="122"/>
      <c r="M699" s="122"/>
      <c r="N699" s="122"/>
      <c r="O699" s="136">
        <f t="shared" si="313"/>
        <v>1399970000</v>
      </c>
      <c r="P699" s="269"/>
      <c r="Q699" s="101"/>
      <c r="R699" s="269"/>
      <c r="S699" s="269"/>
      <c r="T699" s="269"/>
      <c r="U699" s="269"/>
      <c r="V699" s="269"/>
      <c r="W699" s="269"/>
      <c r="X699" s="269"/>
      <c r="Y699" s="269"/>
      <c r="Z699" s="269"/>
      <c r="AA699" s="269"/>
      <c r="AB699" s="269"/>
      <c r="AC699" s="269"/>
      <c r="AD699" s="269"/>
      <c r="AE699" s="269"/>
      <c r="AF699" s="269"/>
      <c r="AG699" s="269"/>
      <c r="AH699" s="269"/>
      <c r="AI699" s="269"/>
      <c r="AJ699" s="269"/>
      <c r="AK699" s="269"/>
      <c r="AL699" s="269"/>
      <c r="AM699" s="269"/>
      <c r="AN699" s="269"/>
      <c r="AO699" s="269"/>
      <c r="AP699" s="269"/>
      <c r="AQ699" s="269"/>
      <c r="AR699" s="269"/>
      <c r="AS699" s="269"/>
      <c r="AT699" s="269"/>
      <c r="AU699" s="269"/>
      <c r="AV699" s="269"/>
      <c r="AW699" s="269"/>
      <c r="AX699" s="269"/>
      <c r="AY699" s="269"/>
      <c r="AZ699" s="269"/>
      <c r="BA699" s="269"/>
      <c r="BB699" s="269"/>
      <c r="BC699" s="269"/>
      <c r="BD699" s="269"/>
      <c r="BE699" s="269"/>
      <c r="BF699" s="269"/>
      <c r="BG699" s="269"/>
      <c r="BH699" s="269"/>
      <c r="BI699" s="269"/>
      <c r="BJ699" s="269"/>
      <c r="BK699" s="269"/>
      <c r="BL699" s="269"/>
      <c r="BM699" s="269"/>
      <c r="BN699" s="269"/>
      <c r="BO699" s="269"/>
      <c r="BP699" s="269"/>
      <c r="BQ699" s="269"/>
      <c r="BR699" s="269"/>
      <c r="BS699" s="269"/>
      <c r="BT699" s="269"/>
      <c r="BU699" s="269"/>
      <c r="BV699" s="269"/>
    </row>
    <row r="700" spans="1:74" s="270" customFormat="1" ht="60" x14ac:dyDescent="0.2">
      <c r="A700" s="78" t="s">
        <v>1846</v>
      </c>
      <c r="B700" s="271" t="s">
        <v>1847</v>
      </c>
      <c r="C700" s="122"/>
      <c r="D700" s="122"/>
      <c r="E700" s="122"/>
      <c r="F700" s="122"/>
      <c r="G700" s="122"/>
      <c r="H700" s="122">
        <v>0</v>
      </c>
      <c r="I700" s="122">
        <v>353771970.91000003</v>
      </c>
      <c r="J700" s="122"/>
      <c r="K700" s="122"/>
      <c r="L700" s="122"/>
      <c r="M700" s="122"/>
      <c r="N700" s="122"/>
      <c r="O700" s="136">
        <f t="shared" si="313"/>
        <v>353771970.91000003</v>
      </c>
      <c r="P700" s="269"/>
      <c r="Q700" s="101"/>
      <c r="R700" s="269"/>
      <c r="S700" s="269"/>
      <c r="T700" s="269"/>
      <c r="U700" s="269"/>
      <c r="V700" s="269"/>
      <c r="W700" s="269"/>
      <c r="X700" s="269"/>
      <c r="Y700" s="269"/>
      <c r="Z700" s="269"/>
      <c r="AA700" s="269"/>
      <c r="AB700" s="269"/>
      <c r="AC700" s="269"/>
      <c r="AD700" s="269"/>
      <c r="AE700" s="269"/>
      <c r="AF700" s="269"/>
      <c r="AG700" s="269"/>
      <c r="AH700" s="269"/>
      <c r="AI700" s="269"/>
      <c r="AJ700" s="269"/>
      <c r="AK700" s="269"/>
      <c r="AL700" s="269"/>
      <c r="AM700" s="269"/>
      <c r="AN700" s="269"/>
      <c r="AO700" s="269"/>
      <c r="AP700" s="269"/>
      <c r="AQ700" s="269"/>
      <c r="AR700" s="269"/>
      <c r="AS700" s="269"/>
      <c r="AT700" s="269"/>
      <c r="AU700" s="269"/>
      <c r="AV700" s="269"/>
      <c r="AW700" s="269"/>
      <c r="AX700" s="269"/>
      <c r="AY700" s="269"/>
      <c r="AZ700" s="269"/>
      <c r="BA700" s="269"/>
      <c r="BB700" s="269"/>
      <c r="BC700" s="269"/>
      <c r="BD700" s="269"/>
      <c r="BE700" s="269"/>
      <c r="BF700" s="269"/>
      <c r="BG700" s="269"/>
      <c r="BH700" s="269"/>
      <c r="BI700" s="269"/>
      <c r="BJ700" s="269"/>
      <c r="BK700" s="269"/>
      <c r="BL700" s="269"/>
      <c r="BM700" s="269"/>
      <c r="BN700" s="269"/>
      <c r="BO700" s="269"/>
      <c r="BP700" s="269"/>
      <c r="BQ700" s="269"/>
      <c r="BR700" s="269"/>
      <c r="BS700" s="269"/>
      <c r="BT700" s="269"/>
      <c r="BU700" s="269"/>
      <c r="BV700" s="269"/>
    </row>
    <row r="701" spans="1:74" s="270" customFormat="1" ht="60" x14ac:dyDescent="0.2">
      <c r="A701" s="78" t="s">
        <v>1874</v>
      </c>
      <c r="B701" s="271" t="s">
        <v>1875</v>
      </c>
      <c r="C701" s="122"/>
      <c r="D701" s="122"/>
      <c r="E701" s="122"/>
      <c r="F701" s="122"/>
      <c r="G701" s="122"/>
      <c r="H701" s="122"/>
      <c r="I701" s="122"/>
      <c r="J701" s="122">
        <v>9351937900</v>
      </c>
      <c r="K701" s="122"/>
      <c r="L701" s="122"/>
      <c r="M701" s="122"/>
      <c r="N701" s="122"/>
      <c r="O701" s="136">
        <f t="shared" si="313"/>
        <v>9351937900</v>
      </c>
      <c r="P701" s="269"/>
      <c r="Q701" s="101"/>
      <c r="R701" s="269"/>
      <c r="S701" s="269"/>
      <c r="T701" s="269"/>
      <c r="U701" s="269"/>
      <c r="V701" s="269"/>
      <c r="W701" s="269"/>
      <c r="X701" s="269"/>
      <c r="Y701" s="269"/>
      <c r="Z701" s="269"/>
      <c r="AA701" s="269"/>
      <c r="AB701" s="269"/>
      <c r="AC701" s="269"/>
      <c r="AD701" s="269"/>
      <c r="AE701" s="269"/>
      <c r="AF701" s="269"/>
      <c r="AG701" s="269"/>
      <c r="AH701" s="269"/>
      <c r="AI701" s="269"/>
      <c r="AJ701" s="269"/>
      <c r="AK701" s="269"/>
      <c r="AL701" s="269"/>
      <c r="AM701" s="269"/>
      <c r="AN701" s="269"/>
      <c r="AO701" s="269"/>
      <c r="AP701" s="269"/>
      <c r="AQ701" s="269"/>
      <c r="AR701" s="269"/>
      <c r="AS701" s="269"/>
      <c r="AT701" s="269"/>
      <c r="AU701" s="269"/>
      <c r="AV701" s="269"/>
      <c r="AW701" s="269"/>
      <c r="AX701" s="269"/>
      <c r="AY701" s="269"/>
      <c r="AZ701" s="269"/>
      <c r="BA701" s="269"/>
      <c r="BB701" s="269"/>
      <c r="BC701" s="269"/>
      <c r="BD701" s="269"/>
      <c r="BE701" s="269"/>
      <c r="BF701" s="269"/>
      <c r="BG701" s="269"/>
      <c r="BH701" s="269"/>
      <c r="BI701" s="269"/>
      <c r="BJ701" s="269"/>
      <c r="BK701" s="269"/>
      <c r="BL701" s="269"/>
      <c r="BM701" s="269"/>
      <c r="BN701" s="269"/>
      <c r="BO701" s="269"/>
      <c r="BP701" s="269"/>
      <c r="BQ701" s="269"/>
      <c r="BR701" s="269"/>
      <c r="BS701" s="269"/>
      <c r="BT701" s="269"/>
      <c r="BU701" s="269"/>
      <c r="BV701" s="269"/>
    </row>
    <row r="702" spans="1:74" s="270" customFormat="1" ht="105" x14ac:dyDescent="0.2">
      <c r="A702" s="78" t="s">
        <v>1876</v>
      </c>
      <c r="B702" s="271" t="s">
        <v>1877</v>
      </c>
      <c r="C702" s="122"/>
      <c r="D702" s="122"/>
      <c r="E702" s="122"/>
      <c r="F702" s="122"/>
      <c r="G702" s="122"/>
      <c r="H702" s="122"/>
      <c r="I702" s="122"/>
      <c r="J702" s="122">
        <v>900000000</v>
      </c>
      <c r="K702" s="122"/>
      <c r="L702" s="122"/>
      <c r="M702" s="122"/>
      <c r="N702" s="122"/>
      <c r="O702" s="136">
        <f t="shared" si="313"/>
        <v>900000000</v>
      </c>
      <c r="P702" s="269"/>
      <c r="Q702" s="101"/>
      <c r="R702" s="269"/>
      <c r="S702" s="269"/>
      <c r="T702" s="269"/>
      <c r="U702" s="269"/>
      <c r="V702" s="269"/>
      <c r="W702" s="269"/>
      <c r="X702" s="269"/>
      <c r="Y702" s="269"/>
      <c r="Z702" s="269"/>
      <c r="AA702" s="269"/>
      <c r="AB702" s="269"/>
      <c r="AC702" s="269"/>
      <c r="AD702" s="269"/>
      <c r="AE702" s="269"/>
      <c r="AF702" s="269"/>
      <c r="AG702" s="269"/>
      <c r="AH702" s="269"/>
      <c r="AI702" s="269"/>
      <c r="AJ702" s="269"/>
      <c r="AK702" s="269"/>
      <c r="AL702" s="269"/>
      <c r="AM702" s="269"/>
      <c r="AN702" s="269"/>
      <c r="AO702" s="269"/>
      <c r="AP702" s="269"/>
      <c r="AQ702" s="269"/>
      <c r="AR702" s="269"/>
      <c r="AS702" s="269"/>
      <c r="AT702" s="269"/>
      <c r="AU702" s="269"/>
      <c r="AV702" s="269"/>
      <c r="AW702" s="269"/>
      <c r="AX702" s="269"/>
      <c r="AY702" s="269"/>
      <c r="AZ702" s="269"/>
      <c r="BA702" s="269"/>
      <c r="BB702" s="269"/>
      <c r="BC702" s="269"/>
      <c r="BD702" s="269"/>
      <c r="BE702" s="269"/>
      <c r="BF702" s="269"/>
      <c r="BG702" s="269"/>
      <c r="BH702" s="269"/>
      <c r="BI702" s="269"/>
      <c r="BJ702" s="269"/>
      <c r="BK702" s="269"/>
      <c r="BL702" s="269"/>
      <c r="BM702" s="269"/>
      <c r="BN702" s="269"/>
      <c r="BO702" s="269"/>
      <c r="BP702" s="269"/>
      <c r="BQ702" s="269"/>
      <c r="BR702" s="269"/>
      <c r="BS702" s="269"/>
      <c r="BT702" s="269"/>
      <c r="BU702" s="269"/>
      <c r="BV702" s="269"/>
    </row>
    <row r="703" spans="1:74" s="270" customFormat="1" ht="60" x14ac:dyDescent="0.2">
      <c r="A703" s="78" t="s">
        <v>1904</v>
      </c>
      <c r="B703" s="271" t="s">
        <v>1905</v>
      </c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>
        <v>10000000000</v>
      </c>
      <c r="O703" s="136">
        <f t="shared" si="313"/>
        <v>10000000000</v>
      </c>
      <c r="P703" s="269"/>
      <c r="Q703" s="101"/>
      <c r="R703" s="269"/>
      <c r="S703" s="269"/>
      <c r="T703" s="269"/>
      <c r="U703" s="269"/>
      <c r="V703" s="269"/>
      <c r="W703" s="269"/>
      <c r="X703" s="269"/>
      <c r="Y703" s="269"/>
      <c r="Z703" s="269"/>
      <c r="AA703" s="269"/>
      <c r="AB703" s="269"/>
      <c r="AC703" s="269"/>
      <c r="AD703" s="269"/>
      <c r="AE703" s="269"/>
      <c r="AF703" s="269"/>
      <c r="AG703" s="269"/>
      <c r="AH703" s="269"/>
      <c r="AI703" s="269"/>
      <c r="AJ703" s="269"/>
      <c r="AK703" s="269"/>
      <c r="AL703" s="269"/>
      <c r="AM703" s="269"/>
      <c r="AN703" s="269"/>
      <c r="AO703" s="269"/>
      <c r="AP703" s="269"/>
      <c r="AQ703" s="269"/>
      <c r="AR703" s="269"/>
      <c r="AS703" s="269"/>
      <c r="AT703" s="269"/>
      <c r="AU703" s="269"/>
      <c r="AV703" s="269"/>
      <c r="AW703" s="269"/>
      <c r="AX703" s="269"/>
      <c r="AY703" s="269"/>
      <c r="AZ703" s="269"/>
      <c r="BA703" s="269"/>
      <c r="BB703" s="269"/>
      <c r="BC703" s="269"/>
      <c r="BD703" s="269"/>
      <c r="BE703" s="269"/>
      <c r="BF703" s="269"/>
      <c r="BG703" s="269"/>
      <c r="BH703" s="269"/>
      <c r="BI703" s="269"/>
      <c r="BJ703" s="269"/>
      <c r="BK703" s="269"/>
      <c r="BL703" s="269"/>
      <c r="BM703" s="269"/>
      <c r="BN703" s="269"/>
      <c r="BO703" s="269"/>
      <c r="BP703" s="269"/>
      <c r="BQ703" s="269"/>
      <c r="BR703" s="269"/>
      <c r="BS703" s="269"/>
      <c r="BT703" s="269"/>
      <c r="BU703" s="269"/>
      <c r="BV703" s="269"/>
    </row>
    <row r="704" spans="1:74" s="108" customFormat="1" ht="15.75" x14ac:dyDescent="0.2">
      <c r="A704" s="77" t="s">
        <v>1906</v>
      </c>
      <c r="B704" s="267" t="s">
        <v>1907</v>
      </c>
      <c r="C704" s="74">
        <f>SUM(C705:C706)</f>
        <v>0</v>
      </c>
      <c r="D704" s="74">
        <f t="shared" ref="D704:N704" si="317">SUM(D705:D706)</f>
        <v>0</v>
      </c>
      <c r="E704" s="74">
        <f t="shared" si="317"/>
        <v>0</v>
      </c>
      <c r="F704" s="74">
        <f t="shared" si="317"/>
        <v>0</v>
      </c>
      <c r="G704" s="74">
        <f t="shared" si="317"/>
        <v>0</v>
      </c>
      <c r="H704" s="74">
        <f t="shared" si="317"/>
        <v>0</v>
      </c>
      <c r="I704" s="74">
        <f t="shared" si="317"/>
        <v>0</v>
      </c>
      <c r="J704" s="74">
        <f t="shared" si="317"/>
        <v>0</v>
      </c>
      <c r="K704" s="74">
        <f t="shared" si="317"/>
        <v>0</v>
      </c>
      <c r="L704" s="74">
        <f t="shared" si="317"/>
        <v>0</v>
      </c>
      <c r="M704" s="74">
        <f t="shared" si="317"/>
        <v>0</v>
      </c>
      <c r="N704" s="74">
        <f t="shared" si="317"/>
        <v>9268744626</v>
      </c>
      <c r="O704" s="136">
        <f t="shared" si="313"/>
        <v>9268744626</v>
      </c>
      <c r="P704" s="107"/>
      <c r="Q704" s="104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</row>
    <row r="705" spans="1:74" s="270" customFormat="1" ht="75" x14ac:dyDescent="0.2">
      <c r="A705" s="78" t="s">
        <v>1908</v>
      </c>
      <c r="B705" s="271" t="s">
        <v>1909</v>
      </c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>
        <v>6438744626</v>
      </c>
      <c r="O705" s="136">
        <f t="shared" si="313"/>
        <v>6438744626</v>
      </c>
      <c r="P705" s="269"/>
      <c r="Q705" s="101"/>
      <c r="R705" s="269"/>
      <c r="S705" s="269"/>
      <c r="T705" s="269"/>
      <c r="U705" s="269"/>
      <c r="V705" s="269"/>
      <c r="W705" s="269"/>
      <c r="X705" s="269"/>
      <c r="Y705" s="269"/>
      <c r="Z705" s="269"/>
      <c r="AA705" s="269"/>
      <c r="AB705" s="269"/>
      <c r="AC705" s="269"/>
      <c r="AD705" s="269"/>
      <c r="AE705" s="269"/>
      <c r="AF705" s="269"/>
      <c r="AG705" s="269"/>
      <c r="AH705" s="269"/>
      <c r="AI705" s="269"/>
      <c r="AJ705" s="269"/>
      <c r="AK705" s="269"/>
      <c r="AL705" s="269"/>
      <c r="AM705" s="269"/>
      <c r="AN705" s="269"/>
      <c r="AO705" s="269"/>
      <c r="AP705" s="269"/>
      <c r="AQ705" s="269"/>
      <c r="AR705" s="269"/>
      <c r="AS705" s="269"/>
      <c r="AT705" s="269"/>
      <c r="AU705" s="269"/>
      <c r="AV705" s="269"/>
      <c r="AW705" s="269"/>
      <c r="AX705" s="269"/>
      <c r="AY705" s="269"/>
      <c r="AZ705" s="269"/>
      <c r="BA705" s="269"/>
      <c r="BB705" s="269"/>
      <c r="BC705" s="269"/>
      <c r="BD705" s="269"/>
      <c r="BE705" s="269"/>
      <c r="BF705" s="269"/>
      <c r="BG705" s="269"/>
      <c r="BH705" s="269"/>
      <c r="BI705" s="269"/>
      <c r="BJ705" s="269"/>
      <c r="BK705" s="269"/>
      <c r="BL705" s="269"/>
      <c r="BM705" s="269"/>
      <c r="BN705" s="269"/>
      <c r="BO705" s="269"/>
      <c r="BP705" s="269"/>
      <c r="BQ705" s="269"/>
      <c r="BR705" s="269"/>
      <c r="BS705" s="269"/>
      <c r="BT705" s="269"/>
      <c r="BU705" s="269"/>
      <c r="BV705" s="269"/>
    </row>
    <row r="706" spans="1:74" s="270" customFormat="1" ht="90" x14ac:dyDescent="0.2">
      <c r="A706" s="78" t="s">
        <v>1910</v>
      </c>
      <c r="B706" s="271" t="s">
        <v>1911</v>
      </c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>
        <v>2830000000</v>
      </c>
      <c r="O706" s="136">
        <f t="shared" si="313"/>
        <v>2830000000</v>
      </c>
      <c r="P706" s="269"/>
      <c r="Q706" s="101"/>
      <c r="R706" s="269"/>
      <c r="S706" s="269"/>
      <c r="T706" s="269"/>
      <c r="U706" s="269"/>
      <c r="V706" s="269"/>
      <c r="W706" s="269"/>
      <c r="X706" s="269"/>
      <c r="Y706" s="269"/>
      <c r="Z706" s="269"/>
      <c r="AA706" s="269"/>
      <c r="AB706" s="269"/>
      <c r="AC706" s="269"/>
      <c r="AD706" s="269"/>
      <c r="AE706" s="269"/>
      <c r="AF706" s="269"/>
      <c r="AG706" s="269"/>
      <c r="AH706" s="269"/>
      <c r="AI706" s="269"/>
      <c r="AJ706" s="269"/>
      <c r="AK706" s="269"/>
      <c r="AL706" s="269"/>
      <c r="AM706" s="269"/>
      <c r="AN706" s="269"/>
      <c r="AO706" s="269"/>
      <c r="AP706" s="269"/>
      <c r="AQ706" s="269"/>
      <c r="AR706" s="269"/>
      <c r="AS706" s="269"/>
      <c r="AT706" s="269"/>
      <c r="AU706" s="269"/>
      <c r="AV706" s="269"/>
      <c r="AW706" s="269"/>
      <c r="AX706" s="269"/>
      <c r="AY706" s="269"/>
      <c r="AZ706" s="269"/>
      <c r="BA706" s="269"/>
      <c r="BB706" s="269"/>
      <c r="BC706" s="269"/>
      <c r="BD706" s="269"/>
      <c r="BE706" s="269"/>
      <c r="BF706" s="269"/>
      <c r="BG706" s="269"/>
      <c r="BH706" s="269"/>
      <c r="BI706" s="269"/>
      <c r="BJ706" s="269"/>
      <c r="BK706" s="269"/>
      <c r="BL706" s="269"/>
      <c r="BM706" s="269"/>
      <c r="BN706" s="269"/>
      <c r="BO706" s="269"/>
      <c r="BP706" s="269"/>
      <c r="BQ706" s="269"/>
      <c r="BR706" s="269"/>
      <c r="BS706" s="269"/>
      <c r="BT706" s="269"/>
      <c r="BU706" s="269"/>
      <c r="BV706" s="269"/>
    </row>
    <row r="707" spans="1:74" s="108" customFormat="1" ht="15.75" x14ac:dyDescent="0.2">
      <c r="A707" s="77" t="s">
        <v>1590</v>
      </c>
      <c r="B707" s="75" t="s">
        <v>1591</v>
      </c>
      <c r="C707" s="74">
        <f>+C708+C713</f>
        <v>0</v>
      </c>
      <c r="D707" s="74">
        <f t="shared" ref="D707:N707" si="318">+D708+D713</f>
        <v>0</v>
      </c>
      <c r="E707" s="74">
        <f t="shared" si="318"/>
        <v>0</v>
      </c>
      <c r="F707" s="74">
        <f t="shared" si="318"/>
        <v>0</v>
      </c>
      <c r="G707" s="74">
        <f t="shared" si="318"/>
        <v>4900126032</v>
      </c>
      <c r="H707" s="74">
        <f t="shared" si="318"/>
        <v>0</v>
      </c>
      <c r="I707" s="74">
        <f t="shared" si="318"/>
        <v>0</v>
      </c>
      <c r="J707" s="74">
        <f t="shared" si="318"/>
        <v>0</v>
      </c>
      <c r="K707" s="74">
        <f t="shared" si="318"/>
        <v>0</v>
      </c>
      <c r="L707" s="74">
        <f t="shared" si="318"/>
        <v>0</v>
      </c>
      <c r="M707" s="74">
        <f t="shared" si="318"/>
        <v>0</v>
      </c>
      <c r="N707" s="74">
        <f t="shared" si="318"/>
        <v>0</v>
      </c>
      <c r="O707" s="136">
        <f t="shared" si="313"/>
        <v>4900126032</v>
      </c>
      <c r="P707" s="105">
        <v>4900126032</v>
      </c>
      <c r="Q707" s="104">
        <f t="shared" si="312"/>
        <v>0</v>
      </c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</row>
    <row r="708" spans="1:74" s="108" customFormat="1" ht="94.5" x14ac:dyDescent="0.2">
      <c r="A708" s="77" t="s">
        <v>1592</v>
      </c>
      <c r="B708" s="75" t="s">
        <v>1593</v>
      </c>
      <c r="C708" s="74">
        <f>SUM(C709:C712)</f>
        <v>0</v>
      </c>
      <c r="D708" s="74">
        <f t="shared" ref="D708:N708" si="319">SUM(D709:D712)</f>
        <v>0</v>
      </c>
      <c r="E708" s="74">
        <f t="shared" si="319"/>
        <v>0</v>
      </c>
      <c r="F708" s="74">
        <f t="shared" si="319"/>
        <v>0</v>
      </c>
      <c r="G708" s="74">
        <f t="shared" si="319"/>
        <v>2750126032</v>
      </c>
      <c r="H708" s="74">
        <f t="shared" si="319"/>
        <v>0</v>
      </c>
      <c r="I708" s="74">
        <f t="shared" si="319"/>
        <v>0</v>
      </c>
      <c r="J708" s="74">
        <f t="shared" si="319"/>
        <v>0</v>
      </c>
      <c r="K708" s="74">
        <f t="shared" si="319"/>
        <v>0</v>
      </c>
      <c r="L708" s="74">
        <f t="shared" si="319"/>
        <v>0</v>
      </c>
      <c r="M708" s="74">
        <f t="shared" si="319"/>
        <v>0</v>
      </c>
      <c r="N708" s="74">
        <f t="shared" si="319"/>
        <v>0</v>
      </c>
      <c r="O708" s="136">
        <f t="shared" si="313"/>
        <v>2750126032</v>
      </c>
      <c r="P708" s="107">
        <v>2750126032</v>
      </c>
      <c r="Q708" s="104">
        <f t="shared" si="312"/>
        <v>0</v>
      </c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</row>
    <row r="709" spans="1:74" s="106" customFormat="1" ht="42.75" x14ac:dyDescent="0.2">
      <c r="A709" s="72" t="s">
        <v>1594</v>
      </c>
      <c r="B709" s="73" t="s">
        <v>1595</v>
      </c>
      <c r="C709" s="124"/>
      <c r="D709" s="124"/>
      <c r="E709" s="124"/>
      <c r="F709" s="124"/>
      <c r="G709" s="124">
        <v>2000000000</v>
      </c>
      <c r="H709" s="124"/>
      <c r="I709" s="124"/>
      <c r="J709" s="124"/>
      <c r="K709" s="124"/>
      <c r="L709" s="124"/>
      <c r="M709" s="124"/>
      <c r="N709" s="124"/>
      <c r="O709" s="136">
        <f t="shared" si="313"/>
        <v>2000000000</v>
      </c>
      <c r="P709" s="105">
        <v>2000000000</v>
      </c>
      <c r="Q709" s="104">
        <f t="shared" si="312"/>
        <v>0</v>
      </c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</row>
    <row r="710" spans="1:74" s="106" customFormat="1" ht="42.75" x14ac:dyDescent="0.2">
      <c r="A710" s="72" t="s">
        <v>1596</v>
      </c>
      <c r="B710" s="73" t="s">
        <v>1597</v>
      </c>
      <c r="C710" s="124"/>
      <c r="D710" s="124"/>
      <c r="E710" s="124"/>
      <c r="F710" s="124"/>
      <c r="G710" s="124">
        <v>250000000</v>
      </c>
      <c r="H710" s="124"/>
      <c r="I710" s="124"/>
      <c r="J710" s="124"/>
      <c r="K710" s="124"/>
      <c r="L710" s="124"/>
      <c r="M710" s="124"/>
      <c r="N710" s="124"/>
      <c r="O710" s="136">
        <f t="shared" si="313"/>
        <v>250000000</v>
      </c>
      <c r="P710" s="107">
        <v>250000000</v>
      </c>
      <c r="Q710" s="104">
        <f t="shared" si="312"/>
        <v>0</v>
      </c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H710" s="105"/>
      <c r="AI710" s="105"/>
      <c r="AJ710" s="105"/>
      <c r="AK710" s="105"/>
      <c r="AL710" s="105"/>
      <c r="AM710" s="105"/>
      <c r="AN710" s="105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</row>
    <row r="711" spans="1:74" s="106" customFormat="1" ht="42.75" x14ac:dyDescent="0.2">
      <c r="A711" s="72" t="s">
        <v>1598</v>
      </c>
      <c r="B711" s="73" t="s">
        <v>1599</v>
      </c>
      <c r="C711" s="124"/>
      <c r="D711" s="124"/>
      <c r="E711" s="124"/>
      <c r="F711" s="124"/>
      <c r="G711" s="124">
        <v>400000000</v>
      </c>
      <c r="H711" s="124"/>
      <c r="I711" s="124"/>
      <c r="J711" s="124"/>
      <c r="K711" s="124"/>
      <c r="L711" s="124"/>
      <c r="M711" s="124"/>
      <c r="N711" s="124"/>
      <c r="O711" s="136">
        <f t="shared" si="313"/>
        <v>400000000</v>
      </c>
      <c r="P711" s="105">
        <v>400000000</v>
      </c>
      <c r="Q711" s="104">
        <f t="shared" si="312"/>
        <v>0</v>
      </c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</row>
    <row r="712" spans="1:74" s="106" customFormat="1" ht="42.75" x14ac:dyDescent="0.2">
      <c r="A712" s="72" t="s">
        <v>1600</v>
      </c>
      <c r="B712" s="73" t="s">
        <v>1599</v>
      </c>
      <c r="C712" s="124"/>
      <c r="D712" s="124"/>
      <c r="E712" s="124"/>
      <c r="F712" s="124"/>
      <c r="G712" s="124">
        <v>100126032</v>
      </c>
      <c r="H712" s="124"/>
      <c r="I712" s="124"/>
      <c r="J712" s="124"/>
      <c r="K712" s="124"/>
      <c r="L712" s="124"/>
      <c r="M712" s="124"/>
      <c r="N712" s="124"/>
      <c r="O712" s="136">
        <f t="shared" si="313"/>
        <v>100126032</v>
      </c>
      <c r="P712" s="107">
        <v>100126032</v>
      </c>
      <c r="Q712" s="104">
        <f t="shared" si="312"/>
        <v>0</v>
      </c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H712" s="105"/>
      <c r="AI712" s="105"/>
      <c r="AJ712" s="105"/>
      <c r="AK712" s="105"/>
      <c r="AL712" s="105"/>
      <c r="AM712" s="105"/>
      <c r="AN712" s="105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</row>
    <row r="713" spans="1:74" s="108" customFormat="1" ht="90" x14ac:dyDescent="0.2">
      <c r="A713" s="77" t="s">
        <v>1601</v>
      </c>
      <c r="B713" s="173" t="s">
        <v>1602</v>
      </c>
      <c r="C713" s="74">
        <f>SUM(C714:C718)</f>
        <v>0</v>
      </c>
      <c r="D713" s="74">
        <f t="shared" ref="D713:N713" si="320">SUM(D714:D718)</f>
        <v>0</v>
      </c>
      <c r="E713" s="74">
        <f t="shared" si="320"/>
        <v>0</v>
      </c>
      <c r="F713" s="74">
        <f t="shared" si="320"/>
        <v>0</v>
      </c>
      <c r="G713" s="74">
        <f t="shared" si="320"/>
        <v>2150000000</v>
      </c>
      <c r="H713" s="74">
        <f t="shared" si="320"/>
        <v>0</v>
      </c>
      <c r="I713" s="74">
        <f t="shared" si="320"/>
        <v>0</v>
      </c>
      <c r="J713" s="74">
        <f t="shared" si="320"/>
        <v>0</v>
      </c>
      <c r="K713" s="74">
        <f t="shared" si="320"/>
        <v>0</v>
      </c>
      <c r="L713" s="74">
        <f t="shared" si="320"/>
        <v>0</v>
      </c>
      <c r="M713" s="74">
        <f t="shared" si="320"/>
        <v>0</v>
      </c>
      <c r="N713" s="74">
        <f t="shared" si="320"/>
        <v>0</v>
      </c>
      <c r="O713" s="136">
        <f t="shared" si="313"/>
        <v>2150000000</v>
      </c>
      <c r="P713" s="105">
        <v>2150000000</v>
      </c>
      <c r="Q713" s="104">
        <f t="shared" si="312"/>
        <v>0</v>
      </c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</row>
    <row r="714" spans="1:74" s="106" customFormat="1" ht="42.75" x14ac:dyDescent="0.2">
      <c r="A714" s="72" t="s">
        <v>1603</v>
      </c>
      <c r="B714" s="73" t="s">
        <v>1604</v>
      </c>
      <c r="C714" s="124"/>
      <c r="D714" s="124"/>
      <c r="E714" s="124"/>
      <c r="F714" s="124"/>
      <c r="G714" s="124">
        <v>900000000</v>
      </c>
      <c r="H714" s="124"/>
      <c r="I714" s="124"/>
      <c r="J714" s="124"/>
      <c r="K714" s="124"/>
      <c r="L714" s="124"/>
      <c r="M714" s="124"/>
      <c r="N714" s="124"/>
      <c r="O714" s="136">
        <f t="shared" si="313"/>
        <v>900000000</v>
      </c>
      <c r="P714" s="107">
        <v>900000000</v>
      </c>
      <c r="Q714" s="104">
        <f t="shared" si="312"/>
        <v>0</v>
      </c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H714" s="105"/>
      <c r="AI714" s="105"/>
      <c r="AJ714" s="105"/>
      <c r="AK714" s="105"/>
      <c r="AL714" s="105"/>
      <c r="AM714" s="105"/>
      <c r="AN714" s="105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</row>
    <row r="715" spans="1:74" s="106" customFormat="1" ht="42.75" x14ac:dyDescent="0.2">
      <c r="A715" s="72" t="s">
        <v>1605</v>
      </c>
      <c r="B715" s="73" t="s">
        <v>1606</v>
      </c>
      <c r="C715" s="124"/>
      <c r="D715" s="124"/>
      <c r="E715" s="124"/>
      <c r="F715" s="124"/>
      <c r="G715" s="124">
        <v>250000000</v>
      </c>
      <c r="H715" s="124"/>
      <c r="I715" s="124"/>
      <c r="J715" s="124"/>
      <c r="K715" s="124"/>
      <c r="L715" s="124"/>
      <c r="M715" s="124"/>
      <c r="N715" s="124"/>
      <c r="O715" s="136">
        <f t="shared" si="313"/>
        <v>250000000</v>
      </c>
      <c r="P715" s="105">
        <v>250000000</v>
      </c>
      <c r="Q715" s="104">
        <f t="shared" ref="Q715:Q778" si="321">+P715-O715</f>
        <v>0</v>
      </c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H715" s="105"/>
      <c r="AI715" s="105"/>
      <c r="AJ715" s="105"/>
      <c r="AK715" s="105"/>
      <c r="AL715" s="105"/>
      <c r="AM715" s="105"/>
      <c r="AN715" s="105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</row>
    <row r="716" spans="1:74" s="106" customFormat="1" ht="42.75" x14ac:dyDescent="0.2">
      <c r="A716" s="72" t="s">
        <v>1607</v>
      </c>
      <c r="B716" s="73" t="s">
        <v>1608</v>
      </c>
      <c r="C716" s="124"/>
      <c r="D716" s="124"/>
      <c r="E716" s="124"/>
      <c r="F716" s="124"/>
      <c r="G716" s="124">
        <v>280000000</v>
      </c>
      <c r="H716" s="124"/>
      <c r="I716" s="124"/>
      <c r="J716" s="124"/>
      <c r="K716" s="124"/>
      <c r="L716" s="124"/>
      <c r="M716" s="124"/>
      <c r="N716" s="124"/>
      <c r="O716" s="136">
        <f t="shared" si="313"/>
        <v>280000000</v>
      </c>
      <c r="P716" s="107">
        <v>280000000</v>
      </c>
      <c r="Q716" s="104">
        <f t="shared" si="321"/>
        <v>0</v>
      </c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H716" s="105"/>
      <c r="AI716" s="105"/>
      <c r="AJ716" s="105"/>
      <c r="AK716" s="105"/>
      <c r="AL716" s="105"/>
      <c r="AM716" s="105"/>
      <c r="AN716" s="105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</row>
    <row r="717" spans="1:74" s="106" customFormat="1" ht="28.5" x14ac:dyDescent="0.2">
      <c r="A717" s="72" t="s">
        <v>1609</v>
      </c>
      <c r="B717" s="73" t="s">
        <v>1610</v>
      </c>
      <c r="C717" s="124"/>
      <c r="D717" s="124"/>
      <c r="E717" s="124"/>
      <c r="F717" s="124"/>
      <c r="G717" s="124">
        <v>220000000</v>
      </c>
      <c r="H717" s="124"/>
      <c r="I717" s="124"/>
      <c r="J717" s="124"/>
      <c r="K717" s="124"/>
      <c r="L717" s="124"/>
      <c r="M717" s="124"/>
      <c r="N717" s="124"/>
      <c r="O717" s="136">
        <f t="shared" si="313"/>
        <v>220000000</v>
      </c>
      <c r="P717" s="107">
        <v>220000000</v>
      </c>
      <c r="Q717" s="104">
        <f t="shared" si="321"/>
        <v>0</v>
      </c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H717" s="105"/>
      <c r="AI717" s="105"/>
      <c r="AJ717" s="105"/>
      <c r="AK717" s="105"/>
      <c r="AL717" s="105"/>
      <c r="AM717" s="105"/>
      <c r="AN717" s="105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</row>
    <row r="718" spans="1:74" s="106" customFormat="1" ht="42.75" x14ac:dyDescent="0.2">
      <c r="A718" s="72" t="s">
        <v>1611</v>
      </c>
      <c r="B718" s="73" t="s">
        <v>1612</v>
      </c>
      <c r="C718" s="124"/>
      <c r="D718" s="124"/>
      <c r="E718" s="124"/>
      <c r="F718" s="124"/>
      <c r="G718" s="124">
        <v>500000000</v>
      </c>
      <c r="H718" s="124"/>
      <c r="I718" s="124"/>
      <c r="J718" s="124"/>
      <c r="K718" s="124"/>
      <c r="L718" s="124"/>
      <c r="M718" s="124"/>
      <c r="N718" s="124"/>
      <c r="O718" s="136">
        <f t="shared" si="313"/>
        <v>500000000</v>
      </c>
      <c r="P718" s="105">
        <v>500000000</v>
      </c>
      <c r="Q718" s="104">
        <f t="shared" si="321"/>
        <v>0</v>
      </c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H718" s="105"/>
      <c r="AI718" s="105"/>
      <c r="AJ718" s="105"/>
      <c r="AK718" s="105"/>
      <c r="AL718" s="105"/>
      <c r="AM718" s="105"/>
      <c r="AN718" s="105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</row>
    <row r="719" spans="1:74" s="108" customFormat="1" ht="15.75" x14ac:dyDescent="0.2">
      <c r="A719" s="77" t="s">
        <v>1613</v>
      </c>
      <c r="B719" s="75" t="s">
        <v>1614</v>
      </c>
      <c r="C719" s="74">
        <f>+C720</f>
        <v>0</v>
      </c>
      <c r="D719" s="74">
        <f t="shared" ref="D719:N722" si="322">+D720</f>
        <v>0</v>
      </c>
      <c r="E719" s="74">
        <f t="shared" si="322"/>
        <v>0</v>
      </c>
      <c r="F719" s="74">
        <f t="shared" si="322"/>
        <v>0</v>
      </c>
      <c r="G719" s="74">
        <f t="shared" si="322"/>
        <v>137470491076.75</v>
      </c>
      <c r="H719" s="74">
        <f t="shared" si="322"/>
        <v>0</v>
      </c>
      <c r="I719" s="74">
        <f t="shared" si="322"/>
        <v>0</v>
      </c>
      <c r="J719" s="74">
        <f t="shared" si="322"/>
        <v>0</v>
      </c>
      <c r="K719" s="74">
        <f t="shared" si="322"/>
        <v>0</v>
      </c>
      <c r="L719" s="74">
        <f t="shared" si="322"/>
        <v>0</v>
      </c>
      <c r="M719" s="74">
        <f t="shared" si="322"/>
        <v>0</v>
      </c>
      <c r="N719" s="74">
        <f t="shared" si="322"/>
        <v>0</v>
      </c>
      <c r="O719" s="136">
        <f t="shared" si="313"/>
        <v>137470491076.75</v>
      </c>
      <c r="P719" s="105">
        <v>137470491076.75</v>
      </c>
      <c r="Q719" s="104">
        <f t="shared" si="321"/>
        <v>0</v>
      </c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</row>
    <row r="720" spans="1:74" s="108" customFormat="1" ht="15.75" x14ac:dyDescent="0.2">
      <c r="A720" s="77" t="s">
        <v>1615</v>
      </c>
      <c r="B720" s="75" t="s">
        <v>1127</v>
      </c>
      <c r="C720" s="74">
        <f>+C721</f>
        <v>0</v>
      </c>
      <c r="D720" s="74">
        <f t="shared" si="322"/>
        <v>0</v>
      </c>
      <c r="E720" s="74">
        <f t="shared" si="322"/>
        <v>0</v>
      </c>
      <c r="F720" s="74">
        <f t="shared" si="322"/>
        <v>0</v>
      </c>
      <c r="G720" s="74">
        <f t="shared" si="322"/>
        <v>137470491076.75</v>
      </c>
      <c r="H720" s="74">
        <f t="shared" si="322"/>
        <v>0</v>
      </c>
      <c r="I720" s="74">
        <f t="shared" si="322"/>
        <v>0</v>
      </c>
      <c r="J720" s="74">
        <f t="shared" si="322"/>
        <v>0</v>
      </c>
      <c r="K720" s="74">
        <f t="shared" si="322"/>
        <v>0</v>
      </c>
      <c r="L720" s="74">
        <f t="shared" si="322"/>
        <v>0</v>
      </c>
      <c r="M720" s="74">
        <f t="shared" si="322"/>
        <v>0</v>
      </c>
      <c r="N720" s="74">
        <f t="shared" si="322"/>
        <v>0</v>
      </c>
      <c r="O720" s="136">
        <f t="shared" si="313"/>
        <v>137470491076.75</v>
      </c>
      <c r="P720" s="107">
        <v>137470491076.75</v>
      </c>
      <c r="Q720" s="104">
        <f t="shared" si="321"/>
        <v>0</v>
      </c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</row>
    <row r="721" spans="1:74" s="108" customFormat="1" ht="15.75" x14ac:dyDescent="0.2">
      <c r="A721" s="77" t="s">
        <v>1616</v>
      </c>
      <c r="B721" s="75" t="s">
        <v>1617</v>
      </c>
      <c r="C721" s="74">
        <f>+C722</f>
        <v>0</v>
      </c>
      <c r="D721" s="74">
        <f t="shared" si="322"/>
        <v>0</v>
      </c>
      <c r="E721" s="74">
        <f t="shared" si="322"/>
        <v>0</v>
      </c>
      <c r="F721" s="74">
        <f t="shared" si="322"/>
        <v>0</v>
      </c>
      <c r="G721" s="74">
        <f t="shared" si="322"/>
        <v>137470491076.75</v>
      </c>
      <c r="H721" s="74">
        <f t="shared" si="322"/>
        <v>0</v>
      </c>
      <c r="I721" s="74">
        <f t="shared" si="322"/>
        <v>0</v>
      </c>
      <c r="J721" s="74">
        <f t="shared" si="322"/>
        <v>0</v>
      </c>
      <c r="K721" s="74">
        <f t="shared" si="322"/>
        <v>0</v>
      </c>
      <c r="L721" s="74">
        <f t="shared" si="322"/>
        <v>0</v>
      </c>
      <c r="M721" s="74">
        <f t="shared" si="322"/>
        <v>0</v>
      </c>
      <c r="N721" s="74">
        <f t="shared" si="322"/>
        <v>0</v>
      </c>
      <c r="O721" s="136">
        <f t="shared" si="313"/>
        <v>137470491076.75</v>
      </c>
      <c r="P721" s="105">
        <v>137470491076.75</v>
      </c>
      <c r="Q721" s="104">
        <f t="shared" si="321"/>
        <v>0</v>
      </c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</row>
    <row r="722" spans="1:74" s="108" customFormat="1" ht="15.75" x14ac:dyDescent="0.2">
      <c r="A722" s="77" t="s">
        <v>1618</v>
      </c>
      <c r="B722" s="75" t="s">
        <v>1619</v>
      </c>
      <c r="C722" s="74">
        <f>+C723</f>
        <v>0</v>
      </c>
      <c r="D722" s="74">
        <f t="shared" si="322"/>
        <v>0</v>
      </c>
      <c r="E722" s="74">
        <f t="shared" si="322"/>
        <v>0</v>
      </c>
      <c r="F722" s="74">
        <f t="shared" si="322"/>
        <v>0</v>
      </c>
      <c r="G722" s="74">
        <f t="shared" si="322"/>
        <v>137470491076.75</v>
      </c>
      <c r="H722" s="74">
        <f t="shared" si="322"/>
        <v>0</v>
      </c>
      <c r="I722" s="74">
        <f t="shared" si="322"/>
        <v>0</v>
      </c>
      <c r="J722" s="74">
        <f t="shared" si="322"/>
        <v>0</v>
      </c>
      <c r="K722" s="74">
        <f t="shared" si="322"/>
        <v>0</v>
      </c>
      <c r="L722" s="74">
        <f t="shared" si="322"/>
        <v>0</v>
      </c>
      <c r="M722" s="74">
        <f t="shared" si="322"/>
        <v>0</v>
      </c>
      <c r="N722" s="74">
        <f t="shared" si="322"/>
        <v>0</v>
      </c>
      <c r="O722" s="136">
        <f t="shared" si="313"/>
        <v>137470491076.75</v>
      </c>
      <c r="P722" s="107">
        <v>137470491076.75</v>
      </c>
      <c r="Q722" s="104">
        <f t="shared" si="321"/>
        <v>0</v>
      </c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</row>
    <row r="723" spans="1:74" s="108" customFormat="1" ht="31.5" x14ac:dyDescent="0.2">
      <c r="A723" s="77" t="s">
        <v>1620</v>
      </c>
      <c r="B723" s="75" t="s">
        <v>1621</v>
      </c>
      <c r="C723" s="74">
        <f>+C724+C729+C731+C733+C735+C737+C739+C741+C743+C745+C753+C758+C769+C771</f>
        <v>0</v>
      </c>
      <c r="D723" s="74">
        <f t="shared" ref="D723:N723" si="323">+D724+D729+D731+D733+D735+D737+D739+D741+D743+D745+D753+D758+D769+D771</f>
        <v>0</v>
      </c>
      <c r="E723" s="74">
        <f t="shared" si="323"/>
        <v>0</v>
      </c>
      <c r="F723" s="74">
        <f t="shared" si="323"/>
        <v>0</v>
      </c>
      <c r="G723" s="74">
        <f t="shared" si="323"/>
        <v>137470491076.75</v>
      </c>
      <c r="H723" s="74">
        <f t="shared" si="323"/>
        <v>0</v>
      </c>
      <c r="I723" s="74">
        <f t="shared" si="323"/>
        <v>0</v>
      </c>
      <c r="J723" s="74">
        <f t="shared" si="323"/>
        <v>0</v>
      </c>
      <c r="K723" s="74">
        <f t="shared" si="323"/>
        <v>0</v>
      </c>
      <c r="L723" s="74">
        <f t="shared" si="323"/>
        <v>0</v>
      </c>
      <c r="M723" s="74">
        <f t="shared" si="323"/>
        <v>0</v>
      </c>
      <c r="N723" s="74">
        <f t="shared" si="323"/>
        <v>0</v>
      </c>
      <c r="O723" s="136">
        <f t="shared" si="313"/>
        <v>137470491076.75</v>
      </c>
      <c r="P723" s="105">
        <v>137470491076.75</v>
      </c>
      <c r="Q723" s="104">
        <f t="shared" si="321"/>
        <v>0</v>
      </c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</row>
    <row r="724" spans="1:74" s="111" customFormat="1" ht="40.5" customHeight="1" x14ac:dyDescent="0.2">
      <c r="A724" s="235" t="s">
        <v>1622</v>
      </c>
      <c r="B724" s="247" t="s">
        <v>1623</v>
      </c>
      <c r="C724" s="248">
        <f>+C725</f>
        <v>0</v>
      </c>
      <c r="D724" s="248">
        <f t="shared" ref="D724:N724" si="324">+D725</f>
        <v>0</v>
      </c>
      <c r="E724" s="248">
        <f t="shared" si="324"/>
        <v>0</v>
      </c>
      <c r="F724" s="248">
        <f t="shared" si="324"/>
        <v>0</v>
      </c>
      <c r="G724" s="248">
        <f t="shared" si="324"/>
        <v>9474523795.8700008</v>
      </c>
      <c r="H724" s="248">
        <f t="shared" si="324"/>
        <v>0</v>
      </c>
      <c r="I724" s="248">
        <f t="shared" si="324"/>
        <v>0</v>
      </c>
      <c r="J724" s="248">
        <f t="shared" si="324"/>
        <v>0</v>
      </c>
      <c r="K724" s="248">
        <f t="shared" si="324"/>
        <v>0</v>
      </c>
      <c r="L724" s="248">
        <f t="shared" si="324"/>
        <v>0</v>
      </c>
      <c r="M724" s="248">
        <f t="shared" si="324"/>
        <v>0</v>
      </c>
      <c r="N724" s="248">
        <f t="shared" si="324"/>
        <v>0</v>
      </c>
      <c r="O724" s="136">
        <f t="shared" si="313"/>
        <v>9474523795.8700008</v>
      </c>
      <c r="P724" s="110">
        <v>45830116282.699997</v>
      </c>
      <c r="Q724" s="240">
        <f t="shared" si="321"/>
        <v>36355592486.829994</v>
      </c>
      <c r="R724" s="110">
        <f>+O725+O729</f>
        <v>45525388081.600006</v>
      </c>
      <c r="S724" s="110">
        <f>+R724-P724</f>
        <v>-304728201.09999084</v>
      </c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110"/>
      <c r="BR724" s="110"/>
      <c r="BS724" s="110"/>
      <c r="BT724" s="110"/>
      <c r="BU724" s="110"/>
      <c r="BV724" s="110"/>
    </row>
    <row r="725" spans="1:74" s="108" customFormat="1" ht="83.25" customHeight="1" x14ac:dyDescent="0.2">
      <c r="A725" s="77" t="s">
        <v>1624</v>
      </c>
      <c r="B725" s="75" t="s">
        <v>1625</v>
      </c>
      <c r="C725" s="74">
        <f>SUM(C726:C728)</f>
        <v>0</v>
      </c>
      <c r="D725" s="74">
        <f t="shared" ref="D725:N725" si="325">SUM(D726:D728)</f>
        <v>0</v>
      </c>
      <c r="E725" s="74">
        <f t="shared" si="325"/>
        <v>0</v>
      </c>
      <c r="F725" s="74">
        <f t="shared" si="325"/>
        <v>0</v>
      </c>
      <c r="G725" s="74">
        <f t="shared" si="325"/>
        <v>9474523795.8700008</v>
      </c>
      <c r="H725" s="74">
        <f t="shared" si="325"/>
        <v>0</v>
      </c>
      <c r="I725" s="74">
        <f t="shared" si="325"/>
        <v>0</v>
      </c>
      <c r="J725" s="74">
        <f t="shared" si="325"/>
        <v>0</v>
      </c>
      <c r="K725" s="74">
        <f t="shared" si="325"/>
        <v>0</v>
      </c>
      <c r="L725" s="74">
        <f t="shared" si="325"/>
        <v>0</v>
      </c>
      <c r="M725" s="74">
        <f t="shared" si="325"/>
        <v>0</v>
      </c>
      <c r="N725" s="74">
        <f t="shared" si="325"/>
        <v>0</v>
      </c>
      <c r="O725" s="136">
        <f t="shared" si="313"/>
        <v>9474523795.8700008</v>
      </c>
      <c r="P725" s="105">
        <v>9474523795.8700008</v>
      </c>
      <c r="Q725" s="104">
        <f t="shared" si="321"/>
        <v>0</v>
      </c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</row>
    <row r="726" spans="1:74" s="106" customFormat="1" ht="14.25" x14ac:dyDescent="0.2">
      <c r="A726" s="72" t="s">
        <v>1626</v>
      </c>
      <c r="B726" s="73" t="s">
        <v>1627</v>
      </c>
      <c r="C726" s="124"/>
      <c r="D726" s="124"/>
      <c r="E726" s="124"/>
      <c r="F726" s="124"/>
      <c r="G726" s="124">
        <v>9462323795.8700008</v>
      </c>
      <c r="H726" s="124"/>
      <c r="I726" s="124"/>
      <c r="J726" s="124"/>
      <c r="K726" s="124"/>
      <c r="L726" s="124"/>
      <c r="M726" s="124"/>
      <c r="N726" s="124"/>
      <c r="O726" s="136">
        <f t="shared" si="313"/>
        <v>9462323795.8700008</v>
      </c>
      <c r="P726" s="105">
        <v>9462323795.8700008</v>
      </c>
      <c r="Q726" s="104">
        <f t="shared" si="321"/>
        <v>0</v>
      </c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5"/>
      <c r="AL726" s="105"/>
      <c r="AM726" s="105"/>
      <c r="AN726" s="105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</row>
    <row r="727" spans="1:74" s="106" customFormat="1" ht="14.25" x14ac:dyDescent="0.2">
      <c r="A727" s="72" t="s">
        <v>1628</v>
      </c>
      <c r="B727" s="73" t="s">
        <v>1629</v>
      </c>
      <c r="C727" s="124"/>
      <c r="D727" s="124"/>
      <c r="E727" s="124"/>
      <c r="F727" s="124"/>
      <c r="G727" s="124">
        <v>9500000</v>
      </c>
      <c r="H727" s="124"/>
      <c r="I727" s="124"/>
      <c r="J727" s="124"/>
      <c r="K727" s="124"/>
      <c r="L727" s="124"/>
      <c r="M727" s="124"/>
      <c r="N727" s="124"/>
      <c r="O727" s="136">
        <f t="shared" si="313"/>
        <v>9500000</v>
      </c>
      <c r="P727" s="105">
        <v>9500000</v>
      </c>
      <c r="Q727" s="104">
        <f t="shared" si="321"/>
        <v>0</v>
      </c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H727" s="105"/>
      <c r="AI727" s="105"/>
      <c r="AJ727" s="105"/>
      <c r="AK727" s="105"/>
      <c r="AL727" s="105"/>
      <c r="AM727" s="105"/>
      <c r="AN727" s="105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</row>
    <row r="728" spans="1:74" s="106" customFormat="1" ht="14.25" x14ac:dyDescent="0.2">
      <c r="A728" s="72" t="s">
        <v>1630</v>
      </c>
      <c r="B728" s="73" t="s">
        <v>1631</v>
      </c>
      <c r="C728" s="124"/>
      <c r="D728" s="124"/>
      <c r="E728" s="124"/>
      <c r="F728" s="124"/>
      <c r="G728" s="124">
        <v>2700000</v>
      </c>
      <c r="H728" s="124"/>
      <c r="I728" s="124"/>
      <c r="J728" s="124"/>
      <c r="K728" s="124"/>
      <c r="L728" s="124"/>
      <c r="M728" s="124"/>
      <c r="N728" s="124"/>
      <c r="O728" s="136">
        <f t="shared" si="313"/>
        <v>2700000</v>
      </c>
      <c r="P728" s="105">
        <v>2700000</v>
      </c>
      <c r="Q728" s="104">
        <f t="shared" si="321"/>
        <v>0</v>
      </c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</row>
    <row r="729" spans="1:74" s="108" customFormat="1" ht="31.5" x14ac:dyDescent="0.2">
      <c r="A729" s="77" t="s">
        <v>1632</v>
      </c>
      <c r="B729" s="75" t="s">
        <v>1633</v>
      </c>
      <c r="C729" s="74">
        <f>+C730</f>
        <v>0</v>
      </c>
      <c r="D729" s="74">
        <f t="shared" ref="D729:N729" si="326">+D730</f>
        <v>0</v>
      </c>
      <c r="E729" s="74">
        <f t="shared" si="326"/>
        <v>0</v>
      </c>
      <c r="F729" s="74">
        <f t="shared" si="326"/>
        <v>0</v>
      </c>
      <c r="G729" s="74">
        <f t="shared" si="326"/>
        <v>36050864285.730003</v>
      </c>
      <c r="H729" s="74">
        <f t="shared" si="326"/>
        <v>0</v>
      </c>
      <c r="I729" s="74">
        <f t="shared" si="326"/>
        <v>0</v>
      </c>
      <c r="J729" s="74">
        <f t="shared" si="326"/>
        <v>0</v>
      </c>
      <c r="K729" s="74">
        <f t="shared" si="326"/>
        <v>0</v>
      </c>
      <c r="L729" s="74">
        <f t="shared" si="326"/>
        <v>0</v>
      </c>
      <c r="M729" s="74">
        <f t="shared" si="326"/>
        <v>0</v>
      </c>
      <c r="N729" s="74">
        <f t="shared" si="326"/>
        <v>0</v>
      </c>
      <c r="O729" s="136">
        <f t="shared" si="313"/>
        <v>36050864285.730003</v>
      </c>
      <c r="P729" s="107">
        <v>36050864285.730003</v>
      </c>
      <c r="Q729" s="104">
        <f t="shared" si="321"/>
        <v>0</v>
      </c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</row>
    <row r="730" spans="1:74" s="106" customFormat="1" ht="28.5" x14ac:dyDescent="0.2">
      <c r="A730" s="72" t="s">
        <v>1634</v>
      </c>
      <c r="B730" s="73" t="s">
        <v>1635</v>
      </c>
      <c r="C730" s="124"/>
      <c r="D730" s="124"/>
      <c r="E730" s="124"/>
      <c r="F730" s="124"/>
      <c r="G730" s="124">
        <v>36050864285.730003</v>
      </c>
      <c r="H730" s="124"/>
      <c r="I730" s="124"/>
      <c r="J730" s="124"/>
      <c r="K730" s="124"/>
      <c r="L730" s="124"/>
      <c r="M730" s="124"/>
      <c r="N730" s="124"/>
      <c r="O730" s="136">
        <f t="shared" si="313"/>
        <v>36050864285.730003</v>
      </c>
      <c r="P730" s="107">
        <v>36050864285.730003</v>
      </c>
      <c r="Q730" s="104">
        <f t="shared" si="321"/>
        <v>0</v>
      </c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</row>
    <row r="731" spans="1:74" s="108" customFormat="1" ht="15.75" x14ac:dyDescent="0.2">
      <c r="A731" s="77" t="s">
        <v>1636</v>
      </c>
      <c r="B731" s="75" t="s">
        <v>1637</v>
      </c>
      <c r="C731" s="74">
        <f>+C732</f>
        <v>0</v>
      </c>
      <c r="D731" s="74">
        <f t="shared" ref="D731:N731" si="327">+D732</f>
        <v>0</v>
      </c>
      <c r="E731" s="74">
        <f t="shared" si="327"/>
        <v>0</v>
      </c>
      <c r="F731" s="74">
        <f t="shared" si="327"/>
        <v>0</v>
      </c>
      <c r="G731" s="74">
        <f t="shared" si="327"/>
        <v>10500000</v>
      </c>
      <c r="H731" s="74">
        <f t="shared" si="327"/>
        <v>0</v>
      </c>
      <c r="I731" s="74">
        <f t="shared" si="327"/>
        <v>0</v>
      </c>
      <c r="J731" s="74">
        <f t="shared" si="327"/>
        <v>0</v>
      </c>
      <c r="K731" s="74">
        <f t="shared" si="327"/>
        <v>0</v>
      </c>
      <c r="L731" s="74">
        <f t="shared" si="327"/>
        <v>0</v>
      </c>
      <c r="M731" s="74">
        <f t="shared" si="327"/>
        <v>0</v>
      </c>
      <c r="N731" s="74">
        <f t="shared" si="327"/>
        <v>0</v>
      </c>
      <c r="O731" s="136">
        <f t="shared" si="313"/>
        <v>10500000</v>
      </c>
      <c r="P731" s="105">
        <v>10500000</v>
      </c>
      <c r="Q731" s="104">
        <f t="shared" si="321"/>
        <v>0</v>
      </c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</row>
    <row r="732" spans="1:74" s="106" customFormat="1" ht="15.75" x14ac:dyDescent="0.2">
      <c r="A732" s="72" t="s">
        <v>1638</v>
      </c>
      <c r="B732" s="73" t="s">
        <v>1639</v>
      </c>
      <c r="C732" s="124"/>
      <c r="D732" s="124"/>
      <c r="E732" s="124"/>
      <c r="F732" s="124"/>
      <c r="G732" s="124">
        <v>10500000</v>
      </c>
      <c r="H732" s="124"/>
      <c r="I732" s="124"/>
      <c r="J732" s="124"/>
      <c r="K732" s="124"/>
      <c r="L732" s="124"/>
      <c r="M732" s="124"/>
      <c r="N732" s="124"/>
      <c r="O732" s="136">
        <f t="shared" si="313"/>
        <v>10500000</v>
      </c>
      <c r="P732" s="107">
        <v>10500000</v>
      </c>
      <c r="Q732" s="104">
        <f t="shared" si="321"/>
        <v>0</v>
      </c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H732" s="105"/>
      <c r="AI732" s="105"/>
      <c r="AJ732" s="105"/>
      <c r="AK732" s="105"/>
      <c r="AL732" s="105"/>
      <c r="AM732" s="105"/>
      <c r="AN732" s="105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</row>
    <row r="733" spans="1:74" s="108" customFormat="1" ht="31.5" x14ac:dyDescent="0.2">
      <c r="A733" s="77" t="s">
        <v>1640</v>
      </c>
      <c r="B733" s="75" t="s">
        <v>1641</v>
      </c>
      <c r="C733" s="74">
        <f>+C734</f>
        <v>0</v>
      </c>
      <c r="D733" s="74">
        <f t="shared" ref="D733:N733" si="328">+D734</f>
        <v>0</v>
      </c>
      <c r="E733" s="74">
        <f t="shared" si="328"/>
        <v>0</v>
      </c>
      <c r="F733" s="74">
        <f t="shared" si="328"/>
        <v>0</v>
      </c>
      <c r="G733" s="74">
        <f t="shared" si="328"/>
        <v>7462000</v>
      </c>
      <c r="H733" s="74">
        <f t="shared" si="328"/>
        <v>0</v>
      </c>
      <c r="I733" s="74">
        <f t="shared" si="328"/>
        <v>0</v>
      </c>
      <c r="J733" s="74">
        <f t="shared" si="328"/>
        <v>0</v>
      </c>
      <c r="K733" s="74">
        <f t="shared" si="328"/>
        <v>0</v>
      </c>
      <c r="L733" s="74">
        <f t="shared" si="328"/>
        <v>0</v>
      </c>
      <c r="M733" s="74">
        <f t="shared" si="328"/>
        <v>0</v>
      </c>
      <c r="N733" s="74">
        <f t="shared" si="328"/>
        <v>0</v>
      </c>
      <c r="O733" s="136">
        <f t="shared" si="313"/>
        <v>7462000</v>
      </c>
      <c r="P733" s="105">
        <v>7462000</v>
      </c>
      <c r="Q733" s="104">
        <f t="shared" si="321"/>
        <v>0</v>
      </c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</row>
    <row r="734" spans="1:74" s="106" customFormat="1" ht="15.75" x14ac:dyDescent="0.2">
      <c r="A734" s="72" t="s">
        <v>1642</v>
      </c>
      <c r="B734" s="73" t="s">
        <v>1643</v>
      </c>
      <c r="C734" s="124"/>
      <c r="D734" s="124"/>
      <c r="E734" s="124"/>
      <c r="F734" s="124"/>
      <c r="G734" s="124">
        <v>7462000</v>
      </c>
      <c r="H734" s="124"/>
      <c r="I734" s="124"/>
      <c r="J734" s="124"/>
      <c r="K734" s="124"/>
      <c r="L734" s="124"/>
      <c r="M734" s="124"/>
      <c r="N734" s="124"/>
      <c r="O734" s="136">
        <f t="shared" si="313"/>
        <v>7462000</v>
      </c>
      <c r="P734" s="107">
        <v>7462000</v>
      </c>
      <c r="Q734" s="104">
        <f t="shared" si="321"/>
        <v>0</v>
      </c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H734" s="105"/>
      <c r="AI734" s="105"/>
      <c r="AJ734" s="105"/>
      <c r="AK734" s="105"/>
      <c r="AL734" s="105"/>
      <c r="AM734" s="105"/>
      <c r="AN734" s="105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</row>
    <row r="735" spans="1:74" s="108" customFormat="1" ht="63" x14ac:dyDescent="0.2">
      <c r="A735" s="77" t="s">
        <v>1644</v>
      </c>
      <c r="B735" s="75" t="s">
        <v>1645</v>
      </c>
      <c r="C735" s="74">
        <f>+C736</f>
        <v>0</v>
      </c>
      <c r="D735" s="74">
        <f t="shared" ref="D735:N735" si="329">+D736</f>
        <v>0</v>
      </c>
      <c r="E735" s="74">
        <f t="shared" si="329"/>
        <v>0</v>
      </c>
      <c r="F735" s="74">
        <f t="shared" si="329"/>
        <v>0</v>
      </c>
      <c r="G735" s="74">
        <f t="shared" si="329"/>
        <v>27103488.100000001</v>
      </c>
      <c r="H735" s="74">
        <f t="shared" si="329"/>
        <v>0</v>
      </c>
      <c r="I735" s="74">
        <f t="shared" si="329"/>
        <v>0</v>
      </c>
      <c r="J735" s="74">
        <f t="shared" si="329"/>
        <v>0</v>
      </c>
      <c r="K735" s="74">
        <f t="shared" si="329"/>
        <v>0</v>
      </c>
      <c r="L735" s="74">
        <f t="shared" si="329"/>
        <v>0</v>
      </c>
      <c r="M735" s="74">
        <f t="shared" si="329"/>
        <v>0</v>
      </c>
      <c r="N735" s="74">
        <f t="shared" si="329"/>
        <v>0</v>
      </c>
      <c r="O735" s="136">
        <f t="shared" si="313"/>
        <v>27103488.100000001</v>
      </c>
      <c r="P735" s="105">
        <v>27103488.100000001</v>
      </c>
      <c r="Q735" s="104">
        <f t="shared" si="321"/>
        <v>0</v>
      </c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</row>
    <row r="736" spans="1:74" s="106" customFormat="1" ht="57" x14ac:dyDescent="0.2">
      <c r="A736" s="72" t="s">
        <v>1646</v>
      </c>
      <c r="B736" s="73" t="s">
        <v>1645</v>
      </c>
      <c r="C736" s="124"/>
      <c r="D736" s="124"/>
      <c r="E736" s="124"/>
      <c r="F736" s="124"/>
      <c r="G736" s="124">
        <v>27103488.100000001</v>
      </c>
      <c r="H736" s="124"/>
      <c r="I736" s="124"/>
      <c r="J736" s="124"/>
      <c r="K736" s="124"/>
      <c r="L736" s="124"/>
      <c r="M736" s="124"/>
      <c r="N736" s="124"/>
      <c r="O736" s="136">
        <f t="shared" si="313"/>
        <v>27103488.100000001</v>
      </c>
      <c r="P736" s="107">
        <v>27103488.100000001</v>
      </c>
      <c r="Q736" s="104">
        <f t="shared" si="321"/>
        <v>0</v>
      </c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</row>
    <row r="737" spans="1:74" s="108" customFormat="1" ht="31.5" x14ac:dyDescent="0.2">
      <c r="A737" s="77" t="s">
        <v>1647</v>
      </c>
      <c r="B737" s="75" t="s">
        <v>1648</v>
      </c>
      <c r="C737" s="74">
        <f>+C738</f>
        <v>0</v>
      </c>
      <c r="D737" s="74">
        <f t="shared" ref="D737:N737" si="330">+D738</f>
        <v>0</v>
      </c>
      <c r="E737" s="74">
        <f t="shared" si="330"/>
        <v>0</v>
      </c>
      <c r="F737" s="74">
        <f t="shared" si="330"/>
        <v>0</v>
      </c>
      <c r="G737" s="74">
        <f t="shared" si="330"/>
        <v>259662713</v>
      </c>
      <c r="H737" s="74">
        <f t="shared" si="330"/>
        <v>0</v>
      </c>
      <c r="I737" s="74">
        <f t="shared" si="330"/>
        <v>0</v>
      </c>
      <c r="J737" s="74">
        <f t="shared" si="330"/>
        <v>0</v>
      </c>
      <c r="K737" s="74">
        <f t="shared" si="330"/>
        <v>0</v>
      </c>
      <c r="L737" s="74">
        <f t="shared" si="330"/>
        <v>0</v>
      </c>
      <c r="M737" s="74">
        <f t="shared" si="330"/>
        <v>0</v>
      </c>
      <c r="N737" s="74">
        <f t="shared" si="330"/>
        <v>0</v>
      </c>
      <c r="O737" s="136">
        <f t="shared" si="313"/>
        <v>259662713</v>
      </c>
      <c r="P737" s="105">
        <v>259662713</v>
      </c>
      <c r="Q737" s="104">
        <f t="shared" si="321"/>
        <v>0</v>
      </c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</row>
    <row r="738" spans="1:74" s="106" customFormat="1" ht="15.75" x14ac:dyDescent="0.2">
      <c r="A738" s="72" t="s">
        <v>1649</v>
      </c>
      <c r="B738" s="73" t="s">
        <v>1476</v>
      </c>
      <c r="C738" s="124"/>
      <c r="D738" s="124"/>
      <c r="E738" s="124"/>
      <c r="F738" s="124"/>
      <c r="G738" s="124">
        <v>259662713</v>
      </c>
      <c r="H738" s="124"/>
      <c r="I738" s="124"/>
      <c r="J738" s="124"/>
      <c r="K738" s="124"/>
      <c r="L738" s="124"/>
      <c r="M738" s="124"/>
      <c r="N738" s="124"/>
      <c r="O738" s="136">
        <f t="shared" si="313"/>
        <v>259662713</v>
      </c>
      <c r="P738" s="107">
        <v>259662713</v>
      </c>
      <c r="Q738" s="104">
        <f t="shared" si="321"/>
        <v>0</v>
      </c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</row>
    <row r="739" spans="1:74" s="108" customFormat="1" ht="47.25" x14ac:dyDescent="0.2">
      <c r="A739" s="77" t="s">
        <v>1650</v>
      </c>
      <c r="B739" s="75" t="s">
        <v>1651</v>
      </c>
      <c r="C739" s="74">
        <f>+C740</f>
        <v>0</v>
      </c>
      <c r="D739" s="74">
        <f t="shared" ref="D739:N739" si="331">+D740</f>
        <v>0</v>
      </c>
      <c r="E739" s="74">
        <f t="shared" si="331"/>
        <v>0</v>
      </c>
      <c r="F739" s="74">
        <f t="shared" si="331"/>
        <v>0</v>
      </c>
      <c r="G739" s="74">
        <f t="shared" si="331"/>
        <v>98246400</v>
      </c>
      <c r="H739" s="74">
        <f t="shared" si="331"/>
        <v>0</v>
      </c>
      <c r="I739" s="74">
        <f t="shared" si="331"/>
        <v>0</v>
      </c>
      <c r="J739" s="74">
        <f t="shared" si="331"/>
        <v>0</v>
      </c>
      <c r="K739" s="74">
        <f t="shared" si="331"/>
        <v>0</v>
      </c>
      <c r="L739" s="74">
        <f t="shared" si="331"/>
        <v>0</v>
      </c>
      <c r="M739" s="74">
        <f t="shared" si="331"/>
        <v>0</v>
      </c>
      <c r="N739" s="74">
        <f t="shared" si="331"/>
        <v>0</v>
      </c>
      <c r="O739" s="136">
        <f t="shared" si="313"/>
        <v>98246400</v>
      </c>
      <c r="P739" s="105">
        <v>98246400</v>
      </c>
      <c r="Q739" s="104">
        <f t="shared" si="321"/>
        <v>0</v>
      </c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</row>
    <row r="740" spans="1:74" s="106" customFormat="1" ht="42.75" x14ac:dyDescent="0.2">
      <c r="A740" s="72" t="s">
        <v>1652</v>
      </c>
      <c r="B740" s="73" t="s">
        <v>1653</v>
      </c>
      <c r="C740" s="124"/>
      <c r="D740" s="124"/>
      <c r="E740" s="124"/>
      <c r="F740" s="124"/>
      <c r="G740" s="124">
        <v>98246400</v>
      </c>
      <c r="H740" s="124"/>
      <c r="I740" s="124"/>
      <c r="J740" s="124"/>
      <c r="K740" s="124"/>
      <c r="L740" s="124"/>
      <c r="M740" s="124"/>
      <c r="N740" s="124"/>
      <c r="O740" s="136">
        <f t="shared" si="313"/>
        <v>98246400</v>
      </c>
      <c r="P740" s="107">
        <v>98246400</v>
      </c>
      <c r="Q740" s="104">
        <f t="shared" si="321"/>
        <v>0</v>
      </c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5"/>
      <c r="AL740" s="105"/>
      <c r="AM740" s="105"/>
      <c r="AN740" s="105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</row>
    <row r="741" spans="1:74" s="108" customFormat="1" ht="47.25" x14ac:dyDescent="0.2">
      <c r="A741" s="77" t="s">
        <v>1654</v>
      </c>
      <c r="B741" s="75" t="s">
        <v>1655</v>
      </c>
      <c r="C741" s="74">
        <f>+C742</f>
        <v>0</v>
      </c>
      <c r="D741" s="74">
        <f t="shared" ref="D741:N741" si="332">+D742</f>
        <v>0</v>
      </c>
      <c r="E741" s="74">
        <f t="shared" si="332"/>
        <v>0</v>
      </c>
      <c r="F741" s="74">
        <f t="shared" si="332"/>
        <v>0</v>
      </c>
      <c r="G741" s="74">
        <f t="shared" si="332"/>
        <v>506016671</v>
      </c>
      <c r="H741" s="74">
        <f t="shared" si="332"/>
        <v>0</v>
      </c>
      <c r="I741" s="74">
        <f t="shared" si="332"/>
        <v>0</v>
      </c>
      <c r="J741" s="74">
        <f t="shared" si="332"/>
        <v>0</v>
      </c>
      <c r="K741" s="74">
        <f t="shared" si="332"/>
        <v>0</v>
      </c>
      <c r="L741" s="74">
        <f t="shared" si="332"/>
        <v>0</v>
      </c>
      <c r="M741" s="74">
        <f t="shared" si="332"/>
        <v>0</v>
      </c>
      <c r="N741" s="74">
        <f t="shared" si="332"/>
        <v>0</v>
      </c>
      <c r="O741" s="136">
        <f t="shared" si="313"/>
        <v>506016671</v>
      </c>
      <c r="P741" s="105">
        <v>506016671</v>
      </c>
      <c r="Q741" s="104">
        <f t="shared" si="321"/>
        <v>0</v>
      </c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</row>
    <row r="742" spans="1:74" s="106" customFormat="1" ht="28.5" x14ac:dyDescent="0.2">
      <c r="A742" s="72" t="s">
        <v>1656</v>
      </c>
      <c r="B742" s="73" t="s">
        <v>1657</v>
      </c>
      <c r="C742" s="124"/>
      <c r="D742" s="124"/>
      <c r="E742" s="124"/>
      <c r="F742" s="124"/>
      <c r="G742" s="124">
        <v>506016671</v>
      </c>
      <c r="H742" s="124"/>
      <c r="I742" s="124"/>
      <c r="J742" s="124"/>
      <c r="K742" s="124"/>
      <c r="L742" s="124"/>
      <c r="M742" s="124"/>
      <c r="N742" s="124"/>
      <c r="O742" s="136">
        <f t="shared" si="313"/>
        <v>506016671</v>
      </c>
      <c r="P742" s="107">
        <v>506016671</v>
      </c>
      <c r="Q742" s="104">
        <f t="shared" si="321"/>
        <v>0</v>
      </c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5"/>
      <c r="AL742" s="105"/>
      <c r="AM742" s="105"/>
      <c r="AN742" s="105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</row>
    <row r="743" spans="1:74" s="108" customFormat="1" ht="47.25" x14ac:dyDescent="0.2">
      <c r="A743" s="77" t="s">
        <v>1658</v>
      </c>
      <c r="B743" s="75" t="s">
        <v>1659</v>
      </c>
      <c r="C743" s="74">
        <f>+C744</f>
        <v>0</v>
      </c>
      <c r="D743" s="74">
        <f t="shared" ref="D743:N743" si="333">+D744</f>
        <v>0</v>
      </c>
      <c r="E743" s="74">
        <f t="shared" si="333"/>
        <v>0</v>
      </c>
      <c r="F743" s="74">
        <f t="shared" si="333"/>
        <v>0</v>
      </c>
      <c r="G743" s="74">
        <f t="shared" si="333"/>
        <v>1984436974.3900001</v>
      </c>
      <c r="H743" s="74">
        <f t="shared" si="333"/>
        <v>0</v>
      </c>
      <c r="I743" s="74">
        <f t="shared" si="333"/>
        <v>0</v>
      </c>
      <c r="J743" s="74">
        <f t="shared" si="333"/>
        <v>0</v>
      </c>
      <c r="K743" s="74">
        <f t="shared" si="333"/>
        <v>0</v>
      </c>
      <c r="L743" s="74">
        <f t="shared" si="333"/>
        <v>0</v>
      </c>
      <c r="M743" s="74">
        <f t="shared" si="333"/>
        <v>0</v>
      </c>
      <c r="N743" s="74">
        <f t="shared" si="333"/>
        <v>0</v>
      </c>
      <c r="O743" s="136">
        <f t="shared" si="313"/>
        <v>1984436974.3900001</v>
      </c>
      <c r="P743" s="105">
        <v>1984436974.3900001</v>
      </c>
      <c r="Q743" s="104">
        <f t="shared" si="321"/>
        <v>0</v>
      </c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</row>
    <row r="744" spans="1:74" s="106" customFormat="1" ht="28.5" x14ac:dyDescent="0.2">
      <c r="A744" s="72" t="s">
        <v>1660</v>
      </c>
      <c r="B744" s="73" t="s">
        <v>1661</v>
      </c>
      <c r="C744" s="124"/>
      <c r="D744" s="124"/>
      <c r="E744" s="124"/>
      <c r="F744" s="124"/>
      <c r="G744" s="124">
        <v>1984436974.3900001</v>
      </c>
      <c r="H744" s="124"/>
      <c r="I744" s="124"/>
      <c r="J744" s="124"/>
      <c r="K744" s="124"/>
      <c r="L744" s="124"/>
      <c r="M744" s="124"/>
      <c r="N744" s="124"/>
      <c r="O744" s="136">
        <f t="shared" si="313"/>
        <v>1984436974.3900001</v>
      </c>
      <c r="P744" s="105">
        <v>1984436974.3900001</v>
      </c>
      <c r="Q744" s="104">
        <f t="shared" si="321"/>
        <v>0</v>
      </c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H744" s="105"/>
      <c r="AI744" s="105"/>
      <c r="AJ744" s="105"/>
      <c r="AK744" s="105"/>
      <c r="AL744" s="105"/>
      <c r="AM744" s="105"/>
      <c r="AN744" s="105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</row>
    <row r="745" spans="1:74" s="108" customFormat="1" ht="15.75" x14ac:dyDescent="0.2">
      <c r="A745" s="77" t="s">
        <v>1662</v>
      </c>
      <c r="B745" s="75" t="s">
        <v>1663</v>
      </c>
      <c r="C745" s="74">
        <f>+C746+C749+C751</f>
        <v>0</v>
      </c>
      <c r="D745" s="74">
        <f t="shared" ref="D745:N745" si="334">+D746+D749+D751</f>
        <v>0</v>
      </c>
      <c r="E745" s="74">
        <f t="shared" si="334"/>
        <v>0</v>
      </c>
      <c r="F745" s="74">
        <f t="shared" si="334"/>
        <v>0</v>
      </c>
      <c r="G745" s="74">
        <f t="shared" si="334"/>
        <v>9114153339.3700008</v>
      </c>
      <c r="H745" s="74">
        <f t="shared" si="334"/>
        <v>0</v>
      </c>
      <c r="I745" s="74">
        <f t="shared" si="334"/>
        <v>0</v>
      </c>
      <c r="J745" s="74">
        <f t="shared" si="334"/>
        <v>0</v>
      </c>
      <c r="K745" s="74">
        <f t="shared" si="334"/>
        <v>0</v>
      </c>
      <c r="L745" s="74">
        <f t="shared" si="334"/>
        <v>0</v>
      </c>
      <c r="M745" s="74">
        <f t="shared" si="334"/>
        <v>0</v>
      </c>
      <c r="N745" s="74">
        <f t="shared" si="334"/>
        <v>0</v>
      </c>
      <c r="O745" s="136">
        <f t="shared" si="313"/>
        <v>9114153339.3700008</v>
      </c>
      <c r="P745" s="105">
        <v>9114153339.3700008</v>
      </c>
      <c r="Q745" s="104">
        <f t="shared" si="321"/>
        <v>0</v>
      </c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</row>
    <row r="746" spans="1:74" s="108" customFormat="1" ht="31.5" x14ac:dyDescent="0.2">
      <c r="A746" s="77" t="s">
        <v>1664</v>
      </c>
      <c r="B746" s="75" t="s">
        <v>1665</v>
      </c>
      <c r="C746" s="74">
        <f>SUM(C747:C748)</f>
        <v>0</v>
      </c>
      <c r="D746" s="74">
        <f t="shared" ref="D746:N746" si="335">SUM(D747:D748)</f>
        <v>0</v>
      </c>
      <c r="E746" s="74">
        <f t="shared" si="335"/>
        <v>0</v>
      </c>
      <c r="F746" s="74">
        <f t="shared" si="335"/>
        <v>0</v>
      </c>
      <c r="G746" s="74">
        <f t="shared" si="335"/>
        <v>3130592786.1300001</v>
      </c>
      <c r="H746" s="74">
        <f t="shared" si="335"/>
        <v>0</v>
      </c>
      <c r="I746" s="74">
        <f t="shared" si="335"/>
        <v>0</v>
      </c>
      <c r="J746" s="74">
        <f t="shared" si="335"/>
        <v>0</v>
      </c>
      <c r="K746" s="74">
        <f t="shared" si="335"/>
        <v>0</v>
      </c>
      <c r="L746" s="74">
        <f t="shared" si="335"/>
        <v>0</v>
      </c>
      <c r="M746" s="74">
        <f t="shared" si="335"/>
        <v>0</v>
      </c>
      <c r="N746" s="74">
        <f t="shared" si="335"/>
        <v>0</v>
      </c>
      <c r="O746" s="136">
        <f t="shared" si="313"/>
        <v>3130592786.1300001</v>
      </c>
      <c r="P746" s="105">
        <v>3130592786.1300001</v>
      </c>
      <c r="Q746" s="104">
        <f t="shared" si="321"/>
        <v>0</v>
      </c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</row>
    <row r="747" spans="1:74" s="106" customFormat="1" ht="28.5" x14ac:dyDescent="0.2">
      <c r="A747" s="72" t="s">
        <v>1666</v>
      </c>
      <c r="B747" s="73" t="s">
        <v>1667</v>
      </c>
      <c r="C747" s="124"/>
      <c r="D747" s="124"/>
      <c r="E747" s="124"/>
      <c r="F747" s="124"/>
      <c r="G747" s="124">
        <v>2075464682.5699999</v>
      </c>
      <c r="H747" s="124"/>
      <c r="I747" s="124"/>
      <c r="J747" s="124"/>
      <c r="K747" s="124"/>
      <c r="L747" s="124"/>
      <c r="M747" s="124"/>
      <c r="N747" s="124"/>
      <c r="O747" s="136">
        <f t="shared" si="313"/>
        <v>2075464682.5699999</v>
      </c>
      <c r="P747" s="105">
        <v>2075464682.5699999</v>
      </c>
      <c r="Q747" s="104">
        <f t="shared" si="321"/>
        <v>0</v>
      </c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H747" s="105"/>
      <c r="AI747" s="105"/>
      <c r="AJ747" s="105"/>
      <c r="AK747" s="105"/>
      <c r="AL747" s="105"/>
      <c r="AM747" s="105"/>
      <c r="AN747" s="105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</row>
    <row r="748" spans="1:74" s="106" customFormat="1" ht="28.5" x14ac:dyDescent="0.2">
      <c r="A748" s="72" t="s">
        <v>1668</v>
      </c>
      <c r="B748" s="73" t="s">
        <v>1669</v>
      </c>
      <c r="C748" s="124"/>
      <c r="D748" s="124"/>
      <c r="E748" s="124"/>
      <c r="F748" s="124"/>
      <c r="G748" s="124">
        <v>1055128103.5599999</v>
      </c>
      <c r="H748" s="124"/>
      <c r="I748" s="124"/>
      <c r="J748" s="124"/>
      <c r="K748" s="124"/>
      <c r="L748" s="124"/>
      <c r="M748" s="124"/>
      <c r="N748" s="124"/>
      <c r="O748" s="136">
        <f t="shared" si="313"/>
        <v>1055128103.5599999</v>
      </c>
      <c r="P748" s="105">
        <v>1055128103.5599999</v>
      </c>
      <c r="Q748" s="104">
        <f t="shared" si="321"/>
        <v>0</v>
      </c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H748" s="105"/>
      <c r="AI748" s="105"/>
      <c r="AJ748" s="105"/>
      <c r="AK748" s="105"/>
      <c r="AL748" s="105"/>
      <c r="AM748" s="105"/>
      <c r="AN748" s="105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</row>
    <row r="749" spans="1:74" s="108" customFormat="1" ht="31.5" x14ac:dyDescent="0.2">
      <c r="A749" s="77" t="s">
        <v>1670</v>
      </c>
      <c r="B749" s="75" t="s">
        <v>1671</v>
      </c>
      <c r="C749" s="74">
        <f>+C750</f>
        <v>0</v>
      </c>
      <c r="D749" s="74">
        <f t="shared" ref="D749:N749" si="336">+D750</f>
        <v>0</v>
      </c>
      <c r="E749" s="74">
        <f t="shared" si="336"/>
        <v>0</v>
      </c>
      <c r="F749" s="74">
        <f t="shared" si="336"/>
        <v>0</v>
      </c>
      <c r="G749" s="74">
        <f t="shared" si="336"/>
        <v>5521777550.8400002</v>
      </c>
      <c r="H749" s="74">
        <f t="shared" si="336"/>
        <v>0</v>
      </c>
      <c r="I749" s="74">
        <f t="shared" si="336"/>
        <v>0</v>
      </c>
      <c r="J749" s="74">
        <f t="shared" si="336"/>
        <v>0</v>
      </c>
      <c r="K749" s="74">
        <f t="shared" si="336"/>
        <v>0</v>
      </c>
      <c r="L749" s="74">
        <f t="shared" si="336"/>
        <v>0</v>
      </c>
      <c r="M749" s="74">
        <f t="shared" si="336"/>
        <v>0</v>
      </c>
      <c r="N749" s="74">
        <f t="shared" si="336"/>
        <v>0</v>
      </c>
      <c r="O749" s="136">
        <f t="shared" si="313"/>
        <v>5521777550.8400002</v>
      </c>
      <c r="P749" s="105">
        <v>5521777550.8400002</v>
      </c>
      <c r="Q749" s="104">
        <f t="shared" si="321"/>
        <v>0</v>
      </c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</row>
    <row r="750" spans="1:74" s="106" customFormat="1" ht="14.25" x14ac:dyDescent="0.2">
      <c r="A750" s="72" t="s">
        <v>1672</v>
      </c>
      <c r="B750" s="73" t="s">
        <v>1673</v>
      </c>
      <c r="C750" s="124"/>
      <c r="D750" s="124"/>
      <c r="E750" s="124"/>
      <c r="F750" s="124"/>
      <c r="G750" s="124">
        <v>5521777550.8400002</v>
      </c>
      <c r="H750" s="124"/>
      <c r="I750" s="124"/>
      <c r="J750" s="124"/>
      <c r="K750" s="124"/>
      <c r="L750" s="124"/>
      <c r="M750" s="124"/>
      <c r="N750" s="124"/>
      <c r="O750" s="136">
        <f t="shared" si="313"/>
        <v>5521777550.8400002</v>
      </c>
      <c r="P750" s="105">
        <v>5521777550.8400002</v>
      </c>
      <c r="Q750" s="104">
        <f t="shared" si="321"/>
        <v>0</v>
      </c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</row>
    <row r="751" spans="1:74" s="108" customFormat="1" ht="15.75" x14ac:dyDescent="0.2">
      <c r="A751" s="77" t="s">
        <v>1674</v>
      </c>
      <c r="B751" s="75" t="s">
        <v>1675</v>
      </c>
      <c r="C751" s="74">
        <f>+C752</f>
        <v>0</v>
      </c>
      <c r="D751" s="74">
        <f t="shared" ref="D751:N751" si="337">+D752</f>
        <v>0</v>
      </c>
      <c r="E751" s="74">
        <f t="shared" si="337"/>
        <v>0</v>
      </c>
      <c r="F751" s="74">
        <f t="shared" si="337"/>
        <v>0</v>
      </c>
      <c r="G751" s="74">
        <f t="shared" si="337"/>
        <v>461783002.39999998</v>
      </c>
      <c r="H751" s="74">
        <f t="shared" si="337"/>
        <v>0</v>
      </c>
      <c r="I751" s="74">
        <f t="shared" si="337"/>
        <v>0</v>
      </c>
      <c r="J751" s="74">
        <f t="shared" si="337"/>
        <v>0</v>
      </c>
      <c r="K751" s="74">
        <f t="shared" si="337"/>
        <v>0</v>
      </c>
      <c r="L751" s="74">
        <f t="shared" si="337"/>
        <v>0</v>
      </c>
      <c r="M751" s="74">
        <f t="shared" si="337"/>
        <v>0</v>
      </c>
      <c r="N751" s="74">
        <f t="shared" si="337"/>
        <v>0</v>
      </c>
      <c r="O751" s="136">
        <f t="shared" si="313"/>
        <v>461783002.39999998</v>
      </c>
      <c r="P751" s="105">
        <v>461783002.39999998</v>
      </c>
      <c r="Q751" s="104">
        <f t="shared" si="321"/>
        <v>0</v>
      </c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</row>
    <row r="752" spans="1:74" s="106" customFormat="1" ht="14.25" x14ac:dyDescent="0.2">
      <c r="A752" s="72" t="s">
        <v>1676</v>
      </c>
      <c r="B752" s="73" t="s">
        <v>1677</v>
      </c>
      <c r="C752" s="124"/>
      <c r="D752" s="124"/>
      <c r="E752" s="124"/>
      <c r="F752" s="124"/>
      <c r="G752" s="124">
        <v>461783002.39999998</v>
      </c>
      <c r="H752" s="124"/>
      <c r="I752" s="124"/>
      <c r="J752" s="124"/>
      <c r="K752" s="124"/>
      <c r="L752" s="124"/>
      <c r="M752" s="124"/>
      <c r="N752" s="124"/>
      <c r="O752" s="136">
        <f t="shared" si="313"/>
        <v>461783002.39999998</v>
      </c>
      <c r="P752" s="105">
        <v>461783002.39999998</v>
      </c>
      <c r="Q752" s="104">
        <f t="shared" si="321"/>
        <v>0</v>
      </c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H752" s="105"/>
      <c r="AI752" s="105"/>
      <c r="AJ752" s="105"/>
      <c r="AK752" s="105"/>
      <c r="AL752" s="105"/>
      <c r="AM752" s="105"/>
      <c r="AN752" s="105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</row>
    <row r="753" spans="1:74" s="108" customFormat="1" ht="47.25" x14ac:dyDescent="0.2">
      <c r="A753" s="77" t="s">
        <v>1678</v>
      </c>
      <c r="B753" s="75" t="s">
        <v>1679</v>
      </c>
      <c r="C753" s="74">
        <f>SUM(C754:C757)</f>
        <v>0</v>
      </c>
      <c r="D753" s="74">
        <f t="shared" ref="D753:N753" si="338">SUM(D754:D757)</f>
        <v>0</v>
      </c>
      <c r="E753" s="74">
        <f t="shared" si="338"/>
        <v>0</v>
      </c>
      <c r="F753" s="74">
        <f t="shared" si="338"/>
        <v>0</v>
      </c>
      <c r="G753" s="74">
        <f t="shared" si="338"/>
        <v>1470257557.6600001</v>
      </c>
      <c r="H753" s="74">
        <f t="shared" si="338"/>
        <v>0</v>
      </c>
      <c r="I753" s="74">
        <f t="shared" si="338"/>
        <v>0</v>
      </c>
      <c r="J753" s="74">
        <f t="shared" si="338"/>
        <v>0</v>
      </c>
      <c r="K753" s="74">
        <f t="shared" si="338"/>
        <v>0</v>
      </c>
      <c r="L753" s="74">
        <f t="shared" si="338"/>
        <v>0</v>
      </c>
      <c r="M753" s="74">
        <f t="shared" si="338"/>
        <v>0</v>
      </c>
      <c r="N753" s="74">
        <f t="shared" si="338"/>
        <v>0</v>
      </c>
      <c r="O753" s="136">
        <f t="shared" si="313"/>
        <v>1470257557.6600001</v>
      </c>
      <c r="P753" s="105">
        <v>1470257557.6600001</v>
      </c>
      <c r="Q753" s="104">
        <f t="shared" si="321"/>
        <v>0</v>
      </c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</row>
    <row r="754" spans="1:74" s="106" customFormat="1" ht="28.5" x14ac:dyDescent="0.2">
      <c r="A754" s="72" t="s">
        <v>1680</v>
      </c>
      <c r="B754" s="73" t="s">
        <v>1681</v>
      </c>
      <c r="C754" s="124"/>
      <c r="D754" s="124"/>
      <c r="E754" s="124"/>
      <c r="F754" s="124"/>
      <c r="G754" s="124">
        <v>387647145.37</v>
      </c>
      <c r="H754" s="124"/>
      <c r="I754" s="124"/>
      <c r="J754" s="124"/>
      <c r="K754" s="124"/>
      <c r="L754" s="124"/>
      <c r="M754" s="124"/>
      <c r="N754" s="124"/>
      <c r="O754" s="136">
        <f t="shared" si="313"/>
        <v>387647145.37</v>
      </c>
      <c r="P754" s="105">
        <v>387647145.37</v>
      </c>
      <c r="Q754" s="104">
        <f t="shared" si="321"/>
        <v>0</v>
      </c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H754" s="105"/>
      <c r="AI754" s="105"/>
      <c r="AJ754" s="105"/>
      <c r="AK754" s="105"/>
      <c r="AL754" s="105"/>
      <c r="AM754" s="105"/>
      <c r="AN754" s="105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</row>
    <row r="755" spans="1:74" s="106" customFormat="1" ht="42.75" x14ac:dyDescent="0.2">
      <c r="A755" s="72" t="s">
        <v>1682</v>
      </c>
      <c r="B755" s="73" t="s">
        <v>1683</v>
      </c>
      <c r="C755" s="124"/>
      <c r="D755" s="124"/>
      <c r="E755" s="124"/>
      <c r="F755" s="124"/>
      <c r="G755" s="124">
        <v>2113377.75</v>
      </c>
      <c r="H755" s="124"/>
      <c r="I755" s="124"/>
      <c r="J755" s="124"/>
      <c r="K755" s="124"/>
      <c r="L755" s="124"/>
      <c r="M755" s="124"/>
      <c r="N755" s="124"/>
      <c r="O755" s="136">
        <f t="shared" si="313"/>
        <v>2113377.75</v>
      </c>
      <c r="P755" s="105">
        <v>2113377.75</v>
      </c>
      <c r="Q755" s="104">
        <f t="shared" si="321"/>
        <v>0</v>
      </c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H755" s="105"/>
      <c r="AI755" s="105"/>
      <c r="AJ755" s="105"/>
      <c r="AK755" s="105"/>
      <c r="AL755" s="105"/>
      <c r="AM755" s="105"/>
      <c r="AN755" s="105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</row>
    <row r="756" spans="1:74" s="106" customFormat="1" ht="28.5" x14ac:dyDescent="0.2">
      <c r="A756" s="72" t="s">
        <v>1684</v>
      </c>
      <c r="B756" s="73" t="s">
        <v>1685</v>
      </c>
      <c r="C756" s="124"/>
      <c r="D756" s="124"/>
      <c r="E756" s="124"/>
      <c r="F756" s="124"/>
      <c r="G756" s="124">
        <v>751847814.38</v>
      </c>
      <c r="H756" s="124"/>
      <c r="I756" s="124"/>
      <c r="J756" s="124"/>
      <c r="K756" s="124"/>
      <c r="L756" s="124"/>
      <c r="M756" s="124"/>
      <c r="N756" s="124"/>
      <c r="O756" s="136">
        <f t="shared" si="313"/>
        <v>751847814.38</v>
      </c>
      <c r="P756" s="105">
        <v>751847814.38</v>
      </c>
      <c r="Q756" s="104">
        <f t="shared" si="321"/>
        <v>0</v>
      </c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  <c r="AF756" s="105"/>
      <c r="AG756" s="105"/>
      <c r="AH756" s="105"/>
      <c r="AI756" s="105"/>
      <c r="AJ756" s="105"/>
      <c r="AK756" s="105"/>
      <c r="AL756" s="105"/>
      <c r="AM756" s="105"/>
      <c r="AN756" s="105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</row>
    <row r="757" spans="1:74" s="106" customFormat="1" ht="42.75" x14ac:dyDescent="0.2">
      <c r="A757" s="72" t="s">
        <v>1686</v>
      </c>
      <c r="B757" s="73" t="s">
        <v>1687</v>
      </c>
      <c r="C757" s="124"/>
      <c r="D757" s="124"/>
      <c r="E757" s="124"/>
      <c r="F757" s="124"/>
      <c r="G757" s="124">
        <v>328649220.16000003</v>
      </c>
      <c r="H757" s="124"/>
      <c r="I757" s="124"/>
      <c r="J757" s="124"/>
      <c r="K757" s="124"/>
      <c r="L757" s="124"/>
      <c r="M757" s="124"/>
      <c r="N757" s="124"/>
      <c r="O757" s="136">
        <f t="shared" si="313"/>
        <v>328649220.16000003</v>
      </c>
      <c r="P757" s="105">
        <v>328649220.16000003</v>
      </c>
      <c r="Q757" s="104">
        <f t="shared" si="321"/>
        <v>0</v>
      </c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  <c r="AF757" s="105"/>
      <c r="AG757" s="105"/>
      <c r="AH757" s="105"/>
      <c r="AI757" s="105"/>
      <c r="AJ757" s="105"/>
      <c r="AK757" s="105"/>
      <c r="AL757" s="105"/>
      <c r="AM757" s="105"/>
      <c r="AN757" s="105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</row>
    <row r="758" spans="1:74" s="108" customFormat="1" ht="15.75" x14ac:dyDescent="0.2">
      <c r="A758" s="77" t="s">
        <v>1688</v>
      </c>
      <c r="B758" s="75" t="s">
        <v>1689</v>
      </c>
      <c r="C758" s="74">
        <f>+C759+C761+C763+C765+C767</f>
        <v>0</v>
      </c>
      <c r="D758" s="74">
        <f t="shared" ref="D758:N758" si="339">+D759+D761+D763+D765+D767</f>
        <v>0</v>
      </c>
      <c r="E758" s="74">
        <f t="shared" si="339"/>
        <v>0</v>
      </c>
      <c r="F758" s="74">
        <f t="shared" si="339"/>
        <v>0</v>
      </c>
      <c r="G758" s="74">
        <f t="shared" si="339"/>
        <v>407056991.80000001</v>
      </c>
      <c r="H758" s="74">
        <f t="shared" si="339"/>
        <v>0</v>
      </c>
      <c r="I758" s="74">
        <f t="shared" si="339"/>
        <v>0</v>
      </c>
      <c r="J758" s="74">
        <f t="shared" si="339"/>
        <v>0</v>
      </c>
      <c r="K758" s="74">
        <f t="shared" si="339"/>
        <v>0</v>
      </c>
      <c r="L758" s="74">
        <f t="shared" si="339"/>
        <v>0</v>
      </c>
      <c r="M758" s="74">
        <f t="shared" si="339"/>
        <v>0</v>
      </c>
      <c r="N758" s="74">
        <f t="shared" si="339"/>
        <v>0</v>
      </c>
      <c r="O758" s="136">
        <f t="shared" ref="O758:O768" si="340">SUM(C758:N758)</f>
        <v>407056991.80000001</v>
      </c>
      <c r="P758" s="105">
        <v>407056991.80000001</v>
      </c>
      <c r="Q758" s="104">
        <f t="shared" si="321"/>
        <v>0</v>
      </c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</row>
    <row r="759" spans="1:74" s="108" customFormat="1" ht="63" x14ac:dyDescent="0.2">
      <c r="A759" s="77" t="s">
        <v>1690</v>
      </c>
      <c r="B759" s="75" t="s">
        <v>110</v>
      </c>
      <c r="C759" s="74">
        <f>+C760</f>
        <v>0</v>
      </c>
      <c r="D759" s="74">
        <f t="shared" ref="D759:N759" si="341">+D760</f>
        <v>0</v>
      </c>
      <c r="E759" s="74">
        <f t="shared" si="341"/>
        <v>0</v>
      </c>
      <c r="F759" s="74">
        <f t="shared" si="341"/>
        <v>0</v>
      </c>
      <c r="G759" s="74">
        <f t="shared" si="341"/>
        <v>145325420.40000001</v>
      </c>
      <c r="H759" s="74">
        <f t="shared" si="341"/>
        <v>0</v>
      </c>
      <c r="I759" s="74">
        <f t="shared" si="341"/>
        <v>0</v>
      </c>
      <c r="J759" s="74">
        <f t="shared" si="341"/>
        <v>0</v>
      </c>
      <c r="K759" s="74">
        <f t="shared" si="341"/>
        <v>0</v>
      </c>
      <c r="L759" s="74">
        <f t="shared" si="341"/>
        <v>0</v>
      </c>
      <c r="M759" s="74">
        <f t="shared" si="341"/>
        <v>0</v>
      </c>
      <c r="N759" s="74">
        <f t="shared" si="341"/>
        <v>0</v>
      </c>
      <c r="O759" s="136">
        <f t="shared" si="340"/>
        <v>145325420.40000001</v>
      </c>
      <c r="P759" s="105">
        <v>145325420.40000001</v>
      </c>
      <c r="Q759" s="104">
        <f t="shared" si="321"/>
        <v>0</v>
      </c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</row>
    <row r="760" spans="1:74" s="106" customFormat="1" ht="28.5" x14ac:dyDescent="0.2">
      <c r="A760" s="72" t="s">
        <v>1691</v>
      </c>
      <c r="B760" s="73" t="s">
        <v>1692</v>
      </c>
      <c r="C760" s="124"/>
      <c r="D760" s="124"/>
      <c r="E760" s="124"/>
      <c r="F760" s="124"/>
      <c r="G760" s="124">
        <v>145325420.40000001</v>
      </c>
      <c r="H760" s="124"/>
      <c r="I760" s="124"/>
      <c r="J760" s="124"/>
      <c r="K760" s="124"/>
      <c r="L760" s="124"/>
      <c r="M760" s="124"/>
      <c r="N760" s="124"/>
      <c r="O760" s="136">
        <f t="shared" si="340"/>
        <v>145325420.40000001</v>
      </c>
      <c r="P760" s="105">
        <v>145325420.40000001</v>
      </c>
      <c r="Q760" s="104">
        <f t="shared" si="321"/>
        <v>0</v>
      </c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  <c r="AF760" s="105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</row>
    <row r="761" spans="1:74" s="108" customFormat="1" ht="31.5" x14ac:dyDescent="0.2">
      <c r="A761" s="77" t="s">
        <v>1693</v>
      </c>
      <c r="B761" s="75" t="s">
        <v>1694</v>
      </c>
      <c r="C761" s="74">
        <f>+C762</f>
        <v>0</v>
      </c>
      <c r="D761" s="74">
        <f t="shared" ref="D761:N761" si="342">+D762</f>
        <v>0</v>
      </c>
      <c r="E761" s="74">
        <f t="shared" si="342"/>
        <v>0</v>
      </c>
      <c r="F761" s="74">
        <f t="shared" si="342"/>
        <v>0</v>
      </c>
      <c r="G761" s="74">
        <f t="shared" si="342"/>
        <v>95830968</v>
      </c>
      <c r="H761" s="74">
        <f t="shared" si="342"/>
        <v>0</v>
      </c>
      <c r="I761" s="74">
        <f t="shared" si="342"/>
        <v>0</v>
      </c>
      <c r="J761" s="74">
        <f t="shared" si="342"/>
        <v>0</v>
      </c>
      <c r="K761" s="74">
        <f t="shared" si="342"/>
        <v>0</v>
      </c>
      <c r="L761" s="74">
        <f t="shared" si="342"/>
        <v>0</v>
      </c>
      <c r="M761" s="74">
        <f t="shared" si="342"/>
        <v>0</v>
      </c>
      <c r="N761" s="74">
        <f t="shared" si="342"/>
        <v>0</v>
      </c>
      <c r="O761" s="136">
        <f t="shared" si="340"/>
        <v>95830968</v>
      </c>
      <c r="P761" s="105">
        <v>95830968</v>
      </c>
      <c r="Q761" s="104">
        <f t="shared" si="321"/>
        <v>0</v>
      </c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</row>
    <row r="762" spans="1:74" s="106" customFormat="1" ht="28.5" x14ac:dyDescent="0.2">
      <c r="A762" s="72" t="s">
        <v>1695</v>
      </c>
      <c r="B762" s="73" t="s">
        <v>1694</v>
      </c>
      <c r="C762" s="124"/>
      <c r="D762" s="124"/>
      <c r="E762" s="124"/>
      <c r="F762" s="124"/>
      <c r="G762" s="124">
        <v>95830968</v>
      </c>
      <c r="H762" s="124"/>
      <c r="I762" s="124"/>
      <c r="J762" s="124"/>
      <c r="K762" s="124"/>
      <c r="L762" s="124"/>
      <c r="M762" s="124"/>
      <c r="N762" s="124"/>
      <c r="O762" s="136">
        <f t="shared" si="340"/>
        <v>95830968</v>
      </c>
      <c r="P762" s="105">
        <v>95830968</v>
      </c>
      <c r="Q762" s="104">
        <f t="shared" si="321"/>
        <v>0</v>
      </c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  <c r="AF762" s="105"/>
      <c r="AG762" s="105"/>
      <c r="AH762" s="105"/>
      <c r="AI762" s="105"/>
      <c r="AJ762" s="105"/>
      <c r="AK762" s="105"/>
      <c r="AL762" s="105"/>
      <c r="AM762" s="105"/>
      <c r="AN762" s="105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</row>
    <row r="763" spans="1:74" s="108" customFormat="1" ht="31.5" x14ac:dyDescent="0.2">
      <c r="A763" s="77" t="s">
        <v>1696</v>
      </c>
      <c r="B763" s="75" t="s">
        <v>1697</v>
      </c>
      <c r="C763" s="74">
        <f>+C764</f>
        <v>0</v>
      </c>
      <c r="D763" s="74">
        <f t="shared" ref="D763:N763" si="343">+D764</f>
        <v>0</v>
      </c>
      <c r="E763" s="74">
        <f t="shared" si="343"/>
        <v>0</v>
      </c>
      <c r="F763" s="74">
        <f t="shared" si="343"/>
        <v>0</v>
      </c>
      <c r="G763" s="74">
        <f t="shared" si="343"/>
        <v>14844803.4</v>
      </c>
      <c r="H763" s="74">
        <f t="shared" si="343"/>
        <v>0</v>
      </c>
      <c r="I763" s="74">
        <f t="shared" si="343"/>
        <v>0</v>
      </c>
      <c r="J763" s="74">
        <f t="shared" si="343"/>
        <v>0</v>
      </c>
      <c r="K763" s="74">
        <f t="shared" si="343"/>
        <v>0</v>
      </c>
      <c r="L763" s="74">
        <f t="shared" si="343"/>
        <v>0</v>
      </c>
      <c r="M763" s="74">
        <f t="shared" si="343"/>
        <v>0</v>
      </c>
      <c r="N763" s="74">
        <f t="shared" si="343"/>
        <v>0</v>
      </c>
      <c r="O763" s="136">
        <f t="shared" si="340"/>
        <v>14844803.4</v>
      </c>
      <c r="P763" s="105">
        <v>14844803.4</v>
      </c>
      <c r="Q763" s="104">
        <f t="shared" si="321"/>
        <v>0</v>
      </c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</row>
    <row r="764" spans="1:74" s="106" customFormat="1" ht="28.5" x14ac:dyDescent="0.2">
      <c r="A764" s="72" t="s">
        <v>1698</v>
      </c>
      <c r="B764" s="73" t="s">
        <v>1699</v>
      </c>
      <c r="C764" s="124"/>
      <c r="D764" s="124"/>
      <c r="E764" s="124"/>
      <c r="F764" s="124"/>
      <c r="G764" s="124">
        <v>14844803.4</v>
      </c>
      <c r="H764" s="124"/>
      <c r="I764" s="124"/>
      <c r="J764" s="124"/>
      <c r="K764" s="124"/>
      <c r="L764" s="124"/>
      <c r="M764" s="124"/>
      <c r="N764" s="124"/>
      <c r="O764" s="136">
        <f t="shared" si="340"/>
        <v>14844803.4</v>
      </c>
      <c r="P764" s="105">
        <v>14844803.4</v>
      </c>
      <c r="Q764" s="104">
        <f t="shared" si="321"/>
        <v>0</v>
      </c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  <c r="AF764" s="105"/>
      <c r="AG764" s="105"/>
      <c r="AH764" s="105"/>
      <c r="AI764" s="105"/>
      <c r="AJ764" s="105"/>
      <c r="AK764" s="105"/>
      <c r="AL764" s="105"/>
      <c r="AM764" s="105"/>
      <c r="AN764" s="105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</row>
    <row r="765" spans="1:74" s="108" customFormat="1" ht="47.25" x14ac:dyDescent="0.2">
      <c r="A765" s="77" t="s">
        <v>1700</v>
      </c>
      <c r="B765" s="75" t="s">
        <v>1701</v>
      </c>
      <c r="C765" s="74">
        <f>+C766</f>
        <v>0</v>
      </c>
      <c r="D765" s="74">
        <f t="shared" ref="D765:N765" si="344">+D766</f>
        <v>0</v>
      </c>
      <c r="E765" s="74">
        <f t="shared" si="344"/>
        <v>0</v>
      </c>
      <c r="F765" s="74">
        <f t="shared" si="344"/>
        <v>0</v>
      </c>
      <c r="G765" s="74">
        <f t="shared" si="344"/>
        <v>112000000</v>
      </c>
      <c r="H765" s="74">
        <f t="shared" si="344"/>
        <v>0</v>
      </c>
      <c r="I765" s="74">
        <f t="shared" si="344"/>
        <v>0</v>
      </c>
      <c r="J765" s="74">
        <f t="shared" si="344"/>
        <v>0</v>
      </c>
      <c r="K765" s="74">
        <f t="shared" si="344"/>
        <v>0</v>
      </c>
      <c r="L765" s="74">
        <f t="shared" si="344"/>
        <v>0</v>
      </c>
      <c r="M765" s="74">
        <f t="shared" si="344"/>
        <v>0</v>
      </c>
      <c r="N765" s="74">
        <f t="shared" si="344"/>
        <v>0</v>
      </c>
      <c r="O765" s="136">
        <f t="shared" si="340"/>
        <v>112000000</v>
      </c>
      <c r="P765" s="105">
        <v>112000000</v>
      </c>
      <c r="Q765" s="104">
        <f t="shared" si="321"/>
        <v>0</v>
      </c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</row>
    <row r="766" spans="1:74" s="106" customFormat="1" ht="42.75" x14ac:dyDescent="0.2">
      <c r="A766" s="72" t="s">
        <v>1702</v>
      </c>
      <c r="B766" s="73" t="s">
        <v>1703</v>
      </c>
      <c r="C766" s="124"/>
      <c r="D766" s="124"/>
      <c r="E766" s="124"/>
      <c r="F766" s="124"/>
      <c r="G766" s="124">
        <v>112000000</v>
      </c>
      <c r="H766" s="124"/>
      <c r="I766" s="124"/>
      <c r="J766" s="124"/>
      <c r="K766" s="124"/>
      <c r="L766" s="124"/>
      <c r="M766" s="124"/>
      <c r="N766" s="124"/>
      <c r="O766" s="136">
        <f t="shared" si="340"/>
        <v>112000000</v>
      </c>
      <c r="P766" s="105">
        <v>112000000</v>
      </c>
      <c r="Q766" s="104">
        <f t="shared" si="321"/>
        <v>0</v>
      </c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  <c r="AF766" s="105"/>
      <c r="AG766" s="105"/>
      <c r="AH766" s="105"/>
      <c r="AI766" s="105"/>
      <c r="AJ766" s="105"/>
      <c r="AK766" s="105"/>
      <c r="AL766" s="105"/>
      <c r="AM766" s="105"/>
      <c r="AN766" s="105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</row>
    <row r="767" spans="1:74" s="108" customFormat="1" ht="31.5" x14ac:dyDescent="0.2">
      <c r="A767" s="77" t="s">
        <v>1704</v>
      </c>
      <c r="B767" s="75" t="s">
        <v>1705</v>
      </c>
      <c r="C767" s="74">
        <f>+C768</f>
        <v>0</v>
      </c>
      <c r="D767" s="74">
        <f t="shared" ref="D767:N767" si="345">+D768</f>
        <v>0</v>
      </c>
      <c r="E767" s="74">
        <f t="shared" si="345"/>
        <v>0</v>
      </c>
      <c r="F767" s="74">
        <f t="shared" si="345"/>
        <v>0</v>
      </c>
      <c r="G767" s="74">
        <f t="shared" si="345"/>
        <v>39055800</v>
      </c>
      <c r="H767" s="74">
        <f t="shared" si="345"/>
        <v>0</v>
      </c>
      <c r="I767" s="74">
        <f t="shared" si="345"/>
        <v>0</v>
      </c>
      <c r="J767" s="74">
        <f t="shared" si="345"/>
        <v>0</v>
      </c>
      <c r="K767" s="74">
        <f t="shared" si="345"/>
        <v>0</v>
      </c>
      <c r="L767" s="74">
        <f t="shared" si="345"/>
        <v>0</v>
      </c>
      <c r="M767" s="74">
        <f t="shared" si="345"/>
        <v>0</v>
      </c>
      <c r="N767" s="74">
        <f t="shared" si="345"/>
        <v>0</v>
      </c>
      <c r="O767" s="136">
        <f t="shared" si="340"/>
        <v>39055800</v>
      </c>
      <c r="P767" s="105">
        <v>39055800</v>
      </c>
      <c r="Q767" s="104">
        <f t="shared" si="321"/>
        <v>0</v>
      </c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</row>
    <row r="768" spans="1:74" s="106" customFormat="1" ht="14.25" x14ac:dyDescent="0.2">
      <c r="A768" s="72" t="s">
        <v>1706</v>
      </c>
      <c r="B768" s="73" t="s">
        <v>1707</v>
      </c>
      <c r="C768" s="124"/>
      <c r="D768" s="124"/>
      <c r="E768" s="124"/>
      <c r="F768" s="124"/>
      <c r="G768" s="124">
        <v>39055800</v>
      </c>
      <c r="H768" s="124"/>
      <c r="I768" s="124"/>
      <c r="J768" s="124"/>
      <c r="K768" s="124"/>
      <c r="L768" s="124"/>
      <c r="M768" s="124"/>
      <c r="N768" s="124"/>
      <c r="O768" s="136">
        <f t="shared" si="340"/>
        <v>39055800</v>
      </c>
      <c r="P768" s="105">
        <v>39055800</v>
      </c>
      <c r="Q768" s="104">
        <f t="shared" si="321"/>
        <v>0</v>
      </c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  <c r="AF768" s="105"/>
      <c r="AG768" s="105"/>
      <c r="AH768" s="105"/>
      <c r="AI768" s="105"/>
      <c r="AJ768" s="105"/>
      <c r="AK768" s="105"/>
      <c r="AL768" s="105"/>
      <c r="AM768" s="105"/>
      <c r="AN768" s="105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</row>
    <row r="769" spans="1:74" s="108" customFormat="1" ht="31.5" x14ac:dyDescent="0.2">
      <c r="A769" s="77" t="s">
        <v>1708</v>
      </c>
      <c r="B769" s="75" t="s">
        <v>1709</v>
      </c>
      <c r="C769" s="74">
        <f>+C770</f>
        <v>0</v>
      </c>
      <c r="D769" s="74">
        <f t="shared" ref="D769:N769" si="346">+D770</f>
        <v>0</v>
      </c>
      <c r="E769" s="74">
        <f t="shared" si="346"/>
        <v>0</v>
      </c>
      <c r="F769" s="74">
        <f t="shared" si="346"/>
        <v>0</v>
      </c>
      <c r="G769" s="74">
        <f t="shared" si="346"/>
        <v>6171202231.1300001</v>
      </c>
      <c r="H769" s="74">
        <f t="shared" si="346"/>
        <v>0</v>
      </c>
      <c r="I769" s="74">
        <f t="shared" si="346"/>
        <v>0</v>
      </c>
      <c r="J769" s="74">
        <f t="shared" si="346"/>
        <v>0</v>
      </c>
      <c r="K769" s="74">
        <f t="shared" si="346"/>
        <v>0</v>
      </c>
      <c r="L769" s="74">
        <f t="shared" si="346"/>
        <v>0</v>
      </c>
      <c r="M769" s="74">
        <f t="shared" si="346"/>
        <v>0</v>
      </c>
      <c r="N769" s="74">
        <f t="shared" si="346"/>
        <v>0</v>
      </c>
      <c r="O769" s="233">
        <f t="shared" ref="O769:O816" si="347">SUM(C769:N769)</f>
        <v>6171202231.1300001</v>
      </c>
      <c r="P769" s="105">
        <v>6171202231.1300001</v>
      </c>
      <c r="Q769" s="104">
        <f t="shared" si="321"/>
        <v>0</v>
      </c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</row>
    <row r="770" spans="1:74" s="106" customFormat="1" ht="28.5" x14ac:dyDescent="0.2">
      <c r="A770" s="72" t="s">
        <v>1710</v>
      </c>
      <c r="B770" s="73" t="s">
        <v>1711</v>
      </c>
      <c r="C770" s="124"/>
      <c r="D770" s="124"/>
      <c r="E770" s="124"/>
      <c r="F770" s="124"/>
      <c r="G770" s="124">
        <v>6171202231.1300001</v>
      </c>
      <c r="H770" s="124"/>
      <c r="I770" s="124"/>
      <c r="J770" s="124"/>
      <c r="K770" s="124"/>
      <c r="L770" s="124"/>
      <c r="M770" s="124"/>
      <c r="N770" s="124"/>
      <c r="O770" s="136">
        <f t="shared" si="347"/>
        <v>6171202231.1300001</v>
      </c>
      <c r="P770" s="105">
        <v>6171202231.1300001</v>
      </c>
      <c r="Q770" s="104">
        <f t="shared" si="321"/>
        <v>0</v>
      </c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  <c r="AF770" s="105"/>
      <c r="AG770" s="105"/>
      <c r="AH770" s="105"/>
      <c r="AI770" s="105"/>
      <c r="AJ770" s="105"/>
      <c r="AK770" s="105"/>
      <c r="AL770" s="105"/>
      <c r="AM770" s="105"/>
      <c r="AN770" s="105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</row>
    <row r="771" spans="1:74" s="108" customFormat="1" ht="31.5" x14ac:dyDescent="0.2">
      <c r="A771" s="77" t="s">
        <v>1712</v>
      </c>
      <c r="B771" s="75" t="s">
        <v>1713</v>
      </c>
      <c r="C771" s="74">
        <f>SUM(C772:C816)</f>
        <v>0</v>
      </c>
      <c r="D771" s="74">
        <f t="shared" ref="D771:N771" si="348">SUM(D772:D816)</f>
        <v>0</v>
      </c>
      <c r="E771" s="74">
        <f t="shared" si="348"/>
        <v>0</v>
      </c>
      <c r="F771" s="74">
        <f t="shared" si="348"/>
        <v>0</v>
      </c>
      <c r="G771" s="74">
        <f t="shared" si="348"/>
        <v>71889004628.699997</v>
      </c>
      <c r="H771" s="74">
        <f t="shared" si="348"/>
        <v>0</v>
      </c>
      <c r="I771" s="74">
        <f t="shared" si="348"/>
        <v>0</v>
      </c>
      <c r="J771" s="74">
        <f t="shared" si="348"/>
        <v>0</v>
      </c>
      <c r="K771" s="74">
        <f t="shared" si="348"/>
        <v>0</v>
      </c>
      <c r="L771" s="74">
        <f t="shared" si="348"/>
        <v>0</v>
      </c>
      <c r="M771" s="74">
        <f t="shared" si="348"/>
        <v>0</v>
      </c>
      <c r="N771" s="74">
        <f t="shared" si="348"/>
        <v>0</v>
      </c>
      <c r="O771" s="233">
        <f t="shared" si="347"/>
        <v>71889004628.699997</v>
      </c>
      <c r="P771" s="105">
        <v>71889004628.699997</v>
      </c>
      <c r="Q771" s="104">
        <f t="shared" si="321"/>
        <v>0</v>
      </c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</row>
    <row r="772" spans="1:74" s="106" customFormat="1" ht="71.25" x14ac:dyDescent="0.2">
      <c r="A772" s="72" t="s">
        <v>1714</v>
      </c>
      <c r="B772" s="73" t="s">
        <v>1715</v>
      </c>
      <c r="C772" s="124"/>
      <c r="D772" s="124"/>
      <c r="E772" s="124"/>
      <c r="F772" s="124"/>
      <c r="G772" s="124">
        <v>200</v>
      </c>
      <c r="H772" s="124"/>
      <c r="I772" s="124"/>
      <c r="J772" s="124"/>
      <c r="K772" s="124"/>
      <c r="L772" s="124"/>
      <c r="M772" s="124"/>
      <c r="N772" s="124"/>
      <c r="O772" s="136">
        <f t="shared" si="347"/>
        <v>200</v>
      </c>
      <c r="P772" s="105">
        <v>200</v>
      </c>
      <c r="Q772" s="104">
        <f t="shared" si="321"/>
        <v>0</v>
      </c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  <c r="AF772" s="105"/>
      <c r="AG772" s="105"/>
      <c r="AH772" s="105"/>
      <c r="AI772" s="105"/>
      <c r="AJ772" s="105"/>
      <c r="AK772" s="105"/>
      <c r="AL772" s="105"/>
      <c r="AM772" s="105"/>
      <c r="AN772" s="105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</row>
    <row r="773" spans="1:74" s="106" customFormat="1" ht="71.25" x14ac:dyDescent="0.2">
      <c r="A773" s="72" t="s">
        <v>1716</v>
      </c>
      <c r="B773" s="73" t="s">
        <v>1717</v>
      </c>
      <c r="C773" s="124"/>
      <c r="D773" s="124"/>
      <c r="E773" s="124"/>
      <c r="F773" s="124"/>
      <c r="G773" s="124">
        <v>694330329.00999999</v>
      </c>
      <c r="H773" s="124"/>
      <c r="I773" s="124"/>
      <c r="J773" s="124"/>
      <c r="K773" s="124"/>
      <c r="L773" s="124"/>
      <c r="M773" s="124"/>
      <c r="N773" s="124"/>
      <c r="O773" s="136">
        <f t="shared" si="347"/>
        <v>694330329.00999999</v>
      </c>
      <c r="P773" s="105">
        <v>694330329.00999999</v>
      </c>
      <c r="Q773" s="104">
        <f t="shared" si="321"/>
        <v>0</v>
      </c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  <c r="AF773" s="105"/>
      <c r="AG773" s="105"/>
      <c r="AH773" s="105"/>
      <c r="AI773" s="105"/>
      <c r="AJ773" s="105"/>
      <c r="AK773" s="105"/>
      <c r="AL773" s="105"/>
      <c r="AM773" s="105"/>
      <c r="AN773" s="105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</row>
    <row r="774" spans="1:74" s="106" customFormat="1" ht="71.25" x14ac:dyDescent="0.2">
      <c r="A774" s="72" t="s">
        <v>1718</v>
      </c>
      <c r="B774" s="73" t="s">
        <v>1719</v>
      </c>
      <c r="C774" s="124"/>
      <c r="D774" s="124"/>
      <c r="E774" s="124"/>
      <c r="F774" s="124"/>
      <c r="G774" s="124">
        <v>769948698.44000006</v>
      </c>
      <c r="H774" s="124"/>
      <c r="I774" s="124"/>
      <c r="J774" s="124"/>
      <c r="K774" s="124"/>
      <c r="L774" s="124"/>
      <c r="M774" s="124"/>
      <c r="N774" s="124"/>
      <c r="O774" s="136">
        <f t="shared" si="347"/>
        <v>769948698.44000006</v>
      </c>
      <c r="P774" s="105">
        <v>769948698.44000006</v>
      </c>
      <c r="Q774" s="104">
        <f t="shared" si="321"/>
        <v>0</v>
      </c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  <c r="AF774" s="105"/>
      <c r="AG774" s="105"/>
      <c r="AH774" s="105"/>
      <c r="AI774" s="105"/>
      <c r="AJ774" s="105"/>
      <c r="AK774" s="105"/>
      <c r="AL774" s="105"/>
      <c r="AM774" s="105"/>
      <c r="AN774" s="105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</row>
    <row r="775" spans="1:74" s="106" customFormat="1" ht="71.25" x14ac:dyDescent="0.2">
      <c r="A775" s="72" t="s">
        <v>1720</v>
      </c>
      <c r="B775" s="73" t="s">
        <v>1721</v>
      </c>
      <c r="C775" s="124"/>
      <c r="D775" s="124"/>
      <c r="E775" s="124"/>
      <c r="F775" s="124"/>
      <c r="G775" s="124">
        <v>145723443.94</v>
      </c>
      <c r="H775" s="124"/>
      <c r="I775" s="124"/>
      <c r="J775" s="124"/>
      <c r="K775" s="124"/>
      <c r="L775" s="124"/>
      <c r="M775" s="124"/>
      <c r="N775" s="124"/>
      <c r="O775" s="136">
        <f t="shared" si="347"/>
        <v>145723443.94</v>
      </c>
      <c r="P775" s="105">
        <v>145723443.94</v>
      </c>
      <c r="Q775" s="104">
        <f t="shared" si="321"/>
        <v>0</v>
      </c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  <c r="AF775" s="105"/>
      <c r="AG775" s="105"/>
      <c r="AH775" s="105"/>
      <c r="AI775" s="105"/>
      <c r="AJ775" s="105"/>
      <c r="AK775" s="105"/>
      <c r="AL775" s="105"/>
      <c r="AM775" s="105"/>
      <c r="AN775" s="105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</row>
    <row r="776" spans="1:74" s="106" customFormat="1" ht="28.5" x14ac:dyDescent="0.2">
      <c r="A776" s="72" t="s">
        <v>1722</v>
      </c>
      <c r="B776" s="73" t="s">
        <v>1723</v>
      </c>
      <c r="C776" s="124"/>
      <c r="D776" s="124"/>
      <c r="E776" s="124"/>
      <c r="F776" s="124"/>
      <c r="G776" s="124">
        <v>892239699.46000004</v>
      </c>
      <c r="H776" s="124"/>
      <c r="I776" s="124"/>
      <c r="J776" s="124"/>
      <c r="K776" s="124"/>
      <c r="L776" s="124"/>
      <c r="M776" s="124"/>
      <c r="N776" s="124"/>
      <c r="O776" s="136">
        <f t="shared" si="347"/>
        <v>892239699.46000004</v>
      </c>
      <c r="P776" s="105">
        <v>892239699.46000004</v>
      </c>
      <c r="Q776" s="104">
        <f t="shared" si="321"/>
        <v>0</v>
      </c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  <c r="AF776" s="105"/>
      <c r="AG776" s="105"/>
      <c r="AH776" s="105"/>
      <c r="AI776" s="105"/>
      <c r="AJ776" s="105"/>
      <c r="AK776" s="105"/>
      <c r="AL776" s="105"/>
      <c r="AM776" s="105"/>
      <c r="AN776" s="105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</row>
    <row r="777" spans="1:74" s="106" customFormat="1" ht="57" x14ac:dyDescent="0.2">
      <c r="A777" s="72" t="s">
        <v>1724</v>
      </c>
      <c r="B777" s="73" t="s">
        <v>1725</v>
      </c>
      <c r="C777" s="124"/>
      <c r="D777" s="124"/>
      <c r="E777" s="124"/>
      <c r="F777" s="124"/>
      <c r="G777" s="124">
        <v>126666013</v>
      </c>
      <c r="H777" s="124"/>
      <c r="I777" s="124"/>
      <c r="J777" s="124"/>
      <c r="K777" s="124"/>
      <c r="L777" s="124"/>
      <c r="M777" s="124"/>
      <c r="N777" s="124"/>
      <c r="O777" s="136">
        <f t="shared" si="347"/>
        <v>126666013</v>
      </c>
      <c r="P777" s="105">
        <v>126666013</v>
      </c>
      <c r="Q777" s="104">
        <f t="shared" si="321"/>
        <v>0</v>
      </c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  <c r="AF777" s="105"/>
      <c r="AG777" s="105"/>
      <c r="AH777" s="105"/>
      <c r="AI777" s="105"/>
      <c r="AJ777" s="105"/>
      <c r="AK777" s="105"/>
      <c r="AL777" s="105"/>
      <c r="AM777" s="105"/>
      <c r="AN777" s="105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</row>
    <row r="778" spans="1:74" s="106" customFormat="1" ht="42.75" x14ac:dyDescent="0.2">
      <c r="A778" s="72" t="s">
        <v>1726</v>
      </c>
      <c r="B778" s="73" t="s">
        <v>1727</v>
      </c>
      <c r="C778" s="124"/>
      <c r="D778" s="124"/>
      <c r="E778" s="124"/>
      <c r="F778" s="124"/>
      <c r="G778" s="124">
        <v>3500000</v>
      </c>
      <c r="H778" s="124"/>
      <c r="I778" s="124"/>
      <c r="J778" s="124"/>
      <c r="K778" s="124"/>
      <c r="L778" s="124"/>
      <c r="M778" s="124"/>
      <c r="N778" s="124"/>
      <c r="O778" s="136">
        <f t="shared" si="347"/>
        <v>3500000</v>
      </c>
      <c r="P778" s="105">
        <v>3500000</v>
      </c>
      <c r="Q778" s="104">
        <f t="shared" si="321"/>
        <v>0</v>
      </c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</row>
    <row r="779" spans="1:74" s="106" customFormat="1" ht="57" x14ac:dyDescent="0.2">
      <c r="A779" s="72" t="s">
        <v>1728</v>
      </c>
      <c r="B779" s="73" t="s">
        <v>1729</v>
      </c>
      <c r="C779" s="124"/>
      <c r="D779" s="124"/>
      <c r="E779" s="124"/>
      <c r="F779" s="124"/>
      <c r="G779" s="124">
        <v>21000000</v>
      </c>
      <c r="H779" s="124"/>
      <c r="I779" s="124"/>
      <c r="J779" s="124"/>
      <c r="K779" s="124"/>
      <c r="L779" s="124"/>
      <c r="M779" s="124"/>
      <c r="N779" s="124"/>
      <c r="O779" s="136">
        <f t="shared" si="347"/>
        <v>21000000</v>
      </c>
      <c r="P779" s="105">
        <v>21000000</v>
      </c>
      <c r="Q779" s="104">
        <f t="shared" ref="Q779:Q816" si="349">+P779-O779</f>
        <v>0</v>
      </c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  <c r="AF779" s="105"/>
      <c r="AG779" s="105"/>
      <c r="AH779" s="105"/>
      <c r="AI779" s="105"/>
      <c r="AJ779" s="105"/>
      <c r="AK779" s="105"/>
      <c r="AL779" s="105"/>
      <c r="AM779" s="105"/>
      <c r="AN779" s="105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</row>
    <row r="780" spans="1:74" s="106" customFormat="1" ht="28.5" x14ac:dyDescent="0.2">
      <c r="A780" s="72" t="s">
        <v>1730</v>
      </c>
      <c r="B780" s="73" t="s">
        <v>1731</v>
      </c>
      <c r="C780" s="124"/>
      <c r="D780" s="124"/>
      <c r="E780" s="124"/>
      <c r="F780" s="124"/>
      <c r="G780" s="124">
        <v>1000000000</v>
      </c>
      <c r="H780" s="124"/>
      <c r="I780" s="124"/>
      <c r="J780" s="124"/>
      <c r="K780" s="124"/>
      <c r="L780" s="124"/>
      <c r="M780" s="124"/>
      <c r="N780" s="124"/>
      <c r="O780" s="136">
        <f t="shared" si="347"/>
        <v>1000000000</v>
      </c>
      <c r="P780" s="105">
        <v>1000000000</v>
      </c>
      <c r="Q780" s="104">
        <f t="shared" si="349"/>
        <v>0</v>
      </c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</row>
    <row r="781" spans="1:74" s="106" customFormat="1" ht="57" x14ac:dyDescent="0.2">
      <c r="A781" s="72" t="s">
        <v>1732</v>
      </c>
      <c r="B781" s="73" t="s">
        <v>1733</v>
      </c>
      <c r="C781" s="124"/>
      <c r="D781" s="124"/>
      <c r="E781" s="124"/>
      <c r="F781" s="124"/>
      <c r="G781" s="124">
        <v>683484219.72000003</v>
      </c>
      <c r="H781" s="124"/>
      <c r="I781" s="124"/>
      <c r="J781" s="124"/>
      <c r="K781" s="124"/>
      <c r="L781" s="124"/>
      <c r="M781" s="124"/>
      <c r="N781" s="124"/>
      <c r="O781" s="136">
        <f t="shared" si="347"/>
        <v>683484219.72000003</v>
      </c>
      <c r="P781" s="105">
        <v>683484219.72000003</v>
      </c>
      <c r="Q781" s="104">
        <f t="shared" si="349"/>
        <v>0</v>
      </c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  <c r="AF781" s="105"/>
      <c r="AG781" s="105"/>
      <c r="AH781" s="105"/>
      <c r="AI781" s="105"/>
      <c r="AJ781" s="105"/>
      <c r="AK781" s="105"/>
      <c r="AL781" s="105"/>
      <c r="AM781" s="105"/>
      <c r="AN781" s="105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</row>
    <row r="782" spans="1:74" s="106" customFormat="1" ht="42.75" x14ac:dyDescent="0.2">
      <c r="A782" s="72" t="s">
        <v>1734</v>
      </c>
      <c r="B782" s="73" t="s">
        <v>1735</v>
      </c>
      <c r="C782" s="124"/>
      <c r="D782" s="124"/>
      <c r="E782" s="124"/>
      <c r="F782" s="124"/>
      <c r="G782" s="124">
        <v>472953841.06</v>
      </c>
      <c r="H782" s="124"/>
      <c r="I782" s="124"/>
      <c r="J782" s="124"/>
      <c r="K782" s="124"/>
      <c r="L782" s="124"/>
      <c r="M782" s="124"/>
      <c r="N782" s="124"/>
      <c r="O782" s="136">
        <f t="shared" si="347"/>
        <v>472953841.06</v>
      </c>
      <c r="P782" s="105">
        <v>472953841.06</v>
      </c>
      <c r="Q782" s="104">
        <f t="shared" si="349"/>
        <v>0</v>
      </c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</row>
    <row r="783" spans="1:74" s="106" customFormat="1" ht="71.25" x14ac:dyDescent="0.2">
      <c r="A783" s="72" t="s">
        <v>1736</v>
      </c>
      <c r="B783" s="73" t="s">
        <v>1737</v>
      </c>
      <c r="C783" s="124"/>
      <c r="D783" s="124"/>
      <c r="E783" s="124"/>
      <c r="F783" s="124"/>
      <c r="G783" s="124">
        <v>1662330762.3800001</v>
      </c>
      <c r="H783" s="124"/>
      <c r="I783" s="124"/>
      <c r="J783" s="124"/>
      <c r="K783" s="124"/>
      <c r="L783" s="124"/>
      <c r="M783" s="124"/>
      <c r="N783" s="124"/>
      <c r="O783" s="136">
        <f t="shared" si="347"/>
        <v>1662330762.3800001</v>
      </c>
      <c r="P783" s="105">
        <v>1662330762.3800001</v>
      </c>
      <c r="Q783" s="104">
        <f t="shared" si="349"/>
        <v>0</v>
      </c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  <c r="AF783" s="105"/>
      <c r="AG783" s="105"/>
      <c r="AH783" s="105"/>
      <c r="AI783" s="105"/>
      <c r="AJ783" s="105"/>
      <c r="AK783" s="105"/>
      <c r="AL783" s="105"/>
      <c r="AM783" s="105"/>
      <c r="AN783" s="105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</row>
    <row r="784" spans="1:74" s="106" customFormat="1" ht="71.25" x14ac:dyDescent="0.2">
      <c r="A784" s="72" t="s">
        <v>1738</v>
      </c>
      <c r="B784" s="73" t="s">
        <v>1739</v>
      </c>
      <c r="C784" s="124"/>
      <c r="D784" s="124"/>
      <c r="E784" s="124"/>
      <c r="F784" s="124"/>
      <c r="G784" s="124">
        <v>815428711.37</v>
      </c>
      <c r="H784" s="124"/>
      <c r="I784" s="124"/>
      <c r="J784" s="124"/>
      <c r="K784" s="124"/>
      <c r="L784" s="124"/>
      <c r="M784" s="124"/>
      <c r="N784" s="124"/>
      <c r="O784" s="136">
        <f t="shared" si="347"/>
        <v>815428711.37</v>
      </c>
      <c r="P784" s="105">
        <v>815428711.37</v>
      </c>
      <c r="Q784" s="104">
        <f t="shared" si="349"/>
        <v>0</v>
      </c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</row>
    <row r="785" spans="1:74" s="106" customFormat="1" ht="28.5" x14ac:dyDescent="0.2">
      <c r="A785" s="72" t="s">
        <v>1740</v>
      </c>
      <c r="B785" s="73" t="s">
        <v>1741</v>
      </c>
      <c r="C785" s="124"/>
      <c r="D785" s="124"/>
      <c r="E785" s="124"/>
      <c r="F785" s="124"/>
      <c r="G785" s="124">
        <v>920627571.64999998</v>
      </c>
      <c r="H785" s="124"/>
      <c r="I785" s="124"/>
      <c r="J785" s="124"/>
      <c r="K785" s="124"/>
      <c r="L785" s="124"/>
      <c r="M785" s="124"/>
      <c r="N785" s="124"/>
      <c r="O785" s="136">
        <f t="shared" si="347"/>
        <v>920627571.64999998</v>
      </c>
      <c r="P785" s="105">
        <v>920627571.64999998</v>
      </c>
      <c r="Q785" s="104">
        <f t="shared" si="349"/>
        <v>0</v>
      </c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  <c r="AF785" s="105"/>
      <c r="AG785" s="105"/>
      <c r="AH785" s="105"/>
      <c r="AI785" s="105"/>
      <c r="AJ785" s="105"/>
      <c r="AK785" s="105"/>
      <c r="AL785" s="105"/>
      <c r="AM785" s="105"/>
      <c r="AN785" s="105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</row>
    <row r="786" spans="1:74" s="106" customFormat="1" ht="57" x14ac:dyDescent="0.2">
      <c r="A786" s="72" t="s">
        <v>1742</v>
      </c>
      <c r="B786" s="73" t="s">
        <v>1743</v>
      </c>
      <c r="C786" s="124"/>
      <c r="D786" s="124"/>
      <c r="E786" s="124"/>
      <c r="F786" s="124"/>
      <c r="G786" s="124">
        <v>1022061153.3200001</v>
      </c>
      <c r="H786" s="124"/>
      <c r="I786" s="124"/>
      <c r="J786" s="124"/>
      <c r="K786" s="124"/>
      <c r="L786" s="124"/>
      <c r="M786" s="124"/>
      <c r="N786" s="124"/>
      <c r="O786" s="136">
        <f t="shared" si="347"/>
        <v>1022061153.3200001</v>
      </c>
      <c r="P786" s="105">
        <v>1022061153.3200001</v>
      </c>
      <c r="Q786" s="104">
        <f t="shared" si="349"/>
        <v>0</v>
      </c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</row>
    <row r="787" spans="1:74" s="106" customFormat="1" ht="42.75" x14ac:dyDescent="0.2">
      <c r="A787" s="72" t="s">
        <v>1744</v>
      </c>
      <c r="B787" s="73" t="s">
        <v>1745</v>
      </c>
      <c r="C787" s="124"/>
      <c r="D787" s="124"/>
      <c r="E787" s="124"/>
      <c r="F787" s="124"/>
      <c r="G787" s="124">
        <v>383136341.55000001</v>
      </c>
      <c r="H787" s="124"/>
      <c r="I787" s="124"/>
      <c r="J787" s="124"/>
      <c r="K787" s="124"/>
      <c r="L787" s="124"/>
      <c r="M787" s="124"/>
      <c r="N787" s="124"/>
      <c r="O787" s="136">
        <f t="shared" si="347"/>
        <v>383136341.55000001</v>
      </c>
      <c r="P787" s="105">
        <v>383136341.55000001</v>
      </c>
      <c r="Q787" s="104">
        <f t="shared" si="349"/>
        <v>0</v>
      </c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  <c r="AF787" s="105"/>
      <c r="AG787" s="105"/>
      <c r="AH787" s="105"/>
      <c r="AI787" s="105"/>
      <c r="AJ787" s="105"/>
      <c r="AK787" s="105"/>
      <c r="AL787" s="105"/>
      <c r="AM787" s="105"/>
      <c r="AN787" s="105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</row>
    <row r="788" spans="1:74" s="106" customFormat="1" ht="57" x14ac:dyDescent="0.2">
      <c r="A788" s="72" t="s">
        <v>1746</v>
      </c>
      <c r="B788" s="73" t="s">
        <v>1747</v>
      </c>
      <c r="C788" s="124"/>
      <c r="D788" s="124"/>
      <c r="E788" s="124"/>
      <c r="F788" s="124"/>
      <c r="G788" s="124">
        <v>300000000</v>
      </c>
      <c r="H788" s="124"/>
      <c r="I788" s="124"/>
      <c r="J788" s="124"/>
      <c r="K788" s="124"/>
      <c r="L788" s="124"/>
      <c r="M788" s="124"/>
      <c r="N788" s="124"/>
      <c r="O788" s="136">
        <f t="shared" si="347"/>
        <v>300000000</v>
      </c>
      <c r="P788" s="107">
        <v>300000000</v>
      </c>
      <c r="Q788" s="104">
        <f t="shared" si="349"/>
        <v>0</v>
      </c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</row>
    <row r="789" spans="1:74" s="106" customFormat="1" ht="57" x14ac:dyDescent="0.2">
      <c r="A789" s="72" t="s">
        <v>1748</v>
      </c>
      <c r="B789" s="73" t="s">
        <v>1749</v>
      </c>
      <c r="C789" s="124"/>
      <c r="D789" s="124"/>
      <c r="E789" s="124"/>
      <c r="F789" s="124"/>
      <c r="G789" s="124">
        <v>848374298</v>
      </c>
      <c r="H789" s="124"/>
      <c r="I789" s="124"/>
      <c r="J789" s="124"/>
      <c r="K789" s="124"/>
      <c r="L789" s="124"/>
      <c r="M789" s="124"/>
      <c r="N789" s="124"/>
      <c r="O789" s="136">
        <f t="shared" si="347"/>
        <v>848374298</v>
      </c>
      <c r="P789" s="105">
        <v>848374298</v>
      </c>
      <c r="Q789" s="104">
        <f t="shared" si="349"/>
        <v>0</v>
      </c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</row>
    <row r="790" spans="1:74" s="106" customFormat="1" ht="57" x14ac:dyDescent="0.2">
      <c r="A790" s="72" t="s">
        <v>1750</v>
      </c>
      <c r="B790" s="73" t="s">
        <v>1751</v>
      </c>
      <c r="C790" s="124"/>
      <c r="D790" s="124"/>
      <c r="E790" s="124"/>
      <c r="F790" s="124"/>
      <c r="G790" s="124">
        <v>1062972259.02</v>
      </c>
      <c r="H790" s="124"/>
      <c r="I790" s="124"/>
      <c r="J790" s="124"/>
      <c r="K790" s="124"/>
      <c r="L790" s="124"/>
      <c r="M790" s="124"/>
      <c r="N790" s="124"/>
      <c r="O790" s="136">
        <f t="shared" si="347"/>
        <v>1062972259.02</v>
      </c>
      <c r="P790" s="105">
        <v>1062972259.02</v>
      </c>
      <c r="Q790" s="104">
        <f t="shared" si="349"/>
        <v>0</v>
      </c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</row>
    <row r="791" spans="1:74" s="106" customFormat="1" ht="57" x14ac:dyDescent="0.2">
      <c r="A791" s="72" t="s">
        <v>1752</v>
      </c>
      <c r="B791" s="73" t="s">
        <v>1753</v>
      </c>
      <c r="C791" s="124"/>
      <c r="D791" s="124"/>
      <c r="E791" s="124"/>
      <c r="F791" s="124"/>
      <c r="G791" s="124">
        <v>3983440755.0700002</v>
      </c>
      <c r="H791" s="124"/>
      <c r="I791" s="124"/>
      <c r="J791" s="124"/>
      <c r="K791" s="124"/>
      <c r="L791" s="124"/>
      <c r="M791" s="124"/>
      <c r="N791" s="124"/>
      <c r="O791" s="136">
        <f t="shared" si="347"/>
        <v>3983440755.0700002</v>
      </c>
      <c r="P791" s="65">
        <v>3983440755.0700002</v>
      </c>
      <c r="Q791" s="104">
        <f t="shared" si="349"/>
        <v>0</v>
      </c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  <c r="AF791" s="105"/>
      <c r="AG791" s="105"/>
      <c r="AH791" s="105"/>
      <c r="AI791" s="105"/>
      <c r="AJ791" s="105"/>
      <c r="AK791" s="105"/>
      <c r="AL791" s="105"/>
      <c r="AM791" s="105"/>
      <c r="AN791" s="105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</row>
    <row r="792" spans="1:74" s="106" customFormat="1" ht="57" x14ac:dyDescent="0.2">
      <c r="A792" s="72" t="s">
        <v>1754</v>
      </c>
      <c r="B792" s="73" t="s">
        <v>1755</v>
      </c>
      <c r="C792" s="124"/>
      <c r="D792" s="124"/>
      <c r="E792" s="124"/>
      <c r="F792" s="124"/>
      <c r="G792" s="124">
        <v>3146700090.6999998</v>
      </c>
      <c r="H792" s="124"/>
      <c r="I792" s="124"/>
      <c r="J792" s="124"/>
      <c r="K792" s="124"/>
      <c r="L792" s="124"/>
      <c r="M792" s="124"/>
      <c r="N792" s="124"/>
      <c r="O792" s="136">
        <f t="shared" si="347"/>
        <v>3146700090.6999998</v>
      </c>
      <c r="P792" s="65">
        <v>3146700090.6999998</v>
      </c>
      <c r="Q792" s="104">
        <f t="shared" si="349"/>
        <v>0</v>
      </c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</row>
    <row r="793" spans="1:74" s="106" customFormat="1" ht="57" x14ac:dyDescent="0.2">
      <c r="A793" s="72" t="s">
        <v>1756</v>
      </c>
      <c r="B793" s="73" t="s">
        <v>1757</v>
      </c>
      <c r="C793" s="124"/>
      <c r="D793" s="124"/>
      <c r="E793" s="124"/>
      <c r="F793" s="124"/>
      <c r="G793" s="124">
        <v>2369302779</v>
      </c>
      <c r="H793" s="124"/>
      <c r="I793" s="124"/>
      <c r="J793" s="124"/>
      <c r="K793" s="124"/>
      <c r="L793" s="124"/>
      <c r="M793" s="124"/>
      <c r="N793" s="124"/>
      <c r="O793" s="136">
        <f t="shared" si="347"/>
        <v>2369302779</v>
      </c>
      <c r="P793" s="65">
        <v>2369302779</v>
      </c>
      <c r="Q793" s="104">
        <f t="shared" si="349"/>
        <v>0</v>
      </c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  <c r="AF793" s="105"/>
      <c r="AG793" s="105"/>
      <c r="AH793" s="105"/>
      <c r="AI793" s="105"/>
      <c r="AJ793" s="105"/>
      <c r="AK793" s="105"/>
      <c r="AL793" s="105"/>
      <c r="AM793" s="105"/>
      <c r="AN793" s="105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</row>
    <row r="794" spans="1:74" s="106" customFormat="1" ht="57" x14ac:dyDescent="0.2">
      <c r="A794" s="72" t="s">
        <v>1758</v>
      </c>
      <c r="B794" s="73" t="s">
        <v>1759</v>
      </c>
      <c r="C794" s="124"/>
      <c r="D794" s="124"/>
      <c r="E794" s="124"/>
      <c r="F794" s="124"/>
      <c r="G794" s="124">
        <v>576779027.73000002</v>
      </c>
      <c r="H794" s="124"/>
      <c r="I794" s="124"/>
      <c r="J794" s="124"/>
      <c r="K794" s="124"/>
      <c r="L794" s="124"/>
      <c r="M794" s="124"/>
      <c r="N794" s="124"/>
      <c r="O794" s="136">
        <f t="shared" si="347"/>
        <v>576779027.73000002</v>
      </c>
      <c r="P794" s="65">
        <v>576779027.73000002</v>
      </c>
      <c r="Q794" s="104">
        <f t="shared" si="349"/>
        <v>0</v>
      </c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  <c r="AF794" s="105"/>
      <c r="AG794" s="105"/>
      <c r="AH794" s="105"/>
      <c r="AI794" s="105"/>
      <c r="AJ794" s="105"/>
      <c r="AK794" s="105"/>
      <c r="AL794" s="105"/>
      <c r="AM794" s="105"/>
      <c r="AN794" s="105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</row>
    <row r="795" spans="1:74" s="106" customFormat="1" ht="57" x14ac:dyDescent="0.2">
      <c r="A795" s="72" t="s">
        <v>1760</v>
      </c>
      <c r="B795" s="73" t="s">
        <v>1761</v>
      </c>
      <c r="C795" s="124"/>
      <c r="D795" s="124"/>
      <c r="E795" s="124"/>
      <c r="F795" s="124"/>
      <c r="G795" s="124">
        <v>108000000</v>
      </c>
      <c r="H795" s="124"/>
      <c r="I795" s="124"/>
      <c r="J795" s="124"/>
      <c r="K795" s="124"/>
      <c r="L795" s="124"/>
      <c r="M795" s="124"/>
      <c r="N795" s="124"/>
      <c r="O795" s="136">
        <f t="shared" si="347"/>
        <v>108000000</v>
      </c>
      <c r="P795" s="65">
        <v>108000000</v>
      </c>
      <c r="Q795" s="104">
        <f t="shared" si="349"/>
        <v>0</v>
      </c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  <c r="AF795" s="105"/>
      <c r="AG795" s="105"/>
      <c r="AH795" s="105"/>
      <c r="AI795" s="105"/>
      <c r="AJ795" s="105"/>
      <c r="AK795" s="105"/>
      <c r="AL795" s="105"/>
      <c r="AM795" s="105"/>
      <c r="AN795" s="105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</row>
    <row r="796" spans="1:74" s="106" customFormat="1" ht="57" x14ac:dyDescent="0.2">
      <c r="A796" s="72" t="s">
        <v>1762</v>
      </c>
      <c r="B796" s="73" t="s">
        <v>1763</v>
      </c>
      <c r="C796" s="124"/>
      <c r="D796" s="124"/>
      <c r="E796" s="124"/>
      <c r="F796" s="124"/>
      <c r="G796" s="124">
        <v>896854534.5</v>
      </c>
      <c r="H796" s="124"/>
      <c r="I796" s="124"/>
      <c r="J796" s="124"/>
      <c r="K796" s="124"/>
      <c r="L796" s="124"/>
      <c r="M796" s="124"/>
      <c r="N796" s="124"/>
      <c r="O796" s="136">
        <f t="shared" si="347"/>
        <v>896854534.5</v>
      </c>
      <c r="P796" s="65">
        <v>896854534.5</v>
      </c>
      <c r="Q796" s="104">
        <f t="shared" si="349"/>
        <v>0</v>
      </c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  <c r="AF796" s="105"/>
      <c r="AG796" s="105"/>
      <c r="AH796" s="105"/>
      <c r="AI796" s="105"/>
      <c r="AJ796" s="105"/>
      <c r="AK796" s="105"/>
      <c r="AL796" s="105"/>
      <c r="AM796" s="105"/>
      <c r="AN796" s="105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</row>
    <row r="797" spans="1:74" s="106" customFormat="1" ht="71.25" x14ac:dyDescent="0.2">
      <c r="A797" s="72" t="s">
        <v>1764</v>
      </c>
      <c r="B797" s="73" t="s">
        <v>1765</v>
      </c>
      <c r="C797" s="124"/>
      <c r="D797" s="124"/>
      <c r="E797" s="124"/>
      <c r="F797" s="124"/>
      <c r="G797" s="124">
        <v>3884758760.5799999</v>
      </c>
      <c r="H797" s="124"/>
      <c r="I797" s="124"/>
      <c r="J797" s="124"/>
      <c r="K797" s="124"/>
      <c r="L797" s="124"/>
      <c r="M797" s="124"/>
      <c r="N797" s="124"/>
      <c r="O797" s="136">
        <f t="shared" si="347"/>
        <v>3884758760.5799999</v>
      </c>
      <c r="P797" s="65">
        <v>3884758760.5799999</v>
      </c>
      <c r="Q797" s="104">
        <f t="shared" si="349"/>
        <v>0</v>
      </c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  <c r="AF797" s="105"/>
      <c r="AG797" s="105"/>
      <c r="AH797" s="105"/>
      <c r="AI797" s="105"/>
      <c r="AJ797" s="105"/>
      <c r="AK797" s="105"/>
      <c r="AL797" s="105"/>
      <c r="AM797" s="105"/>
      <c r="AN797" s="105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</row>
    <row r="798" spans="1:74" s="106" customFormat="1" ht="57" x14ac:dyDescent="0.2">
      <c r="A798" s="72" t="s">
        <v>1766</v>
      </c>
      <c r="B798" s="73" t="s">
        <v>1767</v>
      </c>
      <c r="C798" s="124"/>
      <c r="D798" s="124"/>
      <c r="E798" s="124"/>
      <c r="F798" s="124"/>
      <c r="G798" s="124">
        <v>386354618.76999998</v>
      </c>
      <c r="H798" s="124"/>
      <c r="I798" s="124"/>
      <c r="J798" s="124"/>
      <c r="K798" s="124"/>
      <c r="L798" s="124"/>
      <c r="M798" s="124"/>
      <c r="N798" s="124"/>
      <c r="O798" s="136">
        <f t="shared" si="347"/>
        <v>386354618.76999998</v>
      </c>
      <c r="P798" s="65">
        <v>386354618.76999998</v>
      </c>
      <c r="Q798" s="104">
        <f t="shared" si="349"/>
        <v>0</v>
      </c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</row>
    <row r="799" spans="1:74" s="106" customFormat="1" ht="57" x14ac:dyDescent="0.2">
      <c r="A799" s="72" t="s">
        <v>1768</v>
      </c>
      <c r="B799" s="73" t="s">
        <v>1769</v>
      </c>
      <c r="C799" s="124"/>
      <c r="D799" s="124"/>
      <c r="E799" s="124"/>
      <c r="F799" s="124"/>
      <c r="G799" s="124">
        <v>2626193816.73</v>
      </c>
      <c r="H799" s="124"/>
      <c r="I799" s="124"/>
      <c r="J799" s="124"/>
      <c r="K799" s="124"/>
      <c r="L799" s="124"/>
      <c r="M799" s="124"/>
      <c r="N799" s="124"/>
      <c r="O799" s="136">
        <f t="shared" si="347"/>
        <v>2626193816.73</v>
      </c>
      <c r="P799" s="65">
        <v>2626193816.73</v>
      </c>
      <c r="Q799" s="104">
        <f t="shared" si="349"/>
        <v>0</v>
      </c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</row>
    <row r="800" spans="1:74" s="106" customFormat="1" ht="57" x14ac:dyDescent="0.2">
      <c r="A800" s="72" t="s">
        <v>1770</v>
      </c>
      <c r="B800" s="73" t="s">
        <v>1771</v>
      </c>
      <c r="C800" s="124"/>
      <c r="D800" s="124"/>
      <c r="E800" s="124"/>
      <c r="F800" s="124"/>
      <c r="G800" s="124">
        <v>60263011.100000001</v>
      </c>
      <c r="H800" s="124"/>
      <c r="I800" s="124"/>
      <c r="J800" s="124"/>
      <c r="K800" s="124"/>
      <c r="L800" s="124"/>
      <c r="M800" s="124"/>
      <c r="N800" s="124"/>
      <c r="O800" s="136">
        <f t="shared" si="347"/>
        <v>60263011.100000001</v>
      </c>
      <c r="P800" s="65">
        <v>60263011.100000001</v>
      </c>
      <c r="Q800" s="104">
        <f t="shared" si="349"/>
        <v>0</v>
      </c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  <c r="AF800" s="105"/>
      <c r="AG800" s="105"/>
      <c r="AH800" s="105"/>
      <c r="AI800" s="105"/>
      <c r="AJ800" s="105"/>
      <c r="AK800" s="105"/>
      <c r="AL800" s="105"/>
      <c r="AM800" s="105"/>
      <c r="AN800" s="105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</row>
    <row r="801" spans="1:74" s="106" customFormat="1" ht="57" x14ac:dyDescent="0.2">
      <c r="A801" s="72" t="s">
        <v>1772</v>
      </c>
      <c r="B801" s="73" t="s">
        <v>1773</v>
      </c>
      <c r="C801" s="124"/>
      <c r="D801" s="124"/>
      <c r="E801" s="124"/>
      <c r="F801" s="124"/>
      <c r="G801" s="124">
        <v>454531370</v>
      </c>
      <c r="H801" s="124"/>
      <c r="I801" s="124"/>
      <c r="J801" s="124"/>
      <c r="K801" s="124"/>
      <c r="L801" s="124"/>
      <c r="M801" s="124"/>
      <c r="N801" s="124"/>
      <c r="O801" s="136">
        <f t="shared" si="347"/>
        <v>454531370</v>
      </c>
      <c r="P801" s="65">
        <v>454531370</v>
      </c>
      <c r="Q801" s="104">
        <f t="shared" si="349"/>
        <v>0</v>
      </c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  <c r="AF801" s="105"/>
      <c r="AG801" s="105"/>
      <c r="AH801" s="105"/>
      <c r="AI801" s="105"/>
      <c r="AJ801" s="105"/>
      <c r="AK801" s="105"/>
      <c r="AL801" s="105"/>
      <c r="AM801" s="105"/>
      <c r="AN801" s="105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</row>
    <row r="802" spans="1:74" s="106" customFormat="1" ht="57" x14ac:dyDescent="0.2">
      <c r="A802" s="72" t="s">
        <v>1774</v>
      </c>
      <c r="B802" s="73" t="s">
        <v>1775</v>
      </c>
      <c r="C802" s="124"/>
      <c r="D802" s="124"/>
      <c r="E802" s="124"/>
      <c r="F802" s="124"/>
      <c r="G802" s="124">
        <v>881070078.24000001</v>
      </c>
      <c r="H802" s="124"/>
      <c r="I802" s="124"/>
      <c r="J802" s="124"/>
      <c r="K802" s="124"/>
      <c r="L802" s="124"/>
      <c r="M802" s="124"/>
      <c r="N802" s="124"/>
      <c r="O802" s="136">
        <f t="shared" si="347"/>
        <v>881070078.24000001</v>
      </c>
      <c r="P802" s="65">
        <v>881070078.24000001</v>
      </c>
      <c r="Q802" s="104">
        <f t="shared" si="349"/>
        <v>0</v>
      </c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  <c r="AF802" s="105"/>
      <c r="AG802" s="105"/>
      <c r="AH802" s="105"/>
      <c r="AI802" s="105"/>
      <c r="AJ802" s="105"/>
      <c r="AK802" s="105"/>
      <c r="AL802" s="105"/>
      <c r="AM802" s="105"/>
      <c r="AN802" s="105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</row>
    <row r="803" spans="1:74" s="106" customFormat="1" ht="57" x14ac:dyDescent="0.2">
      <c r="A803" s="72" t="s">
        <v>1776</v>
      </c>
      <c r="B803" s="73" t="s">
        <v>1777</v>
      </c>
      <c r="C803" s="124"/>
      <c r="D803" s="124"/>
      <c r="E803" s="124"/>
      <c r="F803" s="124"/>
      <c r="G803" s="124">
        <v>361244499.5</v>
      </c>
      <c r="H803" s="124"/>
      <c r="I803" s="124"/>
      <c r="J803" s="124"/>
      <c r="K803" s="124"/>
      <c r="L803" s="124"/>
      <c r="M803" s="124"/>
      <c r="N803" s="124"/>
      <c r="O803" s="136">
        <f t="shared" si="347"/>
        <v>361244499.5</v>
      </c>
      <c r="P803" s="65">
        <v>361244499.5</v>
      </c>
      <c r="Q803" s="104">
        <f t="shared" si="349"/>
        <v>0</v>
      </c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  <c r="AF803" s="105"/>
      <c r="AG803" s="105"/>
      <c r="AH803" s="105"/>
      <c r="AI803" s="105"/>
      <c r="AJ803" s="105"/>
      <c r="AK803" s="105"/>
      <c r="AL803" s="105"/>
      <c r="AM803" s="105"/>
      <c r="AN803" s="105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</row>
    <row r="804" spans="1:74" s="106" customFormat="1" ht="57" x14ac:dyDescent="0.2">
      <c r="A804" s="72" t="s">
        <v>1778</v>
      </c>
      <c r="B804" s="73" t="s">
        <v>1779</v>
      </c>
      <c r="C804" s="124"/>
      <c r="D804" s="124"/>
      <c r="E804" s="124"/>
      <c r="F804" s="124"/>
      <c r="G804" s="124">
        <v>245208094.47999999</v>
      </c>
      <c r="H804" s="124"/>
      <c r="I804" s="124"/>
      <c r="J804" s="124"/>
      <c r="K804" s="124"/>
      <c r="L804" s="124"/>
      <c r="M804" s="124"/>
      <c r="N804" s="124"/>
      <c r="O804" s="136">
        <f t="shared" si="347"/>
        <v>245208094.47999999</v>
      </c>
      <c r="P804" s="65">
        <v>245208094.47999999</v>
      </c>
      <c r="Q804" s="104">
        <f t="shared" si="349"/>
        <v>0</v>
      </c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  <c r="AF804" s="105"/>
      <c r="AG804" s="105"/>
      <c r="AH804" s="105"/>
      <c r="AI804" s="105"/>
      <c r="AJ804" s="105"/>
      <c r="AK804" s="105"/>
      <c r="AL804" s="105"/>
      <c r="AM804" s="105"/>
      <c r="AN804" s="105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</row>
    <row r="805" spans="1:74" s="106" customFormat="1" ht="57" x14ac:dyDescent="0.2">
      <c r="A805" s="72" t="s">
        <v>1780</v>
      </c>
      <c r="B805" s="73" t="s">
        <v>1781</v>
      </c>
      <c r="C805" s="124"/>
      <c r="D805" s="124"/>
      <c r="E805" s="124"/>
      <c r="F805" s="124"/>
      <c r="G805" s="124">
        <v>126838929.55</v>
      </c>
      <c r="H805" s="124"/>
      <c r="I805" s="124"/>
      <c r="J805" s="124"/>
      <c r="K805" s="124"/>
      <c r="L805" s="124"/>
      <c r="M805" s="124"/>
      <c r="N805" s="124"/>
      <c r="O805" s="136">
        <f t="shared" si="347"/>
        <v>126838929.55</v>
      </c>
      <c r="P805" s="65">
        <v>126838929.55</v>
      </c>
      <c r="Q805" s="104">
        <f t="shared" si="349"/>
        <v>0</v>
      </c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</row>
    <row r="806" spans="1:74" s="106" customFormat="1" ht="57" x14ac:dyDescent="0.2">
      <c r="A806" s="72" t="s">
        <v>1782</v>
      </c>
      <c r="B806" s="73" t="s">
        <v>1783</v>
      </c>
      <c r="C806" s="124"/>
      <c r="D806" s="124"/>
      <c r="E806" s="124"/>
      <c r="F806" s="124"/>
      <c r="G806" s="124">
        <v>1654927335.5699999</v>
      </c>
      <c r="H806" s="124"/>
      <c r="I806" s="124"/>
      <c r="J806" s="124"/>
      <c r="K806" s="124"/>
      <c r="L806" s="124"/>
      <c r="M806" s="124"/>
      <c r="N806" s="124"/>
      <c r="O806" s="136">
        <f t="shared" si="347"/>
        <v>1654927335.5699999</v>
      </c>
      <c r="P806" s="65">
        <v>1654927335.5699999</v>
      </c>
      <c r="Q806" s="104">
        <f t="shared" si="349"/>
        <v>0</v>
      </c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  <c r="AF806" s="105"/>
      <c r="AG806" s="105"/>
      <c r="AH806" s="105"/>
      <c r="AI806" s="105"/>
      <c r="AJ806" s="105"/>
      <c r="AK806" s="105"/>
      <c r="AL806" s="105"/>
      <c r="AM806" s="105"/>
      <c r="AN806" s="105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</row>
    <row r="807" spans="1:74" s="106" customFormat="1" ht="57" x14ac:dyDescent="0.2">
      <c r="A807" s="72" t="s">
        <v>1784</v>
      </c>
      <c r="B807" s="73" t="s">
        <v>1785</v>
      </c>
      <c r="C807" s="124"/>
      <c r="D807" s="124"/>
      <c r="E807" s="124"/>
      <c r="F807" s="124"/>
      <c r="G807" s="124">
        <v>836739879.01999998</v>
      </c>
      <c r="H807" s="124"/>
      <c r="I807" s="124"/>
      <c r="J807" s="124"/>
      <c r="K807" s="124"/>
      <c r="L807" s="124"/>
      <c r="M807" s="124"/>
      <c r="N807" s="124"/>
      <c r="O807" s="136">
        <f t="shared" si="347"/>
        <v>836739879.01999998</v>
      </c>
      <c r="P807" s="65">
        <v>836739879.01999998</v>
      </c>
      <c r="Q807" s="104">
        <f t="shared" si="349"/>
        <v>0</v>
      </c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  <c r="AF807" s="105"/>
      <c r="AG807" s="105"/>
      <c r="AH807" s="105"/>
      <c r="AI807" s="105"/>
      <c r="AJ807" s="105"/>
      <c r="AK807" s="105"/>
      <c r="AL807" s="105"/>
      <c r="AM807" s="105"/>
      <c r="AN807" s="105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</row>
    <row r="808" spans="1:74" s="106" customFormat="1" ht="42.75" x14ac:dyDescent="0.2">
      <c r="A808" s="72" t="s">
        <v>1786</v>
      </c>
      <c r="B808" s="73" t="s">
        <v>1787</v>
      </c>
      <c r="C808" s="124"/>
      <c r="D808" s="124"/>
      <c r="E808" s="124"/>
      <c r="F808" s="124"/>
      <c r="G808" s="124">
        <v>756285670.79999995</v>
      </c>
      <c r="H808" s="124"/>
      <c r="I808" s="124"/>
      <c r="J808" s="124"/>
      <c r="K808" s="124"/>
      <c r="L808" s="124"/>
      <c r="M808" s="124"/>
      <c r="N808" s="124"/>
      <c r="O808" s="136">
        <f t="shared" si="347"/>
        <v>756285670.79999995</v>
      </c>
      <c r="P808" s="65">
        <v>756285670.79999995</v>
      </c>
      <c r="Q808" s="104">
        <f t="shared" si="349"/>
        <v>0</v>
      </c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  <c r="AF808" s="105"/>
      <c r="AG808" s="105"/>
      <c r="AH808" s="105"/>
      <c r="AI808" s="105"/>
      <c r="AJ808" s="105"/>
      <c r="AK808" s="105"/>
      <c r="AL808" s="105"/>
      <c r="AM808" s="105"/>
      <c r="AN808" s="105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</row>
    <row r="809" spans="1:74" s="106" customFormat="1" ht="57" x14ac:dyDescent="0.2">
      <c r="A809" s="72" t="s">
        <v>1788</v>
      </c>
      <c r="B809" s="73" t="s">
        <v>1789</v>
      </c>
      <c r="C809" s="124"/>
      <c r="D809" s="124"/>
      <c r="E809" s="124"/>
      <c r="F809" s="124"/>
      <c r="G809" s="124">
        <v>15000000000</v>
      </c>
      <c r="H809" s="124"/>
      <c r="I809" s="124"/>
      <c r="J809" s="124"/>
      <c r="K809" s="124"/>
      <c r="L809" s="124"/>
      <c r="M809" s="124"/>
      <c r="N809" s="124"/>
      <c r="O809" s="136">
        <f t="shared" si="347"/>
        <v>15000000000</v>
      </c>
      <c r="P809" s="65">
        <v>15000000000</v>
      </c>
      <c r="Q809" s="104">
        <f t="shared" si="349"/>
        <v>0</v>
      </c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5"/>
      <c r="AL809" s="105"/>
      <c r="AM809" s="105"/>
      <c r="AN809" s="105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</row>
    <row r="810" spans="1:74" s="106" customFormat="1" ht="42.75" x14ac:dyDescent="0.2">
      <c r="A810" s="72" t="s">
        <v>1790</v>
      </c>
      <c r="B810" s="73" t="s">
        <v>1791</v>
      </c>
      <c r="C810" s="124"/>
      <c r="D810" s="124"/>
      <c r="E810" s="124"/>
      <c r="F810" s="124"/>
      <c r="G810" s="124">
        <v>999896762</v>
      </c>
      <c r="H810" s="124"/>
      <c r="I810" s="124"/>
      <c r="J810" s="124"/>
      <c r="K810" s="124"/>
      <c r="L810" s="124"/>
      <c r="M810" s="124"/>
      <c r="N810" s="124"/>
      <c r="O810" s="136">
        <f t="shared" si="347"/>
        <v>999896762</v>
      </c>
      <c r="P810" s="65">
        <v>999896762</v>
      </c>
      <c r="Q810" s="104">
        <f t="shared" si="349"/>
        <v>0</v>
      </c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  <c r="AF810" s="105"/>
      <c r="AG810" s="105"/>
      <c r="AH810" s="105"/>
      <c r="AI810" s="105"/>
      <c r="AJ810" s="105"/>
      <c r="AK810" s="105"/>
      <c r="AL810" s="105"/>
      <c r="AM810" s="105"/>
      <c r="AN810" s="105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</row>
    <row r="811" spans="1:74" s="106" customFormat="1" ht="71.25" x14ac:dyDescent="0.2">
      <c r="A811" s="72" t="s">
        <v>1792</v>
      </c>
      <c r="B811" s="73" t="s">
        <v>1793</v>
      </c>
      <c r="C811" s="124"/>
      <c r="D811" s="124"/>
      <c r="E811" s="124"/>
      <c r="F811" s="124"/>
      <c r="G811" s="124">
        <v>324093620.44999999</v>
      </c>
      <c r="H811" s="124"/>
      <c r="I811" s="124"/>
      <c r="J811" s="124"/>
      <c r="K811" s="124"/>
      <c r="L811" s="124"/>
      <c r="M811" s="124"/>
      <c r="N811" s="124"/>
      <c r="O811" s="136">
        <f t="shared" si="347"/>
        <v>324093620.44999999</v>
      </c>
      <c r="P811" s="65">
        <v>324093620.44999999</v>
      </c>
      <c r="Q811" s="104">
        <f t="shared" si="349"/>
        <v>0</v>
      </c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</row>
    <row r="812" spans="1:74" s="106" customFormat="1" ht="57" x14ac:dyDescent="0.2">
      <c r="A812" s="72" t="s">
        <v>1794</v>
      </c>
      <c r="B812" s="73" t="s">
        <v>1795</v>
      </c>
      <c r="C812" s="124"/>
      <c r="D812" s="124"/>
      <c r="E812" s="124"/>
      <c r="F812" s="124"/>
      <c r="G812" s="124">
        <v>248932465.52000001</v>
      </c>
      <c r="H812" s="124"/>
      <c r="I812" s="124"/>
      <c r="J812" s="124"/>
      <c r="K812" s="124"/>
      <c r="L812" s="124"/>
      <c r="M812" s="124"/>
      <c r="N812" s="124"/>
      <c r="O812" s="136">
        <f t="shared" si="347"/>
        <v>248932465.52000001</v>
      </c>
      <c r="P812" s="65">
        <v>248932465.52000001</v>
      </c>
      <c r="Q812" s="104">
        <f t="shared" si="349"/>
        <v>0</v>
      </c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  <c r="AF812" s="105"/>
      <c r="AG812" s="105"/>
      <c r="AH812" s="105"/>
      <c r="AI812" s="105"/>
      <c r="AJ812" s="105"/>
      <c r="AK812" s="105"/>
      <c r="AL812" s="105"/>
      <c r="AM812" s="105"/>
      <c r="AN812" s="105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</row>
    <row r="813" spans="1:74" s="106" customFormat="1" ht="57" x14ac:dyDescent="0.2">
      <c r="A813" s="72" t="s">
        <v>1796</v>
      </c>
      <c r="B813" s="73" t="s">
        <v>1797</v>
      </c>
      <c r="C813" s="124"/>
      <c r="D813" s="124"/>
      <c r="E813" s="124"/>
      <c r="F813" s="124"/>
      <c r="G813" s="124">
        <v>262570505</v>
      </c>
      <c r="H813" s="124"/>
      <c r="I813" s="124"/>
      <c r="J813" s="124"/>
      <c r="K813" s="124"/>
      <c r="L813" s="124"/>
      <c r="M813" s="124"/>
      <c r="N813" s="124"/>
      <c r="O813" s="136">
        <f t="shared" si="347"/>
        <v>262570505</v>
      </c>
      <c r="P813" s="65">
        <v>262570505</v>
      </c>
      <c r="Q813" s="104">
        <f t="shared" si="349"/>
        <v>0</v>
      </c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  <c r="AF813" s="105"/>
      <c r="AG813" s="105"/>
      <c r="AH813" s="105"/>
      <c r="AI813" s="105"/>
      <c r="AJ813" s="105"/>
      <c r="AK813" s="105"/>
      <c r="AL813" s="105"/>
      <c r="AM813" s="105"/>
      <c r="AN813" s="105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</row>
    <row r="814" spans="1:74" s="106" customFormat="1" ht="28.5" x14ac:dyDescent="0.2">
      <c r="A814" s="72" t="s">
        <v>1798</v>
      </c>
      <c r="B814" s="73" t="s">
        <v>1799</v>
      </c>
      <c r="C814" s="124"/>
      <c r="D814" s="124"/>
      <c r="E814" s="124"/>
      <c r="F814" s="124"/>
      <c r="G814" s="124">
        <v>18594911012.080002</v>
      </c>
      <c r="H814" s="124"/>
      <c r="I814" s="124"/>
      <c r="J814" s="124"/>
      <c r="K814" s="124"/>
      <c r="L814" s="124"/>
      <c r="M814" s="124"/>
      <c r="N814" s="124"/>
      <c r="O814" s="136">
        <f t="shared" si="347"/>
        <v>18594911012.080002</v>
      </c>
      <c r="P814" s="65">
        <v>18594911012.080002</v>
      </c>
      <c r="Q814" s="104">
        <f t="shared" si="349"/>
        <v>0</v>
      </c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  <c r="AF814" s="105"/>
      <c r="AG814" s="105"/>
      <c r="AH814" s="105"/>
      <c r="AI814" s="105"/>
      <c r="AJ814" s="105"/>
      <c r="AK814" s="105"/>
      <c r="AL814" s="105"/>
      <c r="AM814" s="105"/>
      <c r="AN814" s="105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</row>
    <row r="815" spans="1:74" s="106" customFormat="1" ht="42.75" x14ac:dyDescent="0.2">
      <c r="A815" s="72" t="s">
        <v>1800</v>
      </c>
      <c r="B815" s="73" t="s">
        <v>1801</v>
      </c>
      <c r="C815" s="124"/>
      <c r="D815" s="124"/>
      <c r="E815" s="124"/>
      <c r="F815" s="124"/>
      <c r="G815" s="124">
        <v>1263330116.8699999</v>
      </c>
      <c r="H815" s="124"/>
      <c r="I815" s="124"/>
      <c r="J815" s="124"/>
      <c r="K815" s="124"/>
      <c r="L815" s="124"/>
      <c r="M815" s="124"/>
      <c r="N815" s="124"/>
      <c r="O815" s="136">
        <f t="shared" si="347"/>
        <v>1263330116.8699999</v>
      </c>
      <c r="P815" s="65">
        <v>1263330116.8699999</v>
      </c>
      <c r="Q815" s="104">
        <f t="shared" si="349"/>
        <v>0</v>
      </c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  <c r="AF815" s="105"/>
      <c r="AG815" s="105"/>
      <c r="AH815" s="105"/>
      <c r="AI815" s="105"/>
      <c r="AJ815" s="105"/>
      <c r="AK815" s="105"/>
      <c r="AL815" s="105"/>
      <c r="AM815" s="105"/>
      <c r="AN815" s="105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</row>
    <row r="816" spans="1:74" s="106" customFormat="1" ht="29.25" thickBot="1" x14ac:dyDescent="0.25">
      <c r="A816" s="148" t="s">
        <v>1802</v>
      </c>
      <c r="B816" s="192" t="s">
        <v>1803</v>
      </c>
      <c r="C816" s="125"/>
      <c r="D816" s="125"/>
      <c r="E816" s="125"/>
      <c r="F816" s="125"/>
      <c r="G816" s="125">
        <v>14999353.52</v>
      </c>
      <c r="H816" s="125"/>
      <c r="I816" s="125"/>
      <c r="J816" s="125"/>
      <c r="K816" s="125"/>
      <c r="L816" s="125"/>
      <c r="M816" s="125"/>
      <c r="N816" s="125"/>
      <c r="O816" s="254">
        <f t="shared" si="347"/>
        <v>14999353.52</v>
      </c>
      <c r="P816" s="65">
        <v>14999353.52</v>
      </c>
      <c r="Q816" s="104">
        <f t="shared" si="349"/>
        <v>0</v>
      </c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  <c r="AF816" s="105"/>
      <c r="AG816" s="105"/>
      <c r="AH816" s="105"/>
      <c r="AI816" s="105"/>
      <c r="AJ816" s="105"/>
      <c r="AK816" s="105"/>
      <c r="AL816" s="105"/>
      <c r="AM816" s="105"/>
      <c r="AN816" s="105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</row>
    <row r="817" spans="1:74" s="108" customFormat="1" ht="20.25" thickBot="1" x14ac:dyDescent="0.25">
      <c r="A817" s="447" t="s">
        <v>49</v>
      </c>
      <c r="B817" s="448"/>
      <c r="C817" s="255">
        <f t="shared" ref="C817:N817" si="350">+C11+C719</f>
        <v>5734052268</v>
      </c>
      <c r="D817" s="255">
        <f t="shared" si="350"/>
        <v>0</v>
      </c>
      <c r="E817" s="255">
        <f t="shared" si="350"/>
        <v>19694419247.690002</v>
      </c>
      <c r="F817" s="255">
        <f t="shared" si="350"/>
        <v>97517512149.100006</v>
      </c>
      <c r="G817" s="255">
        <f t="shared" si="350"/>
        <v>336729090268.91998</v>
      </c>
      <c r="H817" s="255">
        <f t="shared" si="350"/>
        <v>1837938193.73</v>
      </c>
      <c r="I817" s="255">
        <f t="shared" si="350"/>
        <v>353771970.91000003</v>
      </c>
      <c r="J817" s="255">
        <f t="shared" si="350"/>
        <v>20164604014</v>
      </c>
      <c r="K817" s="255">
        <f t="shared" si="350"/>
        <v>3430279960.5199995</v>
      </c>
      <c r="L817" s="255">
        <f t="shared" si="350"/>
        <v>0</v>
      </c>
      <c r="M817" s="255">
        <f t="shared" si="350"/>
        <v>5679055666.8199997</v>
      </c>
      <c r="N817" s="255">
        <f t="shared" si="350"/>
        <v>54095144626</v>
      </c>
      <c r="O817" s="256">
        <f>+O11</f>
        <v>407765377288.93994</v>
      </c>
      <c r="P817" s="65"/>
      <c r="Q817" s="104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</row>
    <row r="818" spans="1:74" s="106" customFormat="1" x14ac:dyDescent="0.2">
      <c r="A818" s="116"/>
      <c r="B818" s="117"/>
      <c r="C818" s="118"/>
      <c r="D818" s="118"/>
      <c r="E818" s="258"/>
      <c r="F818" s="259"/>
      <c r="G818" s="118">
        <v>287754113565.92004</v>
      </c>
      <c r="H818" s="118"/>
      <c r="I818" s="118"/>
      <c r="J818" s="118"/>
      <c r="K818" s="118"/>
      <c r="L818" s="118"/>
      <c r="M818" s="118"/>
      <c r="N818" s="118"/>
      <c r="O818" s="98"/>
      <c r="P818" s="65"/>
      <c r="Q818" s="104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  <c r="AF818" s="105"/>
      <c r="AG818" s="105"/>
      <c r="AH818" s="105"/>
      <c r="AI818" s="105"/>
      <c r="AJ818" s="105"/>
      <c r="AK818" s="105"/>
      <c r="AL818" s="105"/>
      <c r="AM818" s="105"/>
      <c r="AN818" s="105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</row>
    <row r="819" spans="1:74" s="106" customFormat="1" ht="19.5" x14ac:dyDescent="0.2">
      <c r="A819" s="260"/>
      <c r="B819" s="440" t="s">
        <v>21</v>
      </c>
      <c r="C819" s="440"/>
      <c r="D819" s="69"/>
      <c r="E819" s="257"/>
      <c r="F819" s="69"/>
      <c r="G819" s="69">
        <f>+G818-G817</f>
        <v>-48974976702.999939</v>
      </c>
      <c r="H819" s="69"/>
      <c r="I819" s="69"/>
      <c r="J819" s="69"/>
      <c r="K819" s="69"/>
      <c r="L819" s="69"/>
      <c r="M819" s="69"/>
      <c r="N819" s="69"/>
      <c r="O819" s="84"/>
      <c r="P819" s="65"/>
      <c r="Q819" s="104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5"/>
      <c r="AL819" s="105"/>
      <c r="AM819" s="105"/>
      <c r="AN819" s="105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</row>
    <row r="820" spans="1:74" s="66" customFormat="1" ht="19.5" x14ac:dyDescent="0.2">
      <c r="A820" s="151" t="s">
        <v>381</v>
      </c>
      <c r="B820" s="150" t="s">
        <v>964</v>
      </c>
      <c r="C820" s="155">
        <f t="shared" ref="C820:N820" si="351">+C821+C1000</f>
        <v>0</v>
      </c>
      <c r="D820" s="155">
        <f t="shared" si="351"/>
        <v>0</v>
      </c>
      <c r="E820" s="155">
        <f t="shared" si="351"/>
        <v>288000000</v>
      </c>
      <c r="F820" s="155">
        <f t="shared" si="351"/>
        <v>13935863889.029999</v>
      </c>
      <c r="G820" s="155">
        <f t="shared" si="351"/>
        <v>22869930480.32</v>
      </c>
      <c r="H820" s="155">
        <f t="shared" si="351"/>
        <v>11584539610.870001</v>
      </c>
      <c r="I820" s="155">
        <f t="shared" si="351"/>
        <v>0</v>
      </c>
      <c r="J820" s="155">
        <f t="shared" si="351"/>
        <v>0</v>
      </c>
      <c r="K820" s="155">
        <f t="shared" si="351"/>
        <v>17471346367</v>
      </c>
      <c r="L820" s="155">
        <f t="shared" si="351"/>
        <v>0</v>
      </c>
      <c r="M820" s="155">
        <f t="shared" si="351"/>
        <v>0</v>
      </c>
      <c r="N820" s="155">
        <f t="shared" si="351"/>
        <v>47877664452</v>
      </c>
      <c r="O820" s="89">
        <f>SUM(C820:N820)</f>
        <v>114027344799.22</v>
      </c>
      <c r="P820" s="67"/>
      <c r="Q820" s="104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  <c r="AE820" s="65"/>
      <c r="AF820" s="65"/>
      <c r="AG820" s="65"/>
      <c r="AH820" s="65"/>
      <c r="AI820" s="65"/>
      <c r="AJ820" s="65"/>
      <c r="AK820" s="65"/>
      <c r="AL820" s="65"/>
      <c r="AM820" s="65"/>
      <c r="AN820" s="65"/>
      <c r="AO820" s="65"/>
      <c r="AP820" s="65"/>
      <c r="AQ820" s="65"/>
      <c r="AR820" s="65"/>
      <c r="AS820" s="65"/>
      <c r="AT820" s="65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5"/>
      <c r="BF820" s="65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</row>
    <row r="821" spans="1:74" s="66" customFormat="1" ht="19.5" x14ac:dyDescent="0.2">
      <c r="A821" s="151" t="s">
        <v>382</v>
      </c>
      <c r="B821" s="150" t="s">
        <v>965</v>
      </c>
      <c r="C821" s="155">
        <f t="shared" ref="C821:N821" si="352">+C822+C909</f>
        <v>0</v>
      </c>
      <c r="D821" s="155">
        <f t="shared" si="352"/>
        <v>0</v>
      </c>
      <c r="E821" s="155">
        <f t="shared" si="352"/>
        <v>0</v>
      </c>
      <c r="F821" s="155">
        <f t="shared" si="352"/>
        <v>5470110693.0299997</v>
      </c>
      <c r="G821" s="155">
        <f t="shared" si="352"/>
        <v>0</v>
      </c>
      <c r="H821" s="155">
        <f t="shared" si="352"/>
        <v>11584539610.870001</v>
      </c>
      <c r="I821" s="155">
        <f t="shared" si="352"/>
        <v>0</v>
      </c>
      <c r="J821" s="155">
        <f t="shared" si="352"/>
        <v>0</v>
      </c>
      <c r="K821" s="155">
        <f t="shared" si="352"/>
        <v>17139346367</v>
      </c>
      <c r="L821" s="155">
        <f t="shared" si="352"/>
        <v>0</v>
      </c>
      <c r="M821" s="155">
        <f t="shared" si="352"/>
        <v>0</v>
      </c>
      <c r="N821" s="155">
        <f t="shared" si="352"/>
        <v>47518664452</v>
      </c>
      <c r="O821" s="89">
        <f t="shared" ref="O821:O919" si="353">SUM(C821:N821)</f>
        <v>81712661122.899994</v>
      </c>
      <c r="P821" s="67"/>
      <c r="Q821" s="104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  <c r="AE821" s="65"/>
      <c r="AF821" s="65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  <c r="AS821" s="65"/>
      <c r="AT821" s="65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</row>
    <row r="822" spans="1:74" s="66" customFormat="1" ht="19.5" x14ac:dyDescent="0.2">
      <c r="A822" s="151" t="s">
        <v>383</v>
      </c>
      <c r="B822" s="150" t="s">
        <v>966</v>
      </c>
      <c r="C822" s="155">
        <f t="shared" ref="C822:N822" si="354">+C823+C835</f>
        <v>0</v>
      </c>
      <c r="D822" s="155">
        <f t="shared" si="354"/>
        <v>0</v>
      </c>
      <c r="E822" s="155">
        <f t="shared" si="354"/>
        <v>0</v>
      </c>
      <c r="F822" s="155">
        <f t="shared" si="354"/>
        <v>168538869.03</v>
      </c>
      <c r="G822" s="155">
        <f t="shared" si="354"/>
        <v>0</v>
      </c>
      <c r="H822" s="155">
        <f t="shared" si="354"/>
        <v>0</v>
      </c>
      <c r="I822" s="155">
        <f t="shared" si="354"/>
        <v>0</v>
      </c>
      <c r="J822" s="155">
        <f t="shared" si="354"/>
        <v>0</v>
      </c>
      <c r="K822" s="155">
        <f t="shared" si="354"/>
        <v>6610823529</v>
      </c>
      <c r="L822" s="155">
        <f t="shared" si="354"/>
        <v>0</v>
      </c>
      <c r="M822" s="155">
        <f t="shared" si="354"/>
        <v>0</v>
      </c>
      <c r="N822" s="155">
        <f t="shared" si="354"/>
        <v>6933470587</v>
      </c>
      <c r="O822" s="89">
        <f t="shared" si="353"/>
        <v>13712832985.029999</v>
      </c>
      <c r="P822" s="65"/>
      <c r="Q822" s="104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  <c r="AE822" s="65"/>
      <c r="AF822" s="65"/>
      <c r="AG822" s="65"/>
      <c r="AH822" s="65"/>
      <c r="AI822" s="65"/>
      <c r="AJ822" s="65"/>
      <c r="AK822" s="65"/>
      <c r="AL822" s="65"/>
      <c r="AM822" s="65"/>
      <c r="AN822" s="65"/>
      <c r="AO822" s="65"/>
      <c r="AP822" s="65"/>
      <c r="AQ822" s="65"/>
      <c r="AR822" s="65"/>
      <c r="AS822" s="65"/>
      <c r="AT822" s="65"/>
      <c r="AU822" s="65"/>
      <c r="AV822" s="65"/>
      <c r="AW822" s="65"/>
      <c r="AX822" s="65"/>
      <c r="AY822" s="65"/>
      <c r="AZ822" s="65"/>
      <c r="BA822" s="65"/>
      <c r="BB822" s="65"/>
      <c r="BC822" s="65"/>
      <c r="BD822" s="65"/>
      <c r="BE822" s="65"/>
      <c r="BF822" s="65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</row>
    <row r="823" spans="1:74" s="66" customFormat="1" ht="19.5" x14ac:dyDescent="0.2">
      <c r="A823" s="151" t="s">
        <v>384</v>
      </c>
      <c r="B823" s="150" t="s">
        <v>967</v>
      </c>
      <c r="C823" s="155">
        <f t="shared" ref="C823:N823" si="355">+C824</f>
        <v>0</v>
      </c>
      <c r="D823" s="155">
        <f t="shared" si="355"/>
        <v>0</v>
      </c>
      <c r="E823" s="155">
        <f t="shared" si="355"/>
        <v>0</v>
      </c>
      <c r="F823" s="155">
        <f t="shared" si="355"/>
        <v>0</v>
      </c>
      <c r="G823" s="155">
        <f t="shared" si="355"/>
        <v>0</v>
      </c>
      <c r="H823" s="155">
        <f t="shared" si="355"/>
        <v>0</v>
      </c>
      <c r="I823" s="155">
        <f t="shared" si="355"/>
        <v>0</v>
      </c>
      <c r="J823" s="155">
        <f t="shared" si="355"/>
        <v>0</v>
      </c>
      <c r="K823" s="155">
        <f t="shared" si="355"/>
        <v>8823529</v>
      </c>
      <c r="L823" s="155">
        <f t="shared" si="355"/>
        <v>0</v>
      </c>
      <c r="M823" s="155">
        <f t="shared" si="355"/>
        <v>0</v>
      </c>
      <c r="N823" s="155">
        <f t="shared" si="355"/>
        <v>841176470</v>
      </c>
      <c r="O823" s="89">
        <f t="shared" si="353"/>
        <v>849999999</v>
      </c>
      <c r="P823" s="65"/>
      <c r="Q823" s="104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  <c r="AE823" s="65"/>
      <c r="AF823" s="65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  <c r="AS823" s="65"/>
      <c r="AT823" s="65"/>
      <c r="AU823" s="65"/>
      <c r="AV823" s="65"/>
      <c r="AW823" s="65"/>
      <c r="AX823" s="65"/>
      <c r="AY823" s="65"/>
      <c r="AZ823" s="65"/>
      <c r="BA823" s="65"/>
      <c r="BB823" s="65"/>
      <c r="BC823" s="65"/>
      <c r="BD823" s="65"/>
      <c r="BE823" s="65"/>
      <c r="BF823" s="65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</row>
    <row r="824" spans="1:74" s="66" customFormat="1" ht="31.5" x14ac:dyDescent="0.2">
      <c r="A824" s="77" t="s">
        <v>968</v>
      </c>
      <c r="B824" s="75" t="s">
        <v>969</v>
      </c>
      <c r="C824" s="126">
        <f>SUM(C825:C831)</f>
        <v>0</v>
      </c>
      <c r="D824" s="126">
        <f t="shared" ref="D824:M824" si="356">SUM(D825:D831)</f>
        <v>0</v>
      </c>
      <c r="E824" s="126">
        <f t="shared" si="356"/>
        <v>0</v>
      </c>
      <c r="F824" s="126">
        <f t="shared" si="356"/>
        <v>0</v>
      </c>
      <c r="G824" s="126">
        <f t="shared" si="356"/>
        <v>0</v>
      </c>
      <c r="H824" s="126">
        <f t="shared" si="356"/>
        <v>0</v>
      </c>
      <c r="I824" s="126">
        <f t="shared" si="356"/>
        <v>0</v>
      </c>
      <c r="J824" s="126">
        <f t="shared" si="356"/>
        <v>0</v>
      </c>
      <c r="K824" s="126">
        <f t="shared" si="356"/>
        <v>8823529</v>
      </c>
      <c r="L824" s="126">
        <f t="shared" si="356"/>
        <v>0</v>
      </c>
      <c r="M824" s="126">
        <f t="shared" si="356"/>
        <v>0</v>
      </c>
      <c r="N824" s="126">
        <f>SUM(N825:N831)</f>
        <v>841176470</v>
      </c>
      <c r="O824" s="89">
        <f t="shared" si="353"/>
        <v>849999999</v>
      </c>
      <c r="P824" s="65"/>
      <c r="Q824" s="104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  <c r="AE824" s="65"/>
      <c r="AF824" s="65"/>
      <c r="AG824" s="65"/>
      <c r="AH824" s="65"/>
      <c r="AI824" s="65"/>
      <c r="AJ824" s="65"/>
      <c r="AK824" s="65"/>
      <c r="AL824" s="65"/>
      <c r="AM824" s="65"/>
      <c r="AN824" s="65"/>
      <c r="AO824" s="65"/>
      <c r="AP824" s="65"/>
      <c r="AQ824" s="65"/>
      <c r="AR824" s="65"/>
      <c r="AS824" s="65"/>
      <c r="AT824" s="65"/>
      <c r="AU824" s="65"/>
      <c r="AV824" s="65"/>
      <c r="AW824" s="65"/>
      <c r="AX824" s="65"/>
      <c r="AY824" s="65"/>
      <c r="AZ824" s="65"/>
      <c r="BA824" s="65"/>
      <c r="BB824" s="65"/>
      <c r="BC824" s="65"/>
      <c r="BD824" s="65"/>
      <c r="BE824" s="65"/>
      <c r="BF824" s="65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</row>
    <row r="825" spans="1:74" s="66" customFormat="1" ht="28.5" x14ac:dyDescent="0.2">
      <c r="A825" s="72" t="s">
        <v>970</v>
      </c>
      <c r="B825" s="73" t="s">
        <v>375</v>
      </c>
      <c r="C825" s="128"/>
      <c r="D825" s="128"/>
      <c r="E825" s="128"/>
      <c r="F825" s="128"/>
      <c r="G825" s="128"/>
      <c r="H825" s="128"/>
      <c r="I825" s="128"/>
      <c r="J825" s="128"/>
      <c r="K825" s="128">
        <v>0</v>
      </c>
      <c r="L825" s="128"/>
      <c r="M825" s="128"/>
      <c r="N825" s="128"/>
      <c r="O825" s="89">
        <f t="shared" si="353"/>
        <v>0</v>
      </c>
      <c r="P825" s="65"/>
      <c r="Q825" s="104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  <c r="AT825" s="65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5"/>
      <c r="BF825" s="65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</row>
    <row r="826" spans="1:74" s="66" customFormat="1" ht="28.5" x14ac:dyDescent="0.2">
      <c r="A826" s="72" t="s">
        <v>970</v>
      </c>
      <c r="B826" s="73" t="s">
        <v>375</v>
      </c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>
        <v>210294118</v>
      </c>
      <c r="O826" s="89">
        <f t="shared" si="353"/>
        <v>210294118</v>
      </c>
      <c r="P826" s="65"/>
      <c r="Q826" s="104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  <c r="AE826" s="65"/>
      <c r="AF826" s="65"/>
      <c r="AG826" s="65"/>
      <c r="AH826" s="65"/>
      <c r="AI826" s="65"/>
      <c r="AJ826" s="65"/>
      <c r="AK826" s="65"/>
      <c r="AL826" s="65"/>
      <c r="AM826" s="65"/>
      <c r="AN826" s="65"/>
      <c r="AO826" s="65"/>
      <c r="AP826" s="65"/>
      <c r="AQ826" s="65"/>
      <c r="AR826" s="65"/>
      <c r="AS826" s="65"/>
      <c r="AT826" s="65"/>
      <c r="AU826" s="65"/>
      <c r="AV826" s="65"/>
      <c r="AW826" s="65"/>
      <c r="AX826" s="65"/>
      <c r="AY826" s="65"/>
      <c r="AZ826" s="65"/>
      <c r="BA826" s="65"/>
      <c r="BB826" s="65"/>
      <c r="BC826" s="65"/>
      <c r="BD826" s="65"/>
      <c r="BE826" s="65"/>
      <c r="BF826" s="65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</row>
    <row r="827" spans="1:74" s="66" customFormat="1" ht="28.5" x14ac:dyDescent="0.2">
      <c r="A827" s="72" t="s">
        <v>970</v>
      </c>
      <c r="B827" s="73" t="s">
        <v>375</v>
      </c>
      <c r="C827" s="128"/>
      <c r="D827" s="128"/>
      <c r="E827" s="128"/>
      <c r="F827" s="128"/>
      <c r="G827" s="128"/>
      <c r="H827" s="128"/>
      <c r="I827" s="128"/>
      <c r="J827" s="128"/>
      <c r="K827" s="128">
        <v>2205882</v>
      </c>
      <c r="L827" s="128"/>
      <c r="M827" s="128"/>
      <c r="N827" s="128"/>
      <c r="O827" s="89">
        <f t="shared" si="353"/>
        <v>2205882</v>
      </c>
      <c r="P827" s="65"/>
      <c r="Q827" s="104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  <c r="AE827" s="65"/>
      <c r="AF827" s="65"/>
      <c r="AG827" s="65"/>
      <c r="AH827" s="65"/>
      <c r="AI827" s="65"/>
      <c r="AJ827" s="65"/>
      <c r="AK827" s="65"/>
      <c r="AL827" s="65"/>
      <c r="AM827" s="65"/>
      <c r="AN827" s="65"/>
      <c r="AO827" s="65"/>
      <c r="AP827" s="65"/>
      <c r="AQ827" s="65"/>
      <c r="AR827" s="65"/>
      <c r="AS827" s="65"/>
      <c r="AT827" s="65"/>
      <c r="AU827" s="65"/>
      <c r="AV827" s="65"/>
      <c r="AW827" s="65"/>
      <c r="AX827" s="65"/>
      <c r="AY827" s="65"/>
      <c r="AZ827" s="65"/>
      <c r="BA827" s="65"/>
      <c r="BB827" s="65"/>
      <c r="BC827" s="65"/>
      <c r="BD827" s="65"/>
      <c r="BE827" s="65"/>
      <c r="BF827" s="65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</row>
    <row r="828" spans="1:74" s="66" customFormat="1" ht="28.5" x14ac:dyDescent="0.2">
      <c r="A828" s="72" t="s">
        <v>971</v>
      </c>
      <c r="B828" s="73" t="s">
        <v>375</v>
      </c>
      <c r="C828" s="128"/>
      <c r="D828" s="128"/>
      <c r="E828" s="128"/>
      <c r="F828" s="128"/>
      <c r="G828" s="128"/>
      <c r="H828" s="128"/>
      <c r="I828" s="128"/>
      <c r="J828" s="128"/>
      <c r="K828" s="128">
        <v>0</v>
      </c>
      <c r="L828" s="128"/>
      <c r="M828" s="128"/>
      <c r="N828" s="128"/>
      <c r="O828" s="89">
        <f t="shared" si="353"/>
        <v>0</v>
      </c>
      <c r="P828" s="67"/>
      <c r="Q828" s="104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  <c r="AE828" s="65"/>
      <c r="AF828" s="65"/>
      <c r="AG828" s="65"/>
      <c r="AH828" s="65"/>
      <c r="AI828" s="65"/>
      <c r="AJ828" s="65"/>
      <c r="AK828" s="65"/>
      <c r="AL828" s="65"/>
      <c r="AM828" s="65"/>
      <c r="AN828" s="65"/>
      <c r="AO828" s="65"/>
      <c r="AP828" s="65"/>
      <c r="AQ828" s="65"/>
      <c r="AR828" s="65"/>
      <c r="AS828" s="65"/>
      <c r="AT828" s="65"/>
      <c r="AU828" s="65"/>
      <c r="AV828" s="65"/>
      <c r="AW828" s="65"/>
      <c r="AX828" s="65"/>
      <c r="AY828" s="65"/>
      <c r="AZ828" s="65"/>
      <c r="BA828" s="65"/>
      <c r="BB828" s="65"/>
      <c r="BC828" s="65"/>
      <c r="BD828" s="65"/>
      <c r="BE828" s="65"/>
      <c r="BF828" s="65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</row>
    <row r="829" spans="1:74" s="66" customFormat="1" ht="28.5" x14ac:dyDescent="0.2">
      <c r="A829" s="72" t="s">
        <v>971</v>
      </c>
      <c r="B829" s="73" t="s">
        <v>375</v>
      </c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>
        <v>58882352</v>
      </c>
      <c r="O829" s="89">
        <f t="shared" si="353"/>
        <v>58882352</v>
      </c>
      <c r="P829" s="67"/>
      <c r="Q829" s="104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  <c r="AE829" s="65"/>
      <c r="AF829" s="65"/>
      <c r="AG829" s="65"/>
      <c r="AH829" s="65"/>
      <c r="AI829" s="65"/>
      <c r="AJ829" s="65"/>
      <c r="AK829" s="65"/>
      <c r="AL829" s="65"/>
      <c r="AM829" s="65"/>
      <c r="AN829" s="65"/>
      <c r="AO829" s="65"/>
      <c r="AP829" s="65"/>
      <c r="AQ829" s="65"/>
      <c r="AR829" s="65"/>
      <c r="AS829" s="65"/>
      <c r="AT829" s="65"/>
      <c r="AU829" s="65"/>
      <c r="AV829" s="65"/>
      <c r="AW829" s="65"/>
      <c r="AX829" s="65"/>
      <c r="AY829" s="65"/>
      <c r="AZ829" s="65"/>
      <c r="BA829" s="65"/>
      <c r="BB829" s="65"/>
      <c r="BC829" s="65"/>
      <c r="BD829" s="65"/>
      <c r="BE829" s="65"/>
      <c r="BF829" s="65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</row>
    <row r="830" spans="1:74" s="66" customFormat="1" ht="28.5" x14ac:dyDescent="0.2">
      <c r="A830" s="72" t="s">
        <v>971</v>
      </c>
      <c r="B830" s="73" t="s">
        <v>375</v>
      </c>
      <c r="C830" s="128"/>
      <c r="D830" s="128"/>
      <c r="E830" s="128"/>
      <c r="F830" s="128"/>
      <c r="G830" s="128"/>
      <c r="H830" s="128"/>
      <c r="I830" s="128"/>
      <c r="J830" s="128"/>
      <c r="K830" s="128">
        <v>617647</v>
      </c>
      <c r="L830" s="128"/>
      <c r="M830" s="128"/>
      <c r="N830" s="128"/>
      <c r="O830" s="89">
        <f t="shared" si="353"/>
        <v>617647</v>
      </c>
      <c r="P830" s="67"/>
      <c r="Q830" s="104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  <c r="AE830" s="65"/>
      <c r="AF830" s="65"/>
      <c r="AG830" s="65"/>
      <c r="AH830" s="65"/>
      <c r="AI830" s="65"/>
      <c r="AJ830" s="65"/>
      <c r="AK830" s="65"/>
      <c r="AL830" s="65"/>
      <c r="AM830" s="65"/>
      <c r="AN830" s="65"/>
      <c r="AO830" s="65"/>
      <c r="AP830" s="65"/>
      <c r="AQ830" s="65"/>
      <c r="AR830" s="65"/>
      <c r="AS830" s="65"/>
      <c r="AT830" s="65"/>
      <c r="AU830" s="65"/>
      <c r="AV830" s="65"/>
      <c r="AW830" s="65"/>
      <c r="AX830" s="65"/>
      <c r="AY830" s="65"/>
      <c r="AZ830" s="65"/>
      <c r="BA830" s="65"/>
      <c r="BB830" s="65"/>
      <c r="BC830" s="65"/>
      <c r="BD830" s="65"/>
      <c r="BE830" s="65"/>
      <c r="BF830" s="65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</row>
    <row r="831" spans="1:74" s="66" customFormat="1" ht="31.5" x14ac:dyDescent="0.2">
      <c r="A831" s="77" t="s">
        <v>972</v>
      </c>
      <c r="B831" s="75" t="s">
        <v>973</v>
      </c>
      <c r="C831" s="126">
        <f>SUM(C832:C834)</f>
        <v>0</v>
      </c>
      <c r="D831" s="126">
        <f t="shared" ref="D831:N831" si="357">SUM(D832:D834)</f>
        <v>0</v>
      </c>
      <c r="E831" s="126">
        <f t="shared" si="357"/>
        <v>0</v>
      </c>
      <c r="F831" s="126">
        <f t="shared" si="357"/>
        <v>0</v>
      </c>
      <c r="G831" s="126">
        <f t="shared" si="357"/>
        <v>0</v>
      </c>
      <c r="H831" s="126">
        <f t="shared" si="357"/>
        <v>0</v>
      </c>
      <c r="I831" s="126">
        <f t="shared" si="357"/>
        <v>0</v>
      </c>
      <c r="J831" s="126">
        <f t="shared" si="357"/>
        <v>0</v>
      </c>
      <c r="K831" s="126">
        <f t="shared" si="357"/>
        <v>6000000</v>
      </c>
      <c r="L831" s="126">
        <f t="shared" si="357"/>
        <v>0</v>
      </c>
      <c r="M831" s="126">
        <f t="shared" si="357"/>
        <v>0</v>
      </c>
      <c r="N831" s="126">
        <f t="shared" si="357"/>
        <v>572000000</v>
      </c>
      <c r="O831" s="89">
        <f t="shared" si="353"/>
        <v>578000000</v>
      </c>
      <c r="P831" s="65"/>
      <c r="Q831" s="104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  <c r="AE831" s="65"/>
      <c r="AF831" s="65"/>
      <c r="AG831" s="65"/>
      <c r="AH831" s="65"/>
      <c r="AI831" s="65"/>
      <c r="AJ831" s="65"/>
      <c r="AK831" s="65"/>
      <c r="AL831" s="65"/>
      <c r="AM831" s="65"/>
      <c r="AN831" s="65"/>
      <c r="AO831" s="65"/>
      <c r="AP831" s="65"/>
      <c r="AQ831" s="65"/>
      <c r="AR831" s="65"/>
      <c r="AS831" s="65"/>
      <c r="AT831" s="65"/>
      <c r="AU831" s="65"/>
      <c r="AV831" s="65"/>
      <c r="AW831" s="65"/>
      <c r="AX831" s="65"/>
      <c r="AY831" s="65"/>
      <c r="AZ831" s="65"/>
      <c r="BA831" s="65"/>
      <c r="BB831" s="65"/>
      <c r="BC831" s="65"/>
      <c r="BD831" s="65"/>
      <c r="BE831" s="65"/>
      <c r="BF831" s="65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</row>
    <row r="832" spans="1:74" s="66" customFormat="1" ht="28.5" x14ac:dyDescent="0.2">
      <c r="A832" s="72" t="s">
        <v>974</v>
      </c>
      <c r="B832" s="73" t="s">
        <v>378</v>
      </c>
      <c r="C832" s="128"/>
      <c r="D832" s="128"/>
      <c r="E832" s="128"/>
      <c r="F832" s="128"/>
      <c r="G832" s="128"/>
      <c r="H832" s="128"/>
      <c r="I832" s="128"/>
      <c r="J832" s="128"/>
      <c r="K832" s="128">
        <v>0</v>
      </c>
      <c r="L832" s="128"/>
      <c r="M832" s="128"/>
      <c r="N832" s="128"/>
      <c r="O832" s="89">
        <f t="shared" si="353"/>
        <v>0</v>
      </c>
      <c r="P832" s="65"/>
      <c r="Q832" s="104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  <c r="AT832" s="65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5"/>
      <c r="BF832" s="65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</row>
    <row r="833" spans="1:74" s="66" customFormat="1" ht="28.5" x14ac:dyDescent="0.2">
      <c r="A833" s="72" t="s">
        <v>974</v>
      </c>
      <c r="B833" s="73" t="s">
        <v>378</v>
      </c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>
        <v>572000000</v>
      </c>
      <c r="O833" s="89">
        <f t="shared" si="353"/>
        <v>572000000</v>
      </c>
      <c r="P833" s="65"/>
      <c r="Q833" s="104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  <c r="AE833" s="65"/>
      <c r="AF833" s="65"/>
      <c r="AG833" s="65"/>
      <c r="AH833" s="65"/>
      <c r="AI833" s="65"/>
      <c r="AJ833" s="65"/>
      <c r="AK833" s="65"/>
      <c r="AL833" s="65"/>
      <c r="AM833" s="65"/>
      <c r="AN833" s="65"/>
      <c r="AO833" s="65"/>
      <c r="AP833" s="65"/>
      <c r="AQ833" s="65"/>
      <c r="AR833" s="65"/>
      <c r="AS833" s="65"/>
      <c r="AT833" s="65"/>
      <c r="AU833" s="65"/>
      <c r="AV833" s="65"/>
      <c r="AW833" s="65"/>
      <c r="AX833" s="65"/>
      <c r="AY833" s="65"/>
      <c r="AZ833" s="65"/>
      <c r="BA833" s="65"/>
      <c r="BB833" s="65"/>
      <c r="BC833" s="65"/>
      <c r="BD833" s="65"/>
      <c r="BE833" s="65"/>
      <c r="BF833" s="65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</row>
    <row r="834" spans="1:74" s="66" customFormat="1" ht="28.5" x14ac:dyDescent="0.2">
      <c r="A834" s="72" t="s">
        <v>974</v>
      </c>
      <c r="B834" s="73" t="s">
        <v>378</v>
      </c>
      <c r="C834" s="128"/>
      <c r="D834" s="128"/>
      <c r="E834" s="128"/>
      <c r="F834" s="128"/>
      <c r="G834" s="128"/>
      <c r="H834" s="128"/>
      <c r="I834" s="128"/>
      <c r="J834" s="128"/>
      <c r="K834" s="128">
        <v>6000000</v>
      </c>
      <c r="L834" s="128"/>
      <c r="M834" s="128"/>
      <c r="N834" s="128"/>
      <c r="O834" s="89">
        <f t="shared" si="353"/>
        <v>6000000</v>
      </c>
      <c r="P834" s="65"/>
      <c r="Q834" s="104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  <c r="AE834" s="65"/>
      <c r="AF834" s="65"/>
      <c r="AG834" s="65"/>
      <c r="AH834" s="65"/>
      <c r="AI834" s="65"/>
      <c r="AJ834" s="65"/>
      <c r="AK834" s="65"/>
      <c r="AL834" s="65"/>
      <c r="AM834" s="65"/>
      <c r="AN834" s="65"/>
      <c r="AO834" s="65"/>
      <c r="AP834" s="65"/>
      <c r="AQ834" s="65"/>
      <c r="AR834" s="65"/>
      <c r="AS834" s="65"/>
      <c r="AT834" s="65"/>
      <c r="AU834" s="65"/>
      <c r="AV834" s="65"/>
      <c r="AW834" s="65"/>
      <c r="AX834" s="65"/>
      <c r="AY834" s="65"/>
      <c r="AZ834" s="65"/>
      <c r="BA834" s="65"/>
      <c r="BB834" s="65"/>
      <c r="BC834" s="65"/>
      <c r="BD834" s="65"/>
      <c r="BE834" s="65"/>
      <c r="BF834" s="65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</row>
    <row r="835" spans="1:74" s="66" customFormat="1" ht="15.75" x14ac:dyDescent="0.2">
      <c r="A835" s="77" t="s">
        <v>403</v>
      </c>
      <c r="B835" s="75" t="s">
        <v>975</v>
      </c>
      <c r="C835" s="126">
        <f t="shared" ref="C835:N835" si="358">+C836+C844+C851+C884+C901</f>
        <v>0</v>
      </c>
      <c r="D835" s="126">
        <f t="shared" si="358"/>
        <v>0</v>
      </c>
      <c r="E835" s="126">
        <f t="shared" si="358"/>
        <v>0</v>
      </c>
      <c r="F835" s="126">
        <f t="shared" si="358"/>
        <v>168538869.03</v>
      </c>
      <c r="G835" s="126">
        <f t="shared" si="358"/>
        <v>0</v>
      </c>
      <c r="H835" s="126">
        <f t="shared" si="358"/>
        <v>0</v>
      </c>
      <c r="I835" s="126">
        <f t="shared" si="358"/>
        <v>0</v>
      </c>
      <c r="J835" s="126">
        <f t="shared" si="358"/>
        <v>0</v>
      </c>
      <c r="K835" s="126">
        <f t="shared" si="358"/>
        <v>6602000000</v>
      </c>
      <c r="L835" s="126">
        <f t="shared" si="358"/>
        <v>0</v>
      </c>
      <c r="M835" s="126">
        <f t="shared" si="358"/>
        <v>0</v>
      </c>
      <c r="N835" s="126">
        <f t="shared" si="358"/>
        <v>6092294117</v>
      </c>
      <c r="O835" s="89">
        <f t="shared" si="353"/>
        <v>12862832986.029999</v>
      </c>
      <c r="P835" s="65"/>
      <c r="Q835" s="104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  <c r="AE835" s="65"/>
      <c r="AF835" s="65"/>
      <c r="AG835" s="65"/>
      <c r="AH835" s="65"/>
      <c r="AI835" s="65"/>
      <c r="AJ835" s="65"/>
      <c r="AK835" s="65"/>
      <c r="AL835" s="65"/>
      <c r="AM835" s="65"/>
      <c r="AN835" s="65"/>
      <c r="AO835" s="65"/>
      <c r="AP835" s="65"/>
      <c r="AQ835" s="65"/>
      <c r="AR835" s="65"/>
      <c r="AS835" s="65"/>
      <c r="AT835" s="65"/>
      <c r="AU835" s="65"/>
      <c r="AV835" s="65"/>
      <c r="AW835" s="65"/>
      <c r="AX835" s="65"/>
      <c r="AY835" s="65"/>
      <c r="AZ835" s="65"/>
      <c r="BA835" s="65"/>
      <c r="BB835" s="65"/>
      <c r="BC835" s="65"/>
      <c r="BD835" s="65"/>
      <c r="BE835" s="65"/>
      <c r="BF835" s="65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</row>
    <row r="836" spans="1:74" s="66" customFormat="1" ht="15.75" x14ac:dyDescent="0.2">
      <c r="A836" s="77" t="s">
        <v>976</v>
      </c>
      <c r="B836" s="75" t="s">
        <v>977</v>
      </c>
      <c r="C836" s="126">
        <f t="shared" ref="C836:M836" si="359">SUM(C837:C841)</f>
        <v>0</v>
      </c>
      <c r="D836" s="126">
        <f t="shared" si="359"/>
        <v>0</v>
      </c>
      <c r="E836" s="126">
        <f t="shared" si="359"/>
        <v>0</v>
      </c>
      <c r="F836" s="126">
        <f t="shared" si="359"/>
        <v>0</v>
      </c>
      <c r="G836" s="126">
        <f t="shared" si="359"/>
        <v>0</v>
      </c>
      <c r="H836" s="126">
        <f t="shared" si="359"/>
        <v>0</v>
      </c>
      <c r="I836" s="126">
        <f t="shared" si="359"/>
        <v>0</v>
      </c>
      <c r="J836" s="126">
        <f t="shared" si="359"/>
        <v>0</v>
      </c>
      <c r="K836" s="126">
        <f t="shared" si="359"/>
        <v>0</v>
      </c>
      <c r="L836" s="126">
        <f t="shared" si="359"/>
        <v>0</v>
      </c>
      <c r="M836" s="126">
        <f t="shared" si="359"/>
        <v>0</v>
      </c>
      <c r="N836" s="126">
        <f>SUM(N837:N841)</f>
        <v>110294117</v>
      </c>
      <c r="O836" s="89">
        <f t="shared" si="353"/>
        <v>110294117</v>
      </c>
      <c r="P836" s="65"/>
      <c r="Q836" s="104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  <c r="AE836" s="65"/>
      <c r="AF836" s="65"/>
      <c r="AG836" s="65"/>
      <c r="AH836" s="65"/>
      <c r="AI836" s="65"/>
      <c r="AJ836" s="65"/>
      <c r="AK836" s="65"/>
      <c r="AL836" s="65"/>
      <c r="AM836" s="65"/>
      <c r="AN836" s="65"/>
      <c r="AO836" s="65"/>
      <c r="AP836" s="65"/>
      <c r="AQ836" s="65"/>
      <c r="AR836" s="65"/>
      <c r="AS836" s="65"/>
      <c r="AT836" s="65"/>
      <c r="AU836" s="65"/>
      <c r="AV836" s="65"/>
      <c r="AW836" s="65"/>
      <c r="AX836" s="65"/>
      <c r="AY836" s="65"/>
      <c r="AZ836" s="65"/>
      <c r="BA836" s="65"/>
      <c r="BB836" s="65"/>
      <c r="BC836" s="65"/>
      <c r="BD836" s="65"/>
      <c r="BE836" s="65"/>
      <c r="BF836" s="65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</row>
    <row r="837" spans="1:74" s="66" customFormat="1" ht="28.5" x14ac:dyDescent="0.2">
      <c r="A837" s="72" t="s">
        <v>978</v>
      </c>
      <c r="B837" s="73" t="s">
        <v>375</v>
      </c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89">
        <f t="shared" si="353"/>
        <v>0</v>
      </c>
      <c r="P837" s="65"/>
      <c r="Q837" s="104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  <c r="AE837" s="65"/>
      <c r="AF837" s="65"/>
      <c r="AG837" s="65"/>
      <c r="AH837" s="65"/>
      <c r="AI837" s="65"/>
      <c r="AJ837" s="65"/>
      <c r="AK837" s="65"/>
      <c r="AL837" s="65"/>
      <c r="AM837" s="65"/>
      <c r="AN837" s="65"/>
      <c r="AO837" s="65"/>
      <c r="AP837" s="65"/>
      <c r="AQ837" s="65"/>
      <c r="AR837" s="65"/>
      <c r="AS837" s="65"/>
      <c r="AT837" s="65"/>
      <c r="AU837" s="65"/>
      <c r="AV837" s="65"/>
      <c r="AW837" s="65"/>
      <c r="AX837" s="65"/>
      <c r="AY837" s="65"/>
      <c r="AZ837" s="65"/>
      <c r="BA837" s="65"/>
      <c r="BB837" s="65"/>
      <c r="BC837" s="65"/>
      <c r="BD837" s="65"/>
      <c r="BE837" s="65"/>
      <c r="BF837" s="65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</row>
    <row r="838" spans="1:74" s="66" customFormat="1" ht="28.5" x14ac:dyDescent="0.2">
      <c r="A838" s="72" t="s">
        <v>978</v>
      </c>
      <c r="B838" s="73" t="s">
        <v>375</v>
      </c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>
        <v>27573529</v>
      </c>
      <c r="O838" s="89">
        <f t="shared" si="353"/>
        <v>27573529</v>
      </c>
      <c r="P838" s="65"/>
      <c r="Q838" s="104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  <c r="AT838" s="65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5"/>
      <c r="BF838" s="65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</row>
    <row r="839" spans="1:74" s="66" customFormat="1" ht="28.5" x14ac:dyDescent="0.2">
      <c r="A839" s="72" t="s">
        <v>979</v>
      </c>
      <c r="B839" s="73" t="s">
        <v>375</v>
      </c>
      <c r="C839" s="127"/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89">
        <f t="shared" si="353"/>
        <v>0</v>
      </c>
      <c r="P839" s="65"/>
      <c r="Q839" s="104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</row>
    <row r="840" spans="1:74" s="66" customFormat="1" ht="28.5" x14ac:dyDescent="0.2">
      <c r="A840" s="72" t="s">
        <v>979</v>
      </c>
      <c r="B840" s="73" t="s">
        <v>375</v>
      </c>
      <c r="C840" s="127"/>
      <c r="D840" s="127"/>
      <c r="E840" s="127"/>
      <c r="F840" s="127"/>
      <c r="G840" s="127"/>
      <c r="H840" s="127"/>
      <c r="I840" s="127"/>
      <c r="J840" s="127"/>
      <c r="K840" s="127"/>
      <c r="L840" s="127"/>
      <c r="M840" s="127"/>
      <c r="N840" s="127">
        <v>7720588</v>
      </c>
      <c r="O840" s="89">
        <f t="shared" si="353"/>
        <v>7720588</v>
      </c>
      <c r="P840" s="65"/>
      <c r="Q840" s="104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  <c r="AT840" s="65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5"/>
      <c r="BF840" s="65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</row>
    <row r="841" spans="1:74" s="66" customFormat="1" ht="30" x14ac:dyDescent="0.2">
      <c r="A841" s="77" t="s">
        <v>980</v>
      </c>
      <c r="B841" s="173" t="s">
        <v>973</v>
      </c>
      <c r="C841" s="126">
        <f>+C842+C843</f>
        <v>0</v>
      </c>
      <c r="D841" s="126">
        <f t="shared" ref="D841:N841" si="360">+D842+D843</f>
        <v>0</v>
      </c>
      <c r="E841" s="126">
        <f t="shared" si="360"/>
        <v>0</v>
      </c>
      <c r="F841" s="126">
        <f t="shared" si="360"/>
        <v>0</v>
      </c>
      <c r="G841" s="126">
        <f t="shared" si="360"/>
        <v>0</v>
      </c>
      <c r="H841" s="126">
        <f t="shared" si="360"/>
        <v>0</v>
      </c>
      <c r="I841" s="126">
        <f t="shared" si="360"/>
        <v>0</v>
      </c>
      <c r="J841" s="126">
        <f t="shared" si="360"/>
        <v>0</v>
      </c>
      <c r="K841" s="126">
        <f t="shared" si="360"/>
        <v>0</v>
      </c>
      <c r="L841" s="126">
        <f t="shared" si="360"/>
        <v>0</v>
      </c>
      <c r="M841" s="126">
        <f t="shared" si="360"/>
        <v>0</v>
      </c>
      <c r="N841" s="126">
        <f t="shared" si="360"/>
        <v>75000000</v>
      </c>
      <c r="O841" s="89">
        <f t="shared" si="353"/>
        <v>75000000</v>
      </c>
      <c r="P841" s="65"/>
      <c r="Q841" s="104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5"/>
      <c r="BF841" s="65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</row>
    <row r="842" spans="1:74" s="66" customFormat="1" ht="30" x14ac:dyDescent="0.2">
      <c r="A842" s="78" t="s">
        <v>981</v>
      </c>
      <c r="B842" s="79" t="s">
        <v>378</v>
      </c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89">
        <f t="shared" si="353"/>
        <v>0</v>
      </c>
      <c r="P842" s="65"/>
      <c r="Q842" s="104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  <c r="AT842" s="65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</row>
    <row r="843" spans="1:74" s="66" customFormat="1" ht="30" x14ac:dyDescent="0.2">
      <c r="A843" s="78" t="s">
        <v>981</v>
      </c>
      <c r="B843" s="79" t="s">
        <v>378</v>
      </c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>
        <v>75000000</v>
      </c>
      <c r="O843" s="89">
        <f t="shared" si="353"/>
        <v>75000000</v>
      </c>
      <c r="P843" s="65"/>
      <c r="Q843" s="104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  <c r="AS843" s="65"/>
      <c r="AT843" s="65"/>
      <c r="AU843" s="65"/>
      <c r="AV843" s="65"/>
      <c r="AW843" s="65"/>
      <c r="AX843" s="65"/>
      <c r="AY843" s="65"/>
      <c r="AZ843" s="65"/>
      <c r="BA843" s="65"/>
      <c r="BB843" s="65"/>
      <c r="BC843" s="65"/>
      <c r="BD843" s="65"/>
      <c r="BE843" s="65"/>
      <c r="BF843" s="65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</row>
    <row r="844" spans="1:74" s="66" customFormat="1" ht="47.25" x14ac:dyDescent="0.2">
      <c r="A844" s="77" t="s">
        <v>982</v>
      </c>
      <c r="B844" s="75" t="s">
        <v>983</v>
      </c>
      <c r="C844" s="126">
        <f>SUM(C845:C847)</f>
        <v>0</v>
      </c>
      <c r="D844" s="126">
        <f t="shared" ref="D844:N844" si="361">SUM(D845:D847)</f>
        <v>0</v>
      </c>
      <c r="E844" s="126">
        <f t="shared" si="361"/>
        <v>0</v>
      </c>
      <c r="F844" s="126">
        <f t="shared" si="361"/>
        <v>168538869.03</v>
      </c>
      <c r="G844" s="126">
        <f t="shared" si="361"/>
        <v>0</v>
      </c>
      <c r="H844" s="126">
        <f t="shared" si="361"/>
        <v>0</v>
      </c>
      <c r="I844" s="126">
        <f t="shared" si="361"/>
        <v>0</v>
      </c>
      <c r="J844" s="126">
        <f t="shared" si="361"/>
        <v>0</v>
      </c>
      <c r="K844" s="126">
        <f t="shared" si="361"/>
        <v>2000000</v>
      </c>
      <c r="L844" s="126">
        <f t="shared" si="361"/>
        <v>0</v>
      </c>
      <c r="M844" s="126">
        <f t="shared" si="361"/>
        <v>0</v>
      </c>
      <c r="N844" s="126">
        <f t="shared" si="361"/>
        <v>0</v>
      </c>
      <c r="O844" s="89">
        <f t="shared" si="353"/>
        <v>170538869.03</v>
      </c>
      <c r="P844" s="65"/>
      <c r="Q844" s="104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  <c r="AE844" s="65"/>
      <c r="AF844" s="65"/>
      <c r="AG844" s="65"/>
      <c r="AH844" s="65"/>
      <c r="AI844" s="65"/>
      <c r="AJ844" s="65"/>
      <c r="AK844" s="65"/>
      <c r="AL844" s="65"/>
      <c r="AM844" s="65"/>
      <c r="AN844" s="65"/>
      <c r="AO844" s="65"/>
      <c r="AP844" s="65"/>
      <c r="AQ844" s="65"/>
      <c r="AR844" s="65"/>
      <c r="AS844" s="65"/>
      <c r="AT844" s="65"/>
      <c r="AU844" s="65"/>
      <c r="AV844" s="65"/>
      <c r="AW844" s="65"/>
      <c r="AX844" s="65"/>
      <c r="AY844" s="65"/>
      <c r="AZ844" s="65"/>
      <c r="BA844" s="65"/>
      <c r="BB844" s="65"/>
      <c r="BC844" s="65"/>
      <c r="BD844" s="65"/>
      <c r="BE844" s="65"/>
      <c r="BF844" s="65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</row>
    <row r="845" spans="1:74" s="66" customFormat="1" ht="28.5" x14ac:dyDescent="0.2">
      <c r="A845" s="72" t="s">
        <v>984</v>
      </c>
      <c r="B845" s="73" t="s">
        <v>375</v>
      </c>
      <c r="C845" s="127"/>
      <c r="D845" s="127"/>
      <c r="E845" s="127"/>
      <c r="F845" s="127"/>
      <c r="G845" s="127"/>
      <c r="H845" s="127"/>
      <c r="I845" s="127"/>
      <c r="J845" s="127"/>
      <c r="K845" s="127"/>
      <c r="L845" s="127"/>
      <c r="M845" s="127"/>
      <c r="N845" s="127"/>
      <c r="O845" s="89">
        <f t="shared" si="353"/>
        <v>0</v>
      </c>
      <c r="P845" s="65"/>
      <c r="Q845" s="104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  <c r="AE845" s="65"/>
      <c r="AF845" s="65"/>
      <c r="AG845" s="65"/>
      <c r="AH845" s="65"/>
      <c r="AI845" s="65"/>
      <c r="AJ845" s="65"/>
      <c r="AK845" s="65"/>
      <c r="AL845" s="65"/>
      <c r="AM845" s="65"/>
      <c r="AN845" s="65"/>
      <c r="AO845" s="65"/>
      <c r="AP845" s="65"/>
      <c r="AQ845" s="65"/>
      <c r="AR845" s="65"/>
      <c r="AS845" s="65"/>
      <c r="AT845" s="65"/>
      <c r="AU845" s="65"/>
      <c r="AV845" s="65"/>
      <c r="AW845" s="65"/>
      <c r="AX845" s="65"/>
      <c r="AY845" s="65"/>
      <c r="AZ845" s="65"/>
      <c r="BA845" s="65"/>
      <c r="BB845" s="65"/>
      <c r="BC845" s="65"/>
      <c r="BD845" s="65"/>
      <c r="BE845" s="65"/>
      <c r="BF845" s="65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</row>
    <row r="846" spans="1:74" s="66" customFormat="1" ht="28.5" x14ac:dyDescent="0.2">
      <c r="A846" s="72" t="s">
        <v>984</v>
      </c>
      <c r="B846" s="73" t="s">
        <v>375</v>
      </c>
      <c r="C846" s="127"/>
      <c r="D846" s="127"/>
      <c r="E846" s="127"/>
      <c r="F846" s="127">
        <v>42134730.799999997</v>
      </c>
      <c r="G846" s="127"/>
      <c r="H846" s="127"/>
      <c r="I846" s="127"/>
      <c r="J846" s="127"/>
      <c r="K846" s="127"/>
      <c r="L846" s="127"/>
      <c r="M846" s="127"/>
      <c r="N846" s="127"/>
      <c r="O846" s="89">
        <f t="shared" si="353"/>
        <v>42134730.799999997</v>
      </c>
      <c r="P846" s="65"/>
      <c r="Q846" s="104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  <c r="AT846" s="65"/>
      <c r="AU846" s="65"/>
      <c r="AV846" s="65"/>
      <c r="AW846" s="65"/>
      <c r="AX846" s="65"/>
      <c r="AY846" s="65"/>
      <c r="AZ846" s="65"/>
      <c r="BA846" s="65"/>
      <c r="BB846" s="65"/>
      <c r="BC846" s="65"/>
      <c r="BD846" s="65"/>
      <c r="BE846" s="65"/>
      <c r="BF846" s="65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</row>
    <row r="847" spans="1:74" s="66" customFormat="1" ht="31.5" x14ac:dyDescent="0.2">
      <c r="A847" s="77" t="s">
        <v>985</v>
      </c>
      <c r="B847" s="75" t="s">
        <v>986</v>
      </c>
      <c r="C847" s="126">
        <f>SUM(C848:C850)</f>
        <v>0</v>
      </c>
      <c r="D847" s="126">
        <f t="shared" ref="D847:N847" si="362">SUM(D848:D850)</f>
        <v>0</v>
      </c>
      <c r="E847" s="126">
        <f t="shared" si="362"/>
        <v>0</v>
      </c>
      <c r="F847" s="126">
        <f t="shared" si="362"/>
        <v>126404138.23</v>
      </c>
      <c r="G847" s="126">
        <f t="shared" si="362"/>
        <v>0</v>
      </c>
      <c r="H847" s="126">
        <f t="shared" si="362"/>
        <v>0</v>
      </c>
      <c r="I847" s="126">
        <f t="shared" si="362"/>
        <v>0</v>
      </c>
      <c r="J847" s="126">
        <f t="shared" si="362"/>
        <v>0</v>
      </c>
      <c r="K847" s="126">
        <f t="shared" si="362"/>
        <v>2000000</v>
      </c>
      <c r="L847" s="126">
        <f t="shared" si="362"/>
        <v>0</v>
      </c>
      <c r="M847" s="126">
        <f t="shared" si="362"/>
        <v>0</v>
      </c>
      <c r="N847" s="126">
        <f t="shared" si="362"/>
        <v>0</v>
      </c>
      <c r="O847" s="89">
        <f t="shared" si="353"/>
        <v>128404138.23</v>
      </c>
      <c r="P847" s="65"/>
      <c r="Q847" s="104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  <c r="AE847" s="65"/>
      <c r="AF847" s="65"/>
      <c r="AG847" s="65"/>
      <c r="AH847" s="65"/>
      <c r="AI847" s="65"/>
      <c r="AJ847" s="65"/>
      <c r="AK847" s="65"/>
      <c r="AL847" s="65"/>
      <c r="AM847" s="65"/>
      <c r="AN847" s="65"/>
      <c r="AO847" s="65"/>
      <c r="AP847" s="65"/>
      <c r="AQ847" s="65"/>
      <c r="AR847" s="65"/>
      <c r="AS847" s="65"/>
      <c r="AT847" s="65"/>
      <c r="AU847" s="65"/>
      <c r="AV847" s="65"/>
      <c r="AW847" s="65"/>
      <c r="AX847" s="65"/>
      <c r="AY847" s="65"/>
      <c r="AZ847" s="65"/>
      <c r="BA847" s="65"/>
      <c r="BB847" s="65"/>
      <c r="BC847" s="65"/>
      <c r="BD847" s="65"/>
      <c r="BE847" s="65"/>
      <c r="BF847" s="65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</row>
    <row r="848" spans="1:74" s="66" customFormat="1" ht="30" x14ac:dyDescent="0.2">
      <c r="A848" s="72" t="s">
        <v>987</v>
      </c>
      <c r="B848" s="79" t="s">
        <v>378</v>
      </c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89">
        <f t="shared" si="353"/>
        <v>0</v>
      </c>
      <c r="P848" s="67"/>
      <c r="Q848" s="104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  <c r="AE848" s="65"/>
      <c r="AF848" s="65"/>
      <c r="AG848" s="65"/>
      <c r="AH848" s="65"/>
      <c r="AI848" s="65"/>
      <c r="AJ848" s="65"/>
      <c r="AK848" s="65"/>
      <c r="AL848" s="65"/>
      <c r="AM848" s="65"/>
      <c r="AN848" s="65"/>
      <c r="AO848" s="65"/>
      <c r="AP848" s="65"/>
      <c r="AQ848" s="65"/>
      <c r="AR848" s="65"/>
      <c r="AS848" s="65"/>
      <c r="AT848" s="65"/>
      <c r="AU848" s="65"/>
      <c r="AV848" s="65"/>
      <c r="AW848" s="65"/>
      <c r="AX848" s="65"/>
      <c r="AY848" s="65"/>
      <c r="AZ848" s="65"/>
      <c r="BA848" s="65"/>
      <c r="BB848" s="65"/>
      <c r="BC848" s="65"/>
      <c r="BD848" s="65"/>
      <c r="BE848" s="65"/>
      <c r="BF848" s="65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</row>
    <row r="849" spans="1:74" s="66" customFormat="1" ht="30" x14ac:dyDescent="0.2">
      <c r="A849" s="72" t="s">
        <v>987</v>
      </c>
      <c r="B849" s="79" t="s">
        <v>378</v>
      </c>
      <c r="C849" s="128"/>
      <c r="D849" s="128"/>
      <c r="E849" s="128"/>
      <c r="F849" s="128">
        <v>126404138.23</v>
      </c>
      <c r="G849" s="128"/>
      <c r="H849" s="128"/>
      <c r="I849" s="128"/>
      <c r="J849" s="128"/>
      <c r="K849" s="128"/>
      <c r="L849" s="128"/>
      <c r="M849" s="128"/>
      <c r="N849" s="128"/>
      <c r="O849" s="89">
        <f t="shared" si="353"/>
        <v>126404138.23</v>
      </c>
      <c r="P849" s="65"/>
      <c r="Q849" s="104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  <c r="AE849" s="65"/>
      <c r="AF849" s="65"/>
      <c r="AG849" s="65"/>
      <c r="AH849" s="65"/>
      <c r="AI849" s="65"/>
      <c r="AJ849" s="65"/>
      <c r="AK849" s="65"/>
      <c r="AL849" s="65"/>
      <c r="AM849" s="65"/>
      <c r="AN849" s="65"/>
      <c r="AO849" s="65"/>
      <c r="AP849" s="65"/>
      <c r="AQ849" s="65"/>
      <c r="AR849" s="65"/>
      <c r="AS849" s="65"/>
      <c r="AT849" s="65"/>
      <c r="AU849" s="65"/>
      <c r="AV849" s="65"/>
      <c r="AW849" s="65"/>
      <c r="AX849" s="65"/>
      <c r="AY849" s="65"/>
      <c r="AZ849" s="65"/>
      <c r="BA849" s="65"/>
      <c r="BB849" s="65"/>
      <c r="BC849" s="65"/>
      <c r="BD849" s="65"/>
      <c r="BE849" s="65"/>
      <c r="BF849" s="65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</row>
    <row r="850" spans="1:74" s="66" customFormat="1" ht="30" x14ac:dyDescent="0.2">
      <c r="A850" s="72" t="s">
        <v>987</v>
      </c>
      <c r="B850" s="79" t="s">
        <v>378</v>
      </c>
      <c r="C850" s="128"/>
      <c r="D850" s="128"/>
      <c r="E850" s="128"/>
      <c r="F850" s="128"/>
      <c r="G850" s="128"/>
      <c r="H850" s="128"/>
      <c r="I850" s="128"/>
      <c r="J850" s="128"/>
      <c r="K850" s="128">
        <v>2000000</v>
      </c>
      <c r="L850" s="128"/>
      <c r="M850" s="128"/>
      <c r="N850" s="128"/>
      <c r="O850" s="89">
        <f t="shared" si="353"/>
        <v>2000000</v>
      </c>
      <c r="P850" s="65"/>
      <c r="Q850" s="104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  <c r="AE850" s="65"/>
      <c r="AF850" s="65"/>
      <c r="AG850" s="65"/>
      <c r="AH850" s="65"/>
      <c r="AI850" s="65"/>
      <c r="AJ850" s="65"/>
      <c r="AK850" s="65"/>
      <c r="AL850" s="65"/>
      <c r="AM850" s="65"/>
      <c r="AN850" s="65"/>
      <c r="AO850" s="65"/>
      <c r="AP850" s="65"/>
      <c r="AQ850" s="65"/>
      <c r="AR850" s="65"/>
      <c r="AS850" s="65"/>
      <c r="AT850" s="65"/>
      <c r="AU850" s="65"/>
      <c r="AV850" s="65"/>
      <c r="AW850" s="65"/>
      <c r="AX850" s="65"/>
      <c r="AY850" s="65"/>
      <c r="AZ850" s="65"/>
      <c r="BA850" s="65"/>
      <c r="BB850" s="65"/>
      <c r="BC850" s="65"/>
      <c r="BD850" s="65"/>
      <c r="BE850" s="65"/>
      <c r="BF850" s="65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</row>
    <row r="851" spans="1:74" s="66" customFormat="1" ht="47.25" x14ac:dyDescent="0.2">
      <c r="A851" s="77" t="s">
        <v>430</v>
      </c>
      <c r="B851" s="75" t="s">
        <v>988</v>
      </c>
      <c r="C851" s="126">
        <f t="shared" ref="C851:N851" si="363">+C852+C861</f>
        <v>0</v>
      </c>
      <c r="D851" s="126">
        <f t="shared" si="363"/>
        <v>0</v>
      </c>
      <c r="E851" s="126">
        <f t="shared" si="363"/>
        <v>0</v>
      </c>
      <c r="F851" s="126">
        <f t="shared" si="363"/>
        <v>0</v>
      </c>
      <c r="G851" s="126">
        <f t="shared" si="363"/>
        <v>0</v>
      </c>
      <c r="H851" s="126">
        <f t="shared" si="363"/>
        <v>0</v>
      </c>
      <c r="I851" s="126">
        <f t="shared" si="363"/>
        <v>0</v>
      </c>
      <c r="J851" s="126">
        <f t="shared" si="363"/>
        <v>0</v>
      </c>
      <c r="K851" s="126">
        <f>+K852+K861</f>
        <v>800000000</v>
      </c>
      <c r="L851" s="126">
        <f t="shared" si="363"/>
        <v>0</v>
      </c>
      <c r="M851" s="126">
        <f t="shared" si="363"/>
        <v>0</v>
      </c>
      <c r="N851" s="126">
        <f t="shared" si="363"/>
        <v>3150000000</v>
      </c>
      <c r="O851" s="89">
        <f t="shared" si="353"/>
        <v>3950000000</v>
      </c>
      <c r="P851" s="67"/>
      <c r="Q851" s="104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  <c r="AE851" s="65"/>
      <c r="AF851" s="65"/>
      <c r="AG851" s="65"/>
      <c r="AH851" s="65"/>
      <c r="AI851" s="65"/>
      <c r="AJ851" s="65"/>
      <c r="AK851" s="65"/>
      <c r="AL851" s="65"/>
      <c r="AM851" s="65"/>
      <c r="AN851" s="65"/>
      <c r="AO851" s="65"/>
      <c r="AP851" s="65"/>
      <c r="AQ851" s="65"/>
      <c r="AR851" s="65"/>
      <c r="AS851" s="65"/>
      <c r="AT851" s="65"/>
      <c r="AU851" s="65"/>
      <c r="AV851" s="65"/>
      <c r="AW851" s="65"/>
      <c r="AX851" s="65"/>
      <c r="AY851" s="65"/>
      <c r="AZ851" s="65"/>
      <c r="BA851" s="65"/>
      <c r="BB851" s="65"/>
      <c r="BC851" s="65"/>
      <c r="BD851" s="65"/>
      <c r="BE851" s="65"/>
      <c r="BF851" s="65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</row>
    <row r="852" spans="1:74" s="66" customFormat="1" ht="31.5" x14ac:dyDescent="0.2">
      <c r="A852" s="77" t="s">
        <v>432</v>
      </c>
      <c r="B852" s="75" t="s">
        <v>989</v>
      </c>
      <c r="C852" s="126">
        <f t="shared" ref="C852:N852" si="364">+C853</f>
        <v>0</v>
      </c>
      <c r="D852" s="126">
        <f t="shared" si="364"/>
        <v>0</v>
      </c>
      <c r="E852" s="126">
        <f t="shared" si="364"/>
        <v>0</v>
      </c>
      <c r="F852" s="126">
        <f t="shared" si="364"/>
        <v>0</v>
      </c>
      <c r="G852" s="126">
        <f t="shared" si="364"/>
        <v>0</v>
      </c>
      <c r="H852" s="126">
        <f t="shared" si="364"/>
        <v>0</v>
      </c>
      <c r="I852" s="126">
        <f t="shared" si="364"/>
        <v>0</v>
      </c>
      <c r="J852" s="126">
        <f t="shared" si="364"/>
        <v>0</v>
      </c>
      <c r="K852" s="126">
        <f t="shared" si="364"/>
        <v>0</v>
      </c>
      <c r="L852" s="126">
        <f t="shared" si="364"/>
        <v>0</v>
      </c>
      <c r="M852" s="126">
        <f t="shared" si="364"/>
        <v>0</v>
      </c>
      <c r="N852" s="126">
        <f t="shared" si="364"/>
        <v>762000000</v>
      </c>
      <c r="O852" s="89">
        <f t="shared" si="353"/>
        <v>762000000</v>
      </c>
      <c r="P852" s="65"/>
      <c r="Q852" s="104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  <c r="AE852" s="65"/>
      <c r="AF852" s="65"/>
      <c r="AG852" s="65"/>
      <c r="AH852" s="65"/>
      <c r="AI852" s="65"/>
      <c r="AJ852" s="65"/>
      <c r="AK852" s="65"/>
      <c r="AL852" s="65"/>
      <c r="AM852" s="65"/>
      <c r="AN852" s="65"/>
      <c r="AO852" s="65"/>
      <c r="AP852" s="65"/>
      <c r="AQ852" s="65"/>
      <c r="AR852" s="65"/>
      <c r="AS852" s="65"/>
      <c r="AT852" s="65"/>
      <c r="AU852" s="65"/>
      <c r="AV852" s="65"/>
      <c r="AW852" s="65"/>
      <c r="AX852" s="65"/>
      <c r="AY852" s="65"/>
      <c r="AZ852" s="65"/>
      <c r="BA852" s="65"/>
      <c r="BB852" s="65"/>
      <c r="BC852" s="65"/>
      <c r="BD852" s="65"/>
      <c r="BE852" s="65"/>
      <c r="BF852" s="65"/>
      <c r="BG852" s="65"/>
      <c r="BH852" s="65"/>
      <c r="BI852" s="65"/>
      <c r="BJ852" s="65"/>
      <c r="BK852" s="65"/>
      <c r="BL852" s="65"/>
      <c r="BM852" s="65"/>
      <c r="BN852" s="65"/>
      <c r="BO852" s="65"/>
      <c r="BP852" s="65"/>
      <c r="BQ852" s="65"/>
      <c r="BR852" s="65"/>
      <c r="BS852" s="65"/>
      <c r="BT852" s="65"/>
      <c r="BU852" s="65"/>
      <c r="BV852" s="65"/>
    </row>
    <row r="853" spans="1:74" s="66" customFormat="1" ht="47.25" x14ac:dyDescent="0.2">
      <c r="A853" s="77" t="s">
        <v>441</v>
      </c>
      <c r="B853" s="75" t="s">
        <v>990</v>
      </c>
      <c r="C853" s="126">
        <f>SUM(C854:C858)</f>
        <v>0</v>
      </c>
      <c r="D853" s="126">
        <f t="shared" ref="D853:N853" si="365">SUM(D854:D858)</f>
        <v>0</v>
      </c>
      <c r="E853" s="126">
        <f t="shared" si="365"/>
        <v>0</v>
      </c>
      <c r="F853" s="126">
        <f t="shared" si="365"/>
        <v>0</v>
      </c>
      <c r="G853" s="126">
        <f t="shared" si="365"/>
        <v>0</v>
      </c>
      <c r="H853" s="126">
        <f t="shared" si="365"/>
        <v>0</v>
      </c>
      <c r="I853" s="126">
        <f t="shared" si="365"/>
        <v>0</v>
      </c>
      <c r="J853" s="126">
        <f t="shared" si="365"/>
        <v>0</v>
      </c>
      <c r="K853" s="126">
        <f t="shared" si="365"/>
        <v>0</v>
      </c>
      <c r="L853" s="126">
        <f t="shared" si="365"/>
        <v>0</v>
      </c>
      <c r="M853" s="126">
        <f t="shared" si="365"/>
        <v>0</v>
      </c>
      <c r="N853" s="126">
        <f t="shared" si="365"/>
        <v>762000000</v>
      </c>
      <c r="O853" s="89">
        <f t="shared" si="353"/>
        <v>762000000</v>
      </c>
      <c r="P853" s="65"/>
      <c r="Q853" s="104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</row>
    <row r="854" spans="1:74" s="66" customFormat="1" ht="28.5" x14ac:dyDescent="0.2">
      <c r="A854" s="72" t="s">
        <v>443</v>
      </c>
      <c r="B854" s="73" t="s">
        <v>375</v>
      </c>
      <c r="C854" s="127"/>
      <c r="D854" s="127"/>
      <c r="E854" s="127"/>
      <c r="F854" s="127"/>
      <c r="G854" s="127"/>
      <c r="H854" s="127"/>
      <c r="I854" s="127"/>
      <c r="J854" s="127"/>
      <c r="K854" s="127"/>
      <c r="L854" s="127"/>
      <c r="M854" s="127"/>
      <c r="N854" s="127"/>
      <c r="O854" s="89">
        <f t="shared" si="353"/>
        <v>0</v>
      </c>
      <c r="P854" s="65"/>
      <c r="Q854" s="104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  <c r="AT854" s="65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5"/>
      <c r="BF854" s="65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</row>
    <row r="855" spans="1:74" s="66" customFormat="1" ht="28.5" x14ac:dyDescent="0.2">
      <c r="A855" s="72" t="s">
        <v>443</v>
      </c>
      <c r="B855" s="73" t="s">
        <v>375</v>
      </c>
      <c r="C855" s="127"/>
      <c r="D855" s="127"/>
      <c r="E855" s="127"/>
      <c r="F855" s="127"/>
      <c r="G855" s="127"/>
      <c r="H855" s="127"/>
      <c r="I855" s="127"/>
      <c r="J855" s="127"/>
      <c r="K855" s="127"/>
      <c r="L855" s="127"/>
      <c r="M855" s="127"/>
      <c r="N855" s="127">
        <v>190500000</v>
      </c>
      <c r="O855" s="89">
        <f t="shared" si="353"/>
        <v>190500000</v>
      </c>
      <c r="P855" s="65"/>
      <c r="Q855" s="104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  <c r="AT855" s="65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5"/>
      <c r="BF855" s="65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</row>
    <row r="856" spans="1:74" s="66" customFormat="1" ht="42.75" x14ac:dyDescent="0.2">
      <c r="A856" s="72" t="s">
        <v>444</v>
      </c>
      <c r="B856" s="73" t="s">
        <v>376</v>
      </c>
      <c r="C856" s="127"/>
      <c r="D856" s="127"/>
      <c r="E856" s="127"/>
      <c r="F856" s="127"/>
      <c r="G856" s="127"/>
      <c r="H856" s="127"/>
      <c r="I856" s="127"/>
      <c r="J856" s="127"/>
      <c r="K856" s="127"/>
      <c r="L856" s="127"/>
      <c r="M856" s="127"/>
      <c r="N856" s="127"/>
      <c r="O856" s="89">
        <f t="shared" si="353"/>
        <v>0</v>
      </c>
      <c r="P856" s="65"/>
      <c r="Q856" s="104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  <c r="AT856" s="65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65"/>
      <c r="BF856" s="65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</row>
    <row r="857" spans="1:74" s="66" customFormat="1" ht="42.75" x14ac:dyDescent="0.2">
      <c r="A857" s="72" t="s">
        <v>444</v>
      </c>
      <c r="B857" s="73" t="s">
        <v>376</v>
      </c>
      <c r="C857" s="127"/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>
        <v>190500000</v>
      </c>
      <c r="O857" s="89">
        <f t="shared" si="353"/>
        <v>190500000</v>
      </c>
      <c r="P857" s="65"/>
      <c r="Q857" s="104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  <c r="AT857" s="65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5"/>
      <c r="BF857" s="65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</row>
    <row r="858" spans="1:74" s="66" customFormat="1" ht="31.5" x14ac:dyDescent="0.2">
      <c r="A858" s="77" t="s">
        <v>445</v>
      </c>
      <c r="B858" s="75" t="s">
        <v>986</v>
      </c>
      <c r="C858" s="126">
        <f>+C859+C860</f>
        <v>0</v>
      </c>
      <c r="D858" s="126">
        <f t="shared" ref="D858:N858" si="366">+D859+D860</f>
        <v>0</v>
      </c>
      <c r="E858" s="126">
        <f t="shared" si="366"/>
        <v>0</v>
      </c>
      <c r="F858" s="126">
        <f t="shared" si="366"/>
        <v>0</v>
      </c>
      <c r="G858" s="126">
        <f t="shared" si="366"/>
        <v>0</v>
      </c>
      <c r="H858" s="126">
        <f t="shared" si="366"/>
        <v>0</v>
      </c>
      <c r="I858" s="126">
        <f t="shared" si="366"/>
        <v>0</v>
      </c>
      <c r="J858" s="126">
        <f t="shared" si="366"/>
        <v>0</v>
      </c>
      <c r="K858" s="126">
        <f t="shared" si="366"/>
        <v>0</v>
      </c>
      <c r="L858" s="126">
        <f t="shared" si="366"/>
        <v>0</v>
      </c>
      <c r="M858" s="126">
        <f t="shared" si="366"/>
        <v>0</v>
      </c>
      <c r="N858" s="126">
        <f t="shared" si="366"/>
        <v>381000000</v>
      </c>
      <c r="O858" s="89">
        <f t="shared" si="353"/>
        <v>381000000</v>
      </c>
      <c r="P858" s="65"/>
      <c r="Q858" s="104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  <c r="AT858" s="65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5"/>
      <c r="BF858" s="65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</row>
    <row r="859" spans="1:74" s="66" customFormat="1" ht="28.5" x14ac:dyDescent="0.2">
      <c r="A859" s="72" t="s">
        <v>991</v>
      </c>
      <c r="B859" s="73" t="s">
        <v>378</v>
      </c>
      <c r="C859" s="127"/>
      <c r="D859" s="127"/>
      <c r="E859" s="127"/>
      <c r="F859" s="127"/>
      <c r="G859" s="127"/>
      <c r="H859" s="127"/>
      <c r="I859" s="127"/>
      <c r="J859" s="127"/>
      <c r="K859" s="127"/>
      <c r="L859" s="127"/>
      <c r="M859" s="127"/>
      <c r="N859" s="127"/>
      <c r="O859" s="89">
        <f t="shared" si="353"/>
        <v>0</v>
      </c>
      <c r="P859" s="67"/>
      <c r="Q859" s="104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  <c r="AT859" s="65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5"/>
      <c r="BF859" s="65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</row>
    <row r="860" spans="1:74" s="66" customFormat="1" ht="28.5" x14ac:dyDescent="0.2">
      <c r="A860" s="72" t="s">
        <v>991</v>
      </c>
      <c r="B860" s="73" t="s">
        <v>378</v>
      </c>
      <c r="C860" s="127"/>
      <c r="D860" s="127"/>
      <c r="E860" s="127"/>
      <c r="F860" s="127"/>
      <c r="G860" s="127"/>
      <c r="H860" s="127"/>
      <c r="I860" s="127"/>
      <c r="J860" s="127"/>
      <c r="K860" s="127"/>
      <c r="L860" s="127"/>
      <c r="M860" s="127"/>
      <c r="N860" s="127">
        <v>381000000</v>
      </c>
      <c r="O860" s="89">
        <f t="shared" si="353"/>
        <v>381000000</v>
      </c>
      <c r="P860" s="67"/>
      <c r="Q860" s="104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</row>
    <row r="861" spans="1:74" s="66" customFormat="1" ht="31.5" x14ac:dyDescent="0.2">
      <c r="A861" s="77" t="s">
        <v>448</v>
      </c>
      <c r="B861" s="75" t="s">
        <v>992</v>
      </c>
      <c r="C861" s="126">
        <f>+C862+C873</f>
        <v>0</v>
      </c>
      <c r="D861" s="126">
        <f t="shared" ref="D861:N861" si="367">+D862+D873</f>
        <v>0</v>
      </c>
      <c r="E861" s="126">
        <f t="shared" si="367"/>
        <v>0</v>
      </c>
      <c r="F861" s="126">
        <f t="shared" si="367"/>
        <v>0</v>
      </c>
      <c r="G861" s="126">
        <f t="shared" si="367"/>
        <v>0</v>
      </c>
      <c r="H861" s="126">
        <f t="shared" si="367"/>
        <v>0</v>
      </c>
      <c r="I861" s="126">
        <f t="shared" si="367"/>
        <v>0</v>
      </c>
      <c r="J861" s="126">
        <f t="shared" si="367"/>
        <v>0</v>
      </c>
      <c r="K861" s="126">
        <f t="shared" si="367"/>
        <v>800000000</v>
      </c>
      <c r="L861" s="126">
        <f t="shared" si="367"/>
        <v>0</v>
      </c>
      <c r="M861" s="126">
        <f t="shared" si="367"/>
        <v>0</v>
      </c>
      <c r="N861" s="126">
        <f t="shared" si="367"/>
        <v>2388000000</v>
      </c>
      <c r="O861" s="89">
        <f t="shared" si="353"/>
        <v>3188000000</v>
      </c>
      <c r="P861" s="65"/>
      <c r="Q861" s="104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  <c r="AS861" s="65"/>
      <c r="AT861" s="65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5"/>
      <c r="BF861" s="65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</row>
    <row r="862" spans="1:74" s="68" customFormat="1" ht="63" x14ac:dyDescent="0.2">
      <c r="A862" s="77" t="s">
        <v>450</v>
      </c>
      <c r="B862" s="75" t="s">
        <v>993</v>
      </c>
      <c r="C862" s="126">
        <f>SUM(C863:C869)</f>
        <v>0</v>
      </c>
      <c r="D862" s="126">
        <f t="shared" ref="D862:N862" si="368">SUM(D863:D869)</f>
        <v>0</v>
      </c>
      <c r="E862" s="126">
        <f t="shared" si="368"/>
        <v>0</v>
      </c>
      <c r="F862" s="126">
        <f t="shared" si="368"/>
        <v>0</v>
      </c>
      <c r="G862" s="126">
        <f t="shared" si="368"/>
        <v>0</v>
      </c>
      <c r="H862" s="126">
        <f t="shared" si="368"/>
        <v>0</v>
      </c>
      <c r="I862" s="126">
        <f t="shared" si="368"/>
        <v>0</v>
      </c>
      <c r="J862" s="126">
        <f t="shared" si="368"/>
        <v>0</v>
      </c>
      <c r="K862" s="126">
        <f t="shared" si="368"/>
        <v>400000000</v>
      </c>
      <c r="L862" s="126">
        <f t="shared" si="368"/>
        <v>0</v>
      </c>
      <c r="M862" s="126">
        <f t="shared" si="368"/>
        <v>0</v>
      </c>
      <c r="N862" s="126">
        <f t="shared" si="368"/>
        <v>1674000000</v>
      </c>
      <c r="O862" s="89">
        <f t="shared" si="353"/>
        <v>2074000000</v>
      </c>
      <c r="P862" s="65"/>
      <c r="Q862" s="104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67"/>
      <c r="BU862" s="67"/>
      <c r="BV862" s="67"/>
    </row>
    <row r="863" spans="1:74" s="68" customFormat="1" ht="28.5" x14ac:dyDescent="0.2">
      <c r="A863" s="72" t="s">
        <v>452</v>
      </c>
      <c r="B863" s="73" t="s">
        <v>375</v>
      </c>
      <c r="C863" s="127"/>
      <c r="D863" s="127"/>
      <c r="E863" s="127"/>
      <c r="F863" s="127"/>
      <c r="G863" s="127"/>
      <c r="H863" s="127"/>
      <c r="I863" s="127"/>
      <c r="J863" s="127"/>
      <c r="K863" s="127">
        <v>0</v>
      </c>
      <c r="L863" s="127"/>
      <c r="M863" s="127"/>
      <c r="N863" s="127"/>
      <c r="O863" s="89">
        <f t="shared" si="353"/>
        <v>0</v>
      </c>
      <c r="P863" s="65"/>
      <c r="Q863" s="104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67"/>
      <c r="BU863" s="67"/>
      <c r="BV863" s="67"/>
    </row>
    <row r="864" spans="1:74" s="68" customFormat="1" ht="28.5" x14ac:dyDescent="0.2">
      <c r="A864" s="72" t="s">
        <v>452</v>
      </c>
      <c r="B864" s="73" t="s">
        <v>375</v>
      </c>
      <c r="C864" s="127"/>
      <c r="D864" s="127"/>
      <c r="E864" s="127"/>
      <c r="F864" s="127"/>
      <c r="G864" s="127"/>
      <c r="H864" s="127"/>
      <c r="I864" s="127"/>
      <c r="J864" s="127"/>
      <c r="K864" s="127">
        <v>0</v>
      </c>
      <c r="L864" s="127"/>
      <c r="M864" s="127"/>
      <c r="N864" s="127">
        <v>418500000</v>
      </c>
      <c r="O864" s="89"/>
      <c r="P864" s="65"/>
      <c r="Q864" s="104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67"/>
      <c r="BU864" s="67"/>
      <c r="BV864" s="67"/>
    </row>
    <row r="865" spans="1:74" s="68" customFormat="1" ht="28.5" x14ac:dyDescent="0.2">
      <c r="A865" s="72" t="s">
        <v>452</v>
      </c>
      <c r="B865" s="73" t="s">
        <v>375</v>
      </c>
      <c r="C865" s="127"/>
      <c r="D865" s="127"/>
      <c r="E865" s="127"/>
      <c r="F865" s="127"/>
      <c r="G865" s="127"/>
      <c r="H865" s="127"/>
      <c r="I865" s="127"/>
      <c r="J865" s="127"/>
      <c r="K865" s="127">
        <v>100000000</v>
      </c>
      <c r="L865" s="127"/>
      <c r="M865" s="127"/>
      <c r="N865" s="127"/>
      <c r="O865" s="89">
        <f t="shared" si="353"/>
        <v>100000000</v>
      </c>
      <c r="P865" s="65"/>
      <c r="Q865" s="104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67"/>
      <c r="BU865" s="67"/>
      <c r="BV865" s="67"/>
    </row>
    <row r="866" spans="1:74" s="66" customFormat="1" ht="42.75" x14ac:dyDescent="0.2">
      <c r="A866" s="72" t="s">
        <v>453</v>
      </c>
      <c r="B866" s="73" t="s">
        <v>376</v>
      </c>
      <c r="C866" s="127"/>
      <c r="D866" s="127"/>
      <c r="E866" s="127"/>
      <c r="F866" s="127"/>
      <c r="G866" s="127"/>
      <c r="H866" s="127"/>
      <c r="I866" s="127"/>
      <c r="J866" s="127"/>
      <c r="K866" s="127">
        <v>0</v>
      </c>
      <c r="L866" s="127"/>
      <c r="M866" s="127"/>
      <c r="N866" s="127"/>
      <c r="O866" s="89">
        <f t="shared" si="353"/>
        <v>0</v>
      </c>
      <c r="P866" s="65"/>
      <c r="Q866" s="104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  <c r="AT866" s="65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5"/>
      <c r="BF866" s="65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</row>
    <row r="867" spans="1:74" s="66" customFormat="1" ht="42.75" x14ac:dyDescent="0.2">
      <c r="A867" s="72" t="s">
        <v>453</v>
      </c>
      <c r="B867" s="73" t="s">
        <v>376</v>
      </c>
      <c r="C867" s="127"/>
      <c r="D867" s="127"/>
      <c r="E867" s="127"/>
      <c r="F867" s="127"/>
      <c r="G867" s="127"/>
      <c r="H867" s="127"/>
      <c r="I867" s="127"/>
      <c r="J867" s="127"/>
      <c r="K867" s="127">
        <v>0</v>
      </c>
      <c r="L867" s="127"/>
      <c r="M867" s="127"/>
      <c r="N867" s="127">
        <v>418500000</v>
      </c>
      <c r="O867" s="89">
        <f t="shared" si="353"/>
        <v>418500000</v>
      </c>
      <c r="P867" s="65"/>
      <c r="Q867" s="104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</row>
    <row r="868" spans="1:74" s="66" customFormat="1" ht="42.75" x14ac:dyDescent="0.2">
      <c r="A868" s="72" t="s">
        <v>453</v>
      </c>
      <c r="B868" s="73" t="s">
        <v>376</v>
      </c>
      <c r="C868" s="127"/>
      <c r="D868" s="127"/>
      <c r="E868" s="127"/>
      <c r="F868" s="127"/>
      <c r="G868" s="127"/>
      <c r="H868" s="127"/>
      <c r="I868" s="127"/>
      <c r="J868" s="127"/>
      <c r="K868" s="127">
        <v>100000000</v>
      </c>
      <c r="L868" s="127"/>
      <c r="M868" s="127"/>
      <c r="N868" s="127"/>
      <c r="O868" s="89">
        <f t="shared" si="353"/>
        <v>100000000</v>
      </c>
      <c r="P868" s="65"/>
      <c r="Q868" s="104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5"/>
      <c r="BF868" s="65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</row>
    <row r="869" spans="1:74" s="66" customFormat="1" ht="30" x14ac:dyDescent="0.2">
      <c r="A869" s="172" t="s">
        <v>454</v>
      </c>
      <c r="B869" s="173" t="s">
        <v>986</v>
      </c>
      <c r="C869" s="126">
        <f>SUM(C870:C872)</f>
        <v>0</v>
      </c>
      <c r="D869" s="126">
        <f t="shared" ref="D869:N869" si="369">SUM(D870:D872)</f>
        <v>0</v>
      </c>
      <c r="E869" s="126">
        <f t="shared" si="369"/>
        <v>0</v>
      </c>
      <c r="F869" s="126">
        <f t="shared" si="369"/>
        <v>0</v>
      </c>
      <c r="G869" s="126">
        <f t="shared" si="369"/>
        <v>0</v>
      </c>
      <c r="H869" s="126">
        <f t="shared" si="369"/>
        <v>0</v>
      </c>
      <c r="I869" s="126">
        <f t="shared" si="369"/>
        <v>0</v>
      </c>
      <c r="J869" s="126">
        <f t="shared" si="369"/>
        <v>0</v>
      </c>
      <c r="K869" s="126">
        <f t="shared" si="369"/>
        <v>200000000</v>
      </c>
      <c r="L869" s="126">
        <f t="shared" si="369"/>
        <v>0</v>
      </c>
      <c r="M869" s="126">
        <f t="shared" si="369"/>
        <v>0</v>
      </c>
      <c r="N869" s="126">
        <f t="shared" si="369"/>
        <v>837000000</v>
      </c>
      <c r="O869" s="89">
        <f t="shared" si="353"/>
        <v>1037000000</v>
      </c>
      <c r="P869" s="65"/>
      <c r="Q869" s="104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  <c r="AE869" s="65"/>
      <c r="AF869" s="65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  <c r="AS869" s="65"/>
      <c r="AT869" s="65"/>
      <c r="AU869" s="65"/>
      <c r="AV869" s="65"/>
      <c r="AW869" s="65"/>
      <c r="AX869" s="65"/>
      <c r="AY869" s="65"/>
      <c r="AZ869" s="65"/>
      <c r="BA869" s="65"/>
      <c r="BB869" s="65"/>
      <c r="BC869" s="65"/>
      <c r="BD869" s="65"/>
      <c r="BE869" s="65"/>
      <c r="BF869" s="65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  <c r="BT869" s="65"/>
      <c r="BU869" s="65"/>
      <c r="BV869" s="65"/>
    </row>
    <row r="870" spans="1:74" s="66" customFormat="1" ht="28.5" x14ac:dyDescent="0.2">
      <c r="A870" s="72" t="s">
        <v>994</v>
      </c>
      <c r="B870" s="73" t="s">
        <v>378</v>
      </c>
      <c r="C870" s="128"/>
      <c r="D870" s="128"/>
      <c r="E870" s="128"/>
      <c r="F870" s="128"/>
      <c r="G870" s="128"/>
      <c r="H870" s="128"/>
      <c r="I870" s="128"/>
      <c r="J870" s="128"/>
      <c r="K870" s="128">
        <v>0</v>
      </c>
      <c r="L870" s="128"/>
      <c r="M870" s="128"/>
      <c r="N870" s="128"/>
      <c r="O870" s="89">
        <f t="shared" si="353"/>
        <v>0</v>
      </c>
      <c r="P870" s="65"/>
      <c r="Q870" s="104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  <c r="AE870" s="65"/>
      <c r="AF870" s="65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  <c r="AT870" s="65"/>
      <c r="AU870" s="65"/>
      <c r="AV870" s="65"/>
      <c r="AW870" s="65"/>
      <c r="AX870" s="65"/>
      <c r="AY870" s="65"/>
      <c r="AZ870" s="65"/>
      <c r="BA870" s="65"/>
      <c r="BB870" s="65"/>
      <c r="BC870" s="65"/>
      <c r="BD870" s="65"/>
      <c r="BE870" s="65"/>
      <c r="BF870" s="65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  <c r="BT870" s="65"/>
      <c r="BU870" s="65"/>
      <c r="BV870" s="65"/>
    </row>
    <row r="871" spans="1:74" s="66" customFormat="1" ht="28.5" x14ac:dyDescent="0.2">
      <c r="A871" s="72" t="s">
        <v>994</v>
      </c>
      <c r="B871" s="73" t="s">
        <v>378</v>
      </c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>
        <v>837000000</v>
      </c>
      <c r="O871" s="89">
        <f t="shared" si="353"/>
        <v>837000000</v>
      </c>
      <c r="P871" s="65"/>
      <c r="Q871" s="104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  <c r="AE871" s="65"/>
      <c r="AF871" s="65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  <c r="AS871" s="65"/>
      <c r="AT871" s="65"/>
      <c r="AU871" s="65"/>
      <c r="AV871" s="65"/>
      <c r="AW871" s="65"/>
      <c r="AX871" s="65"/>
      <c r="AY871" s="65"/>
      <c r="AZ871" s="65"/>
      <c r="BA871" s="65"/>
      <c r="BB871" s="65"/>
      <c r="BC871" s="65"/>
      <c r="BD871" s="65"/>
      <c r="BE871" s="65"/>
      <c r="BF871" s="65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  <c r="BT871" s="65"/>
      <c r="BU871" s="65"/>
      <c r="BV871" s="65"/>
    </row>
    <row r="872" spans="1:74" s="66" customFormat="1" ht="28.5" x14ac:dyDescent="0.2">
      <c r="A872" s="72" t="s">
        <v>994</v>
      </c>
      <c r="B872" s="73" t="s">
        <v>378</v>
      </c>
      <c r="C872" s="128"/>
      <c r="D872" s="128"/>
      <c r="E872" s="128"/>
      <c r="F872" s="128"/>
      <c r="G872" s="128"/>
      <c r="H872" s="128"/>
      <c r="I872" s="128"/>
      <c r="J872" s="128"/>
      <c r="K872" s="128">
        <v>200000000</v>
      </c>
      <c r="L872" s="128"/>
      <c r="M872" s="128"/>
      <c r="N872" s="128"/>
      <c r="O872" s="89">
        <f t="shared" si="353"/>
        <v>200000000</v>
      </c>
      <c r="P872" s="65"/>
      <c r="Q872" s="104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  <c r="AS872" s="65"/>
      <c r="AT872" s="65"/>
      <c r="AU872" s="65"/>
      <c r="AV872" s="65"/>
      <c r="AW872" s="65"/>
      <c r="AX872" s="65"/>
      <c r="AY872" s="65"/>
      <c r="AZ872" s="65"/>
      <c r="BA872" s="65"/>
      <c r="BB872" s="65"/>
      <c r="BC872" s="65"/>
      <c r="BD872" s="65"/>
      <c r="BE872" s="65"/>
      <c r="BF872" s="65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  <c r="BT872" s="65"/>
      <c r="BU872" s="65"/>
      <c r="BV872" s="65"/>
    </row>
    <row r="873" spans="1:74" s="66" customFormat="1" ht="63" x14ac:dyDescent="0.2">
      <c r="A873" s="77" t="s">
        <v>457</v>
      </c>
      <c r="B873" s="75" t="s">
        <v>995</v>
      </c>
      <c r="C873" s="126">
        <f t="shared" ref="C873:N873" si="370">SUM(C874:C880)</f>
        <v>0</v>
      </c>
      <c r="D873" s="126">
        <f t="shared" si="370"/>
        <v>0</v>
      </c>
      <c r="E873" s="126">
        <f t="shared" si="370"/>
        <v>0</v>
      </c>
      <c r="F873" s="126">
        <f t="shared" si="370"/>
        <v>0</v>
      </c>
      <c r="G873" s="126">
        <f t="shared" si="370"/>
        <v>0</v>
      </c>
      <c r="H873" s="126">
        <f t="shared" si="370"/>
        <v>0</v>
      </c>
      <c r="I873" s="126">
        <f t="shared" si="370"/>
        <v>0</v>
      </c>
      <c r="J873" s="126">
        <f t="shared" si="370"/>
        <v>0</v>
      </c>
      <c r="K873" s="126">
        <f t="shared" si="370"/>
        <v>400000000</v>
      </c>
      <c r="L873" s="126">
        <f t="shared" si="370"/>
        <v>0</v>
      </c>
      <c r="M873" s="126">
        <f t="shared" si="370"/>
        <v>0</v>
      </c>
      <c r="N873" s="126">
        <f t="shared" si="370"/>
        <v>714000000</v>
      </c>
      <c r="O873" s="89">
        <f t="shared" si="353"/>
        <v>1114000000</v>
      </c>
      <c r="P873" s="65"/>
      <c r="Q873" s="104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  <c r="AE873" s="65"/>
      <c r="AF873" s="65"/>
      <c r="AG873" s="65"/>
      <c r="AH873" s="65"/>
      <c r="AI873" s="65"/>
      <c r="AJ873" s="65"/>
      <c r="AK873" s="65"/>
      <c r="AL873" s="65"/>
      <c r="AM873" s="65"/>
      <c r="AN873" s="65"/>
      <c r="AO873" s="65"/>
      <c r="AP873" s="65"/>
      <c r="AQ873" s="65"/>
      <c r="AR873" s="65"/>
      <c r="AS873" s="65"/>
      <c r="AT873" s="65"/>
      <c r="AU873" s="65"/>
      <c r="AV873" s="65"/>
      <c r="AW873" s="65"/>
      <c r="AX873" s="65"/>
      <c r="AY873" s="65"/>
      <c r="AZ873" s="65"/>
      <c r="BA873" s="65"/>
      <c r="BB873" s="65"/>
      <c r="BC873" s="65"/>
      <c r="BD873" s="65"/>
      <c r="BE873" s="65"/>
      <c r="BF873" s="65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</row>
    <row r="874" spans="1:74" s="68" customFormat="1" ht="30" x14ac:dyDescent="0.2">
      <c r="A874" s="78" t="s">
        <v>459</v>
      </c>
      <c r="B874" s="79" t="s">
        <v>375</v>
      </c>
      <c r="C874" s="128"/>
      <c r="D874" s="128"/>
      <c r="E874" s="128"/>
      <c r="F874" s="128"/>
      <c r="G874" s="128"/>
      <c r="H874" s="128"/>
      <c r="I874" s="128"/>
      <c r="J874" s="128"/>
      <c r="K874" s="128">
        <v>0</v>
      </c>
      <c r="L874" s="128"/>
      <c r="M874" s="128"/>
      <c r="N874" s="128"/>
      <c r="O874" s="89">
        <f t="shared" si="353"/>
        <v>0</v>
      </c>
      <c r="P874" s="65"/>
      <c r="Q874" s="104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67"/>
      <c r="BU874" s="67"/>
      <c r="BV874" s="67"/>
    </row>
    <row r="875" spans="1:74" s="68" customFormat="1" ht="30" x14ac:dyDescent="0.2">
      <c r="A875" s="78" t="s">
        <v>459</v>
      </c>
      <c r="B875" s="79" t="s">
        <v>375</v>
      </c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>
        <v>178500000</v>
      </c>
      <c r="O875" s="89">
        <f t="shared" si="353"/>
        <v>178500000</v>
      </c>
      <c r="P875" s="65"/>
      <c r="Q875" s="104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</row>
    <row r="876" spans="1:74" s="68" customFormat="1" ht="30" x14ac:dyDescent="0.2">
      <c r="A876" s="78" t="s">
        <v>459</v>
      </c>
      <c r="B876" s="79" t="s">
        <v>375</v>
      </c>
      <c r="C876" s="128"/>
      <c r="D876" s="128"/>
      <c r="E876" s="128"/>
      <c r="F876" s="128"/>
      <c r="G876" s="128"/>
      <c r="H876" s="128"/>
      <c r="I876" s="128"/>
      <c r="J876" s="128"/>
      <c r="K876" s="128">
        <v>100000000</v>
      </c>
      <c r="L876" s="128"/>
      <c r="M876" s="128"/>
      <c r="N876" s="128"/>
      <c r="O876" s="89">
        <f t="shared" si="353"/>
        <v>100000000</v>
      </c>
      <c r="P876" s="65"/>
      <c r="Q876" s="104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67"/>
      <c r="BR876" s="67"/>
      <c r="BS876" s="67"/>
      <c r="BT876" s="67"/>
      <c r="BU876" s="67"/>
      <c r="BV876" s="67"/>
    </row>
    <row r="877" spans="1:74" s="66" customFormat="1" ht="60" x14ac:dyDescent="0.2">
      <c r="A877" s="78" t="s">
        <v>460</v>
      </c>
      <c r="B877" s="196" t="s">
        <v>376</v>
      </c>
      <c r="C877" s="128"/>
      <c r="D877" s="128"/>
      <c r="E877" s="128"/>
      <c r="F877" s="128"/>
      <c r="G877" s="128"/>
      <c r="H877" s="128"/>
      <c r="I877" s="128"/>
      <c r="J877" s="128"/>
      <c r="K877" s="128">
        <v>0</v>
      </c>
      <c r="L877" s="128"/>
      <c r="M877" s="128"/>
      <c r="N877" s="128"/>
      <c r="O877" s="89">
        <f t="shared" si="353"/>
        <v>0</v>
      </c>
      <c r="P877" s="65"/>
      <c r="Q877" s="104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  <c r="AE877" s="65"/>
      <c r="AF877" s="65"/>
      <c r="AG877" s="65"/>
      <c r="AH877" s="65"/>
      <c r="AI877" s="65"/>
      <c r="AJ877" s="65"/>
      <c r="AK877" s="65"/>
      <c r="AL877" s="65"/>
      <c r="AM877" s="65"/>
      <c r="AN877" s="65"/>
      <c r="AO877" s="65"/>
      <c r="AP877" s="65"/>
      <c r="AQ877" s="65"/>
      <c r="AR877" s="65"/>
      <c r="AS877" s="65"/>
      <c r="AT877" s="65"/>
      <c r="AU877" s="65"/>
      <c r="AV877" s="65"/>
      <c r="AW877" s="65"/>
      <c r="AX877" s="65"/>
      <c r="AY877" s="65"/>
      <c r="AZ877" s="65"/>
      <c r="BA877" s="65"/>
      <c r="BB877" s="65"/>
      <c r="BC877" s="65"/>
      <c r="BD877" s="65"/>
      <c r="BE877" s="65"/>
      <c r="BF877" s="65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  <c r="BT877" s="65"/>
      <c r="BU877" s="65"/>
      <c r="BV877" s="65"/>
    </row>
    <row r="878" spans="1:74" s="66" customFormat="1" ht="60" x14ac:dyDescent="0.2">
      <c r="A878" s="78" t="s">
        <v>460</v>
      </c>
      <c r="B878" s="196" t="s">
        <v>376</v>
      </c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>
        <v>178500000</v>
      </c>
      <c r="O878" s="89">
        <f t="shared" si="353"/>
        <v>178500000</v>
      </c>
      <c r="P878" s="65"/>
      <c r="Q878" s="104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  <c r="AE878" s="65"/>
      <c r="AF878" s="65"/>
      <c r="AG878" s="65"/>
      <c r="AH878" s="65"/>
      <c r="AI878" s="65"/>
      <c r="AJ878" s="65"/>
      <c r="AK878" s="65"/>
      <c r="AL878" s="65"/>
      <c r="AM878" s="65"/>
      <c r="AN878" s="65"/>
      <c r="AO878" s="65"/>
      <c r="AP878" s="65"/>
      <c r="AQ878" s="65"/>
      <c r="AR878" s="65"/>
      <c r="AS878" s="65"/>
      <c r="AT878" s="65"/>
      <c r="AU878" s="65"/>
      <c r="AV878" s="65"/>
      <c r="AW878" s="65"/>
      <c r="AX878" s="65"/>
      <c r="AY878" s="65"/>
      <c r="AZ878" s="65"/>
      <c r="BA878" s="65"/>
      <c r="BB878" s="65"/>
      <c r="BC878" s="65"/>
      <c r="BD878" s="65"/>
      <c r="BE878" s="65"/>
      <c r="BF878" s="65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  <c r="BT878" s="65"/>
      <c r="BU878" s="65"/>
      <c r="BV878" s="65"/>
    </row>
    <row r="879" spans="1:74" s="66" customFormat="1" ht="60" x14ac:dyDescent="0.2">
      <c r="A879" s="78" t="s">
        <v>460</v>
      </c>
      <c r="B879" s="196" t="s">
        <v>376</v>
      </c>
      <c r="C879" s="128"/>
      <c r="D879" s="128"/>
      <c r="E879" s="128"/>
      <c r="F879" s="128"/>
      <c r="G879" s="128"/>
      <c r="H879" s="128"/>
      <c r="I879" s="128"/>
      <c r="J879" s="128"/>
      <c r="K879" s="128">
        <v>100000000</v>
      </c>
      <c r="L879" s="128"/>
      <c r="M879" s="128"/>
      <c r="N879" s="128"/>
      <c r="O879" s="89">
        <f t="shared" si="353"/>
        <v>100000000</v>
      </c>
      <c r="P879" s="65"/>
      <c r="Q879" s="104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  <c r="AS879" s="65"/>
      <c r="AT879" s="65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5"/>
      <c r="BF879" s="65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</row>
    <row r="880" spans="1:74" s="66" customFormat="1" ht="31.5" x14ac:dyDescent="0.2">
      <c r="A880" s="77" t="s">
        <v>461</v>
      </c>
      <c r="B880" s="75" t="s">
        <v>986</v>
      </c>
      <c r="C880" s="126">
        <f>SUM(C881:C883)</f>
        <v>0</v>
      </c>
      <c r="D880" s="126">
        <f t="shared" ref="D880:N880" si="371">SUM(D881:D883)</f>
        <v>0</v>
      </c>
      <c r="E880" s="126">
        <f t="shared" si="371"/>
        <v>0</v>
      </c>
      <c r="F880" s="126">
        <f t="shared" si="371"/>
        <v>0</v>
      </c>
      <c r="G880" s="126">
        <f t="shared" si="371"/>
        <v>0</v>
      </c>
      <c r="H880" s="126">
        <f t="shared" si="371"/>
        <v>0</v>
      </c>
      <c r="I880" s="126">
        <f t="shared" si="371"/>
        <v>0</v>
      </c>
      <c r="J880" s="126">
        <f t="shared" si="371"/>
        <v>0</v>
      </c>
      <c r="K880" s="126">
        <f t="shared" si="371"/>
        <v>200000000</v>
      </c>
      <c r="L880" s="126">
        <f t="shared" si="371"/>
        <v>0</v>
      </c>
      <c r="M880" s="126">
        <f t="shared" si="371"/>
        <v>0</v>
      </c>
      <c r="N880" s="126">
        <f t="shared" si="371"/>
        <v>357000000</v>
      </c>
      <c r="O880" s="89">
        <f t="shared" si="353"/>
        <v>557000000</v>
      </c>
      <c r="P880" s="65"/>
      <c r="Q880" s="104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  <c r="AS880" s="65"/>
      <c r="AT880" s="65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5"/>
      <c r="BF880" s="65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  <c r="BT880" s="65"/>
      <c r="BU880" s="65"/>
      <c r="BV880" s="65"/>
    </row>
    <row r="881" spans="1:74" s="66" customFormat="1" ht="28.5" x14ac:dyDescent="0.2">
      <c r="A881" s="72" t="s">
        <v>996</v>
      </c>
      <c r="B881" s="73" t="s">
        <v>378</v>
      </c>
      <c r="C881" s="127"/>
      <c r="D881" s="127"/>
      <c r="E881" s="127"/>
      <c r="F881" s="127"/>
      <c r="G881" s="127"/>
      <c r="H881" s="127"/>
      <c r="I881" s="127"/>
      <c r="J881" s="127"/>
      <c r="K881" s="127">
        <v>0</v>
      </c>
      <c r="L881" s="127"/>
      <c r="M881" s="127"/>
      <c r="N881" s="127"/>
      <c r="O881" s="89">
        <f t="shared" si="353"/>
        <v>0</v>
      </c>
      <c r="P881" s="65"/>
      <c r="Q881" s="104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  <c r="AT881" s="65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  <c r="BT881" s="65"/>
      <c r="BU881" s="65"/>
      <c r="BV881" s="65"/>
    </row>
    <row r="882" spans="1:74" s="66" customFormat="1" ht="28.5" x14ac:dyDescent="0.2">
      <c r="A882" s="72" t="s">
        <v>996</v>
      </c>
      <c r="B882" s="73" t="s">
        <v>378</v>
      </c>
      <c r="C882" s="127"/>
      <c r="D882" s="127"/>
      <c r="E882" s="127"/>
      <c r="F882" s="127"/>
      <c r="G882" s="127"/>
      <c r="H882" s="127"/>
      <c r="I882" s="127"/>
      <c r="J882" s="127"/>
      <c r="K882" s="127"/>
      <c r="L882" s="127"/>
      <c r="M882" s="127"/>
      <c r="N882" s="127">
        <v>357000000</v>
      </c>
      <c r="O882" s="89">
        <f t="shared" si="353"/>
        <v>357000000</v>
      </c>
      <c r="P882" s="65"/>
      <c r="Q882" s="104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  <c r="BT882" s="65"/>
      <c r="BU882" s="65"/>
      <c r="BV882" s="65"/>
    </row>
    <row r="883" spans="1:74" s="66" customFormat="1" ht="28.5" x14ac:dyDescent="0.2">
      <c r="A883" s="72" t="s">
        <v>996</v>
      </c>
      <c r="B883" s="73" t="s">
        <v>378</v>
      </c>
      <c r="C883" s="127"/>
      <c r="D883" s="127"/>
      <c r="E883" s="127"/>
      <c r="F883" s="127"/>
      <c r="G883" s="127"/>
      <c r="H883" s="127"/>
      <c r="I883" s="127"/>
      <c r="J883" s="127"/>
      <c r="K883" s="127">
        <v>200000000</v>
      </c>
      <c r="L883" s="127"/>
      <c r="M883" s="127"/>
      <c r="N883" s="127"/>
      <c r="O883" s="89">
        <f t="shared" si="353"/>
        <v>200000000</v>
      </c>
      <c r="P883" s="65"/>
      <c r="Q883" s="104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  <c r="AS883" s="65"/>
      <c r="AT883" s="65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5"/>
      <c r="BF883" s="65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  <c r="BR883" s="65"/>
      <c r="BS883" s="65"/>
      <c r="BT883" s="65"/>
      <c r="BU883" s="65"/>
      <c r="BV883" s="65"/>
    </row>
    <row r="884" spans="1:74" s="66" customFormat="1" ht="47.25" x14ac:dyDescent="0.2">
      <c r="A884" s="77" t="s">
        <v>464</v>
      </c>
      <c r="B884" s="75" t="s">
        <v>997</v>
      </c>
      <c r="C884" s="126">
        <f t="shared" ref="C884:N884" si="372">+C885+C896</f>
        <v>0</v>
      </c>
      <c r="D884" s="126">
        <f t="shared" si="372"/>
        <v>0</v>
      </c>
      <c r="E884" s="126">
        <f t="shared" si="372"/>
        <v>0</v>
      </c>
      <c r="F884" s="126">
        <f t="shared" si="372"/>
        <v>0</v>
      </c>
      <c r="G884" s="126">
        <f t="shared" si="372"/>
        <v>0</v>
      </c>
      <c r="H884" s="126">
        <f t="shared" si="372"/>
        <v>0</v>
      </c>
      <c r="I884" s="126">
        <f t="shared" si="372"/>
        <v>0</v>
      </c>
      <c r="J884" s="126">
        <f t="shared" si="372"/>
        <v>0</v>
      </c>
      <c r="K884" s="126">
        <f t="shared" si="372"/>
        <v>800000000</v>
      </c>
      <c r="L884" s="126">
        <f t="shared" si="372"/>
        <v>0</v>
      </c>
      <c r="M884" s="126">
        <f t="shared" si="372"/>
        <v>0</v>
      </c>
      <c r="N884" s="126">
        <f t="shared" si="372"/>
        <v>1838000000</v>
      </c>
      <c r="O884" s="89">
        <f t="shared" si="353"/>
        <v>2638000000</v>
      </c>
      <c r="P884" s="65"/>
      <c r="Q884" s="104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  <c r="AS884" s="65"/>
      <c r="AT884" s="65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5"/>
      <c r="BF884" s="65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  <c r="BT884" s="65"/>
      <c r="BU884" s="65"/>
      <c r="BV884" s="65"/>
    </row>
    <row r="885" spans="1:74" s="66" customFormat="1" ht="47.25" x14ac:dyDescent="0.2">
      <c r="A885" s="77" t="s">
        <v>998</v>
      </c>
      <c r="B885" s="75" t="s">
        <v>999</v>
      </c>
      <c r="C885" s="126">
        <f>SUM(C886:C892)</f>
        <v>0</v>
      </c>
      <c r="D885" s="126">
        <f t="shared" ref="D885:N885" si="373">SUM(D886:D892)</f>
        <v>0</v>
      </c>
      <c r="E885" s="126">
        <f t="shared" si="373"/>
        <v>0</v>
      </c>
      <c r="F885" s="126">
        <f t="shared" si="373"/>
        <v>0</v>
      </c>
      <c r="G885" s="126">
        <f t="shared" si="373"/>
        <v>0</v>
      </c>
      <c r="H885" s="126">
        <f t="shared" si="373"/>
        <v>0</v>
      </c>
      <c r="I885" s="126">
        <f t="shared" si="373"/>
        <v>0</v>
      </c>
      <c r="J885" s="126">
        <f t="shared" si="373"/>
        <v>0</v>
      </c>
      <c r="K885" s="126">
        <f t="shared" si="373"/>
        <v>800000000</v>
      </c>
      <c r="L885" s="126">
        <f t="shared" si="373"/>
        <v>0</v>
      </c>
      <c r="M885" s="126">
        <f t="shared" si="373"/>
        <v>0</v>
      </c>
      <c r="N885" s="126">
        <f t="shared" si="373"/>
        <v>1838000000</v>
      </c>
      <c r="O885" s="89">
        <f t="shared" si="353"/>
        <v>2638000000</v>
      </c>
      <c r="P885" s="65"/>
      <c r="Q885" s="104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  <c r="AS885" s="65"/>
      <c r="AT885" s="65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5"/>
      <c r="BF885" s="65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  <c r="BT885" s="65"/>
      <c r="BU885" s="65"/>
      <c r="BV885" s="65"/>
    </row>
    <row r="886" spans="1:74" s="66" customFormat="1" ht="28.5" x14ac:dyDescent="0.2">
      <c r="A886" s="72" t="s">
        <v>1000</v>
      </c>
      <c r="B886" s="73" t="s">
        <v>375</v>
      </c>
      <c r="C886" s="127"/>
      <c r="D886" s="127"/>
      <c r="E886" s="127"/>
      <c r="F886" s="127"/>
      <c r="G886" s="127"/>
      <c r="H886" s="127"/>
      <c r="I886" s="127"/>
      <c r="J886" s="127"/>
      <c r="K886" s="127">
        <v>0</v>
      </c>
      <c r="L886" s="127"/>
      <c r="M886" s="127"/>
      <c r="N886" s="127"/>
      <c r="O886" s="89">
        <f t="shared" si="353"/>
        <v>0</v>
      </c>
      <c r="P886" s="65"/>
      <c r="Q886" s="104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  <c r="AE886" s="65"/>
      <c r="AF886" s="65"/>
      <c r="AG886" s="65"/>
      <c r="AH886" s="65"/>
      <c r="AI886" s="65"/>
      <c r="AJ886" s="65"/>
      <c r="AK886" s="65"/>
      <c r="AL886" s="65"/>
      <c r="AM886" s="65"/>
      <c r="AN886" s="65"/>
      <c r="AO886" s="65"/>
      <c r="AP886" s="65"/>
      <c r="AQ886" s="65"/>
      <c r="AR886" s="65"/>
      <c r="AS886" s="65"/>
      <c r="AT886" s="65"/>
      <c r="AU886" s="65"/>
      <c r="AV886" s="65"/>
      <c r="AW886" s="65"/>
      <c r="AX886" s="65"/>
      <c r="AY886" s="65"/>
      <c r="AZ886" s="65"/>
      <c r="BA886" s="65"/>
      <c r="BB886" s="65"/>
      <c r="BC886" s="65"/>
      <c r="BD886" s="65"/>
      <c r="BE886" s="65"/>
      <c r="BF886" s="65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  <c r="BT886" s="65"/>
      <c r="BU886" s="65"/>
      <c r="BV886" s="65"/>
    </row>
    <row r="887" spans="1:74" s="66" customFormat="1" ht="28.5" x14ac:dyDescent="0.2">
      <c r="A887" s="72" t="s">
        <v>1000</v>
      </c>
      <c r="B887" s="73" t="s">
        <v>375</v>
      </c>
      <c r="C887" s="127"/>
      <c r="D887" s="127"/>
      <c r="E887" s="127"/>
      <c r="F887" s="127"/>
      <c r="G887" s="127"/>
      <c r="H887" s="127"/>
      <c r="I887" s="127"/>
      <c r="J887" s="127"/>
      <c r="K887" s="127"/>
      <c r="L887" s="127"/>
      <c r="M887" s="127"/>
      <c r="N887" s="127">
        <v>459500000</v>
      </c>
      <c r="O887" s="89"/>
      <c r="P887" s="65"/>
      <c r="Q887" s="104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  <c r="AE887" s="65"/>
      <c r="AF887" s="65"/>
      <c r="AG887" s="65"/>
      <c r="AH887" s="65"/>
      <c r="AI887" s="65"/>
      <c r="AJ887" s="65"/>
      <c r="AK887" s="65"/>
      <c r="AL887" s="65"/>
      <c r="AM887" s="65"/>
      <c r="AN887" s="65"/>
      <c r="AO887" s="65"/>
      <c r="AP887" s="65"/>
      <c r="AQ887" s="65"/>
      <c r="AR887" s="65"/>
      <c r="AS887" s="65"/>
      <c r="AT887" s="65"/>
      <c r="AU887" s="65"/>
      <c r="AV887" s="65"/>
      <c r="AW887" s="65"/>
      <c r="AX887" s="65"/>
      <c r="AY887" s="65"/>
      <c r="AZ887" s="65"/>
      <c r="BA887" s="65"/>
      <c r="BB887" s="65"/>
      <c r="BC887" s="65"/>
      <c r="BD887" s="65"/>
      <c r="BE887" s="65"/>
      <c r="BF887" s="65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  <c r="BT887" s="65"/>
      <c r="BU887" s="65"/>
      <c r="BV887" s="65"/>
    </row>
    <row r="888" spans="1:74" s="66" customFormat="1" ht="28.5" x14ac:dyDescent="0.2">
      <c r="A888" s="72" t="s">
        <v>1000</v>
      </c>
      <c r="B888" s="73" t="s">
        <v>375</v>
      </c>
      <c r="C888" s="127"/>
      <c r="D888" s="127"/>
      <c r="E888" s="127"/>
      <c r="F888" s="127"/>
      <c r="G888" s="127"/>
      <c r="H888" s="127"/>
      <c r="I888" s="127"/>
      <c r="J888" s="127"/>
      <c r="K888" s="127">
        <v>200000000</v>
      </c>
      <c r="L888" s="127"/>
      <c r="M888" s="127"/>
      <c r="N888" s="127"/>
      <c r="O888" s="89">
        <f t="shared" si="353"/>
        <v>200000000</v>
      </c>
      <c r="P888" s="65"/>
      <c r="Q888" s="104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  <c r="AT888" s="65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5"/>
      <c r="BF888" s="65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  <c r="BT888" s="65"/>
      <c r="BU888" s="65"/>
      <c r="BV888" s="65"/>
    </row>
    <row r="889" spans="1:74" s="66" customFormat="1" ht="42.75" x14ac:dyDescent="0.2">
      <c r="A889" s="72" t="s">
        <v>1001</v>
      </c>
      <c r="B889" s="73" t="s">
        <v>376</v>
      </c>
      <c r="C889" s="127"/>
      <c r="D889" s="127"/>
      <c r="E889" s="127"/>
      <c r="F889" s="127"/>
      <c r="G889" s="127"/>
      <c r="H889" s="127"/>
      <c r="I889" s="127"/>
      <c r="J889" s="127"/>
      <c r="K889" s="127">
        <v>0</v>
      </c>
      <c r="L889" s="127"/>
      <c r="M889" s="127"/>
      <c r="N889" s="127"/>
      <c r="O889" s="89">
        <f t="shared" si="353"/>
        <v>0</v>
      </c>
      <c r="P889" s="65"/>
      <c r="Q889" s="104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  <c r="AT889" s="65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5"/>
      <c r="BF889" s="65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  <c r="BT889" s="65"/>
      <c r="BU889" s="65"/>
      <c r="BV889" s="65"/>
    </row>
    <row r="890" spans="1:74" s="66" customFormat="1" ht="42.75" x14ac:dyDescent="0.2">
      <c r="A890" s="72" t="s">
        <v>1001</v>
      </c>
      <c r="B890" s="73" t="s">
        <v>376</v>
      </c>
      <c r="C890" s="127"/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>
        <v>459500000</v>
      </c>
      <c r="O890" s="89"/>
      <c r="P890" s="65"/>
      <c r="Q890" s="104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  <c r="AT890" s="65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5"/>
      <c r="BF890" s="65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  <c r="BT890" s="65"/>
      <c r="BU890" s="65"/>
      <c r="BV890" s="65"/>
    </row>
    <row r="891" spans="1:74" s="66" customFormat="1" ht="42.75" x14ac:dyDescent="0.2">
      <c r="A891" s="72" t="s">
        <v>1001</v>
      </c>
      <c r="B891" s="73" t="s">
        <v>376</v>
      </c>
      <c r="C891" s="127"/>
      <c r="D891" s="127"/>
      <c r="E891" s="127"/>
      <c r="F891" s="127"/>
      <c r="G891" s="127"/>
      <c r="H891" s="127"/>
      <c r="I891" s="127"/>
      <c r="J891" s="127"/>
      <c r="K891" s="127">
        <v>200000000</v>
      </c>
      <c r="L891" s="127"/>
      <c r="M891" s="127"/>
      <c r="N891" s="127"/>
      <c r="O891" s="89">
        <f t="shared" si="353"/>
        <v>200000000</v>
      </c>
      <c r="P891" s="65"/>
      <c r="Q891" s="104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  <c r="AS891" s="65"/>
      <c r="AT891" s="65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5"/>
      <c r="BF891" s="65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  <c r="BT891" s="65"/>
      <c r="BU891" s="65"/>
      <c r="BV891" s="65"/>
    </row>
    <row r="892" spans="1:74" s="66" customFormat="1" ht="31.5" x14ac:dyDescent="0.2">
      <c r="A892" s="77" t="s">
        <v>1002</v>
      </c>
      <c r="B892" s="75" t="s">
        <v>986</v>
      </c>
      <c r="C892" s="126">
        <f>SUM(C893:C895)</f>
        <v>0</v>
      </c>
      <c r="D892" s="126">
        <f t="shared" ref="D892:N892" si="374">SUM(D893:D895)</f>
        <v>0</v>
      </c>
      <c r="E892" s="126">
        <f t="shared" si="374"/>
        <v>0</v>
      </c>
      <c r="F892" s="126">
        <f t="shared" si="374"/>
        <v>0</v>
      </c>
      <c r="G892" s="126">
        <f t="shared" si="374"/>
        <v>0</v>
      </c>
      <c r="H892" s="126">
        <f t="shared" si="374"/>
        <v>0</v>
      </c>
      <c r="I892" s="126">
        <f t="shared" si="374"/>
        <v>0</v>
      </c>
      <c r="J892" s="126">
        <f t="shared" si="374"/>
        <v>0</v>
      </c>
      <c r="K892" s="126">
        <f t="shared" si="374"/>
        <v>400000000</v>
      </c>
      <c r="L892" s="126">
        <f t="shared" si="374"/>
        <v>0</v>
      </c>
      <c r="M892" s="126">
        <f t="shared" si="374"/>
        <v>0</v>
      </c>
      <c r="N892" s="126">
        <f t="shared" si="374"/>
        <v>919000000</v>
      </c>
      <c r="O892" s="89">
        <f t="shared" si="353"/>
        <v>1319000000</v>
      </c>
      <c r="P892" s="65"/>
      <c r="Q892" s="104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  <c r="AS892" s="65"/>
      <c r="AT892" s="65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5"/>
      <c r="BF892" s="65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  <c r="BT892" s="65"/>
      <c r="BU892" s="65"/>
      <c r="BV892" s="65"/>
    </row>
    <row r="893" spans="1:74" s="66" customFormat="1" ht="28.5" x14ac:dyDescent="0.2">
      <c r="A893" s="72" t="s">
        <v>1003</v>
      </c>
      <c r="B893" s="73" t="s">
        <v>378</v>
      </c>
      <c r="C893" s="127"/>
      <c r="D893" s="127"/>
      <c r="E893" s="127"/>
      <c r="F893" s="127"/>
      <c r="G893" s="127"/>
      <c r="H893" s="127"/>
      <c r="I893" s="127"/>
      <c r="J893" s="127"/>
      <c r="K893" s="127">
        <v>0</v>
      </c>
      <c r="L893" s="127"/>
      <c r="M893" s="127"/>
      <c r="N893" s="127"/>
      <c r="O893" s="89">
        <f t="shared" si="353"/>
        <v>0</v>
      </c>
      <c r="P893" s="65"/>
      <c r="Q893" s="104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  <c r="AS893" s="65"/>
      <c r="AT893" s="65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5"/>
      <c r="BF893" s="65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  <c r="BT893" s="65"/>
      <c r="BU893" s="65"/>
      <c r="BV893" s="65"/>
    </row>
    <row r="894" spans="1:74" s="66" customFormat="1" ht="28.5" x14ac:dyDescent="0.2">
      <c r="A894" s="72" t="s">
        <v>1003</v>
      </c>
      <c r="B894" s="73" t="s">
        <v>378</v>
      </c>
      <c r="C894" s="127"/>
      <c r="D894" s="127"/>
      <c r="E894" s="127"/>
      <c r="F894" s="127"/>
      <c r="G894" s="127"/>
      <c r="H894" s="127"/>
      <c r="I894" s="127"/>
      <c r="J894" s="127"/>
      <c r="K894" s="127"/>
      <c r="L894" s="127"/>
      <c r="M894" s="127"/>
      <c r="N894" s="127">
        <v>919000000</v>
      </c>
      <c r="O894" s="89">
        <f t="shared" si="353"/>
        <v>919000000</v>
      </c>
      <c r="P894" s="65"/>
      <c r="Q894" s="104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  <c r="AS894" s="65"/>
      <c r="AT894" s="65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5"/>
      <c r="BF894" s="65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  <c r="BT894" s="65"/>
      <c r="BU894" s="65"/>
      <c r="BV894" s="65"/>
    </row>
    <row r="895" spans="1:74" s="66" customFormat="1" ht="28.5" x14ac:dyDescent="0.2">
      <c r="A895" s="72" t="s">
        <v>1003</v>
      </c>
      <c r="B895" s="73" t="s">
        <v>378</v>
      </c>
      <c r="C895" s="127"/>
      <c r="D895" s="127"/>
      <c r="E895" s="127"/>
      <c r="F895" s="127"/>
      <c r="G895" s="127"/>
      <c r="H895" s="127"/>
      <c r="I895" s="127"/>
      <c r="J895" s="127"/>
      <c r="K895" s="127">
        <v>400000000</v>
      </c>
      <c r="L895" s="127"/>
      <c r="M895" s="127"/>
      <c r="N895" s="127"/>
      <c r="O895" s="89">
        <f t="shared" si="353"/>
        <v>400000000</v>
      </c>
      <c r="P895" s="65"/>
      <c r="Q895" s="104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  <c r="AT895" s="65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  <c r="BT895" s="65"/>
      <c r="BU895" s="65"/>
      <c r="BV895" s="65"/>
    </row>
    <row r="896" spans="1:74" s="66" customFormat="1" ht="47.25" x14ac:dyDescent="0.2">
      <c r="A896" s="77" t="s">
        <v>466</v>
      </c>
      <c r="B896" s="75" t="s">
        <v>1004</v>
      </c>
      <c r="C896" s="126">
        <f t="shared" ref="C896:N896" si="375">SUM(C897:C899)</f>
        <v>0</v>
      </c>
      <c r="D896" s="126">
        <f t="shared" si="375"/>
        <v>0</v>
      </c>
      <c r="E896" s="126">
        <f t="shared" si="375"/>
        <v>0</v>
      </c>
      <c r="F896" s="126">
        <f t="shared" si="375"/>
        <v>0</v>
      </c>
      <c r="G896" s="126">
        <f t="shared" si="375"/>
        <v>0</v>
      </c>
      <c r="H896" s="126">
        <f t="shared" si="375"/>
        <v>0</v>
      </c>
      <c r="I896" s="126">
        <f t="shared" si="375"/>
        <v>0</v>
      </c>
      <c r="J896" s="126">
        <f t="shared" si="375"/>
        <v>0</v>
      </c>
      <c r="K896" s="126">
        <f t="shared" si="375"/>
        <v>0</v>
      </c>
      <c r="L896" s="126">
        <f t="shared" si="375"/>
        <v>0</v>
      </c>
      <c r="M896" s="126">
        <f t="shared" si="375"/>
        <v>0</v>
      </c>
      <c r="N896" s="126">
        <f t="shared" si="375"/>
        <v>0</v>
      </c>
      <c r="O896" s="89">
        <f t="shared" si="353"/>
        <v>0</v>
      </c>
      <c r="P896" s="65"/>
      <c r="Q896" s="104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  <c r="AS896" s="65"/>
      <c r="AT896" s="65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65"/>
      <c r="BF896" s="65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  <c r="BT896" s="65"/>
      <c r="BU896" s="65"/>
      <c r="BV896" s="65"/>
    </row>
    <row r="897" spans="1:74" s="66" customFormat="1" ht="30" x14ac:dyDescent="0.2">
      <c r="A897" s="78" t="s">
        <v>468</v>
      </c>
      <c r="B897" s="79" t="s">
        <v>375</v>
      </c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89">
        <f t="shared" si="353"/>
        <v>0</v>
      </c>
      <c r="P897" s="65"/>
      <c r="Q897" s="104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  <c r="AS897" s="65"/>
      <c r="AT897" s="65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5"/>
      <c r="BF897" s="65"/>
      <c r="BG897" s="65"/>
      <c r="BH897" s="65"/>
      <c r="BI897" s="65"/>
      <c r="BJ897" s="65"/>
      <c r="BK897" s="65"/>
      <c r="BL897" s="65"/>
      <c r="BM897" s="65"/>
      <c r="BN897" s="65"/>
      <c r="BO897" s="65"/>
      <c r="BP897" s="65"/>
      <c r="BQ897" s="65"/>
      <c r="BR897" s="65"/>
      <c r="BS897" s="65"/>
      <c r="BT897" s="65"/>
      <c r="BU897" s="65"/>
      <c r="BV897" s="65"/>
    </row>
    <row r="898" spans="1:74" s="66" customFormat="1" ht="60" x14ac:dyDescent="0.2">
      <c r="A898" s="78" t="s">
        <v>469</v>
      </c>
      <c r="B898" s="79" t="s">
        <v>376</v>
      </c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89">
        <f t="shared" si="353"/>
        <v>0</v>
      </c>
      <c r="P898" s="107"/>
      <c r="Q898" s="104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  <c r="AS898" s="65"/>
      <c r="AT898" s="65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5"/>
      <c r="BF898" s="65"/>
      <c r="BG898" s="65"/>
      <c r="BH898" s="65"/>
      <c r="BI898" s="65"/>
      <c r="BJ898" s="65"/>
      <c r="BK898" s="65"/>
      <c r="BL898" s="65"/>
      <c r="BM898" s="65"/>
      <c r="BN898" s="65"/>
      <c r="BO898" s="65"/>
      <c r="BP898" s="65"/>
      <c r="BQ898" s="65"/>
      <c r="BR898" s="65"/>
      <c r="BS898" s="65"/>
      <c r="BT898" s="65"/>
      <c r="BU898" s="65"/>
      <c r="BV898" s="65"/>
    </row>
    <row r="899" spans="1:74" s="68" customFormat="1" ht="31.5" x14ac:dyDescent="0.2">
      <c r="A899" s="77" t="s">
        <v>470</v>
      </c>
      <c r="B899" s="75" t="s">
        <v>986</v>
      </c>
      <c r="C899" s="126">
        <f t="shared" ref="C899:N899" si="376">+C900</f>
        <v>0</v>
      </c>
      <c r="D899" s="126">
        <f t="shared" si="376"/>
        <v>0</v>
      </c>
      <c r="E899" s="126">
        <f t="shared" si="376"/>
        <v>0</v>
      </c>
      <c r="F899" s="126">
        <f t="shared" si="376"/>
        <v>0</v>
      </c>
      <c r="G899" s="126">
        <f t="shared" si="376"/>
        <v>0</v>
      </c>
      <c r="H899" s="126">
        <f t="shared" si="376"/>
        <v>0</v>
      </c>
      <c r="I899" s="126">
        <f t="shared" si="376"/>
        <v>0</v>
      </c>
      <c r="J899" s="126">
        <f t="shared" si="376"/>
        <v>0</v>
      </c>
      <c r="K899" s="126">
        <f t="shared" si="376"/>
        <v>0</v>
      </c>
      <c r="L899" s="126">
        <f t="shared" si="376"/>
        <v>0</v>
      </c>
      <c r="M899" s="126">
        <f t="shared" si="376"/>
        <v>0</v>
      </c>
      <c r="N899" s="126">
        <f t="shared" si="376"/>
        <v>0</v>
      </c>
      <c r="O899" s="89">
        <f t="shared" si="353"/>
        <v>0</v>
      </c>
      <c r="P899" s="65"/>
      <c r="Q899" s="104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7"/>
      <c r="AM899" s="67"/>
      <c r="AN899" s="67"/>
      <c r="AO899" s="67"/>
      <c r="AP899" s="67"/>
      <c r="AQ899" s="67"/>
      <c r="AR899" s="67"/>
      <c r="AS899" s="67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7"/>
      <c r="BT899" s="67"/>
      <c r="BU899" s="67"/>
      <c r="BV899" s="67"/>
    </row>
    <row r="900" spans="1:74" s="66" customFormat="1" ht="30" x14ac:dyDescent="0.2">
      <c r="A900" s="78" t="s">
        <v>1005</v>
      </c>
      <c r="B900" s="79" t="s">
        <v>378</v>
      </c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89">
        <f t="shared" si="353"/>
        <v>0</v>
      </c>
      <c r="P900" s="65"/>
      <c r="Q900" s="104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  <c r="AS900" s="65"/>
      <c r="AT900" s="65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5"/>
      <c r="BF900" s="65"/>
      <c r="BG900" s="65"/>
      <c r="BH900" s="65"/>
      <c r="BI900" s="65"/>
      <c r="BJ900" s="65"/>
      <c r="BK900" s="65"/>
      <c r="BL900" s="65"/>
      <c r="BM900" s="65"/>
      <c r="BN900" s="65"/>
      <c r="BO900" s="65"/>
      <c r="BP900" s="65"/>
      <c r="BQ900" s="65"/>
      <c r="BR900" s="65"/>
      <c r="BS900" s="65"/>
      <c r="BT900" s="65"/>
      <c r="BU900" s="65"/>
      <c r="BV900" s="65"/>
    </row>
    <row r="901" spans="1:74" s="68" customFormat="1" ht="31.5" x14ac:dyDescent="0.2">
      <c r="A901" s="77" t="s">
        <v>473</v>
      </c>
      <c r="B901" s="75" t="s">
        <v>1006</v>
      </c>
      <c r="C901" s="126">
        <f t="shared" ref="C901:N901" si="377">+C902</f>
        <v>0</v>
      </c>
      <c r="D901" s="126">
        <f t="shared" si="377"/>
        <v>0</v>
      </c>
      <c r="E901" s="126">
        <f t="shared" si="377"/>
        <v>0</v>
      </c>
      <c r="F901" s="126">
        <f t="shared" si="377"/>
        <v>0</v>
      </c>
      <c r="G901" s="126">
        <f t="shared" si="377"/>
        <v>0</v>
      </c>
      <c r="H901" s="126">
        <f t="shared" si="377"/>
        <v>0</v>
      </c>
      <c r="I901" s="126">
        <f t="shared" si="377"/>
        <v>0</v>
      </c>
      <c r="J901" s="126">
        <f t="shared" si="377"/>
        <v>0</v>
      </c>
      <c r="K901" s="126">
        <f t="shared" si="377"/>
        <v>5000000000</v>
      </c>
      <c r="L901" s="126">
        <f t="shared" si="377"/>
        <v>0</v>
      </c>
      <c r="M901" s="126">
        <f t="shared" si="377"/>
        <v>0</v>
      </c>
      <c r="N901" s="126">
        <f t="shared" si="377"/>
        <v>994000000</v>
      </c>
      <c r="O901" s="89">
        <f t="shared" si="353"/>
        <v>5994000000</v>
      </c>
      <c r="P901" s="107"/>
      <c r="Q901" s="104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7"/>
      <c r="AM901" s="67"/>
      <c r="AN901" s="67"/>
      <c r="AO901" s="67"/>
      <c r="AP901" s="67"/>
      <c r="AQ901" s="67"/>
      <c r="AR901" s="67"/>
      <c r="AS901" s="67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67"/>
      <c r="BR901" s="67"/>
      <c r="BS901" s="67"/>
      <c r="BT901" s="67"/>
      <c r="BU901" s="67"/>
      <c r="BV901" s="67"/>
    </row>
    <row r="902" spans="1:74" s="66" customFormat="1" ht="63" x14ac:dyDescent="0.2">
      <c r="A902" s="77" t="s">
        <v>1007</v>
      </c>
      <c r="B902" s="75" t="s">
        <v>1008</v>
      </c>
      <c r="C902" s="126">
        <f t="shared" ref="C902:N902" si="378">+C903+C905</f>
        <v>0</v>
      </c>
      <c r="D902" s="126">
        <f t="shared" si="378"/>
        <v>0</v>
      </c>
      <c r="E902" s="126">
        <f t="shared" si="378"/>
        <v>0</v>
      </c>
      <c r="F902" s="126">
        <f t="shared" si="378"/>
        <v>0</v>
      </c>
      <c r="G902" s="126">
        <f t="shared" si="378"/>
        <v>0</v>
      </c>
      <c r="H902" s="126">
        <f t="shared" si="378"/>
        <v>0</v>
      </c>
      <c r="I902" s="126">
        <f t="shared" si="378"/>
        <v>0</v>
      </c>
      <c r="J902" s="126">
        <f t="shared" si="378"/>
        <v>0</v>
      </c>
      <c r="K902" s="126">
        <f t="shared" si="378"/>
        <v>5000000000</v>
      </c>
      <c r="L902" s="126">
        <f t="shared" si="378"/>
        <v>0</v>
      </c>
      <c r="M902" s="126">
        <f t="shared" si="378"/>
        <v>0</v>
      </c>
      <c r="N902" s="126">
        <f t="shared" si="378"/>
        <v>994000000</v>
      </c>
      <c r="O902" s="89">
        <f t="shared" si="353"/>
        <v>5994000000</v>
      </c>
      <c r="P902" s="107"/>
      <c r="Q902" s="104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  <c r="BT902" s="65"/>
      <c r="BU902" s="65"/>
      <c r="BV902" s="65"/>
    </row>
    <row r="903" spans="1:74" s="66" customFormat="1" ht="63" x14ac:dyDescent="0.2">
      <c r="A903" s="77" t="s">
        <v>1009</v>
      </c>
      <c r="B903" s="75" t="s">
        <v>1010</v>
      </c>
      <c r="C903" s="126">
        <f t="shared" ref="C903:N903" si="379">+C904</f>
        <v>0</v>
      </c>
      <c r="D903" s="126">
        <f t="shared" si="379"/>
        <v>0</v>
      </c>
      <c r="E903" s="126">
        <f t="shared" si="379"/>
        <v>0</v>
      </c>
      <c r="F903" s="126">
        <f t="shared" si="379"/>
        <v>0</v>
      </c>
      <c r="G903" s="126">
        <f t="shared" si="379"/>
        <v>0</v>
      </c>
      <c r="H903" s="126">
        <f t="shared" si="379"/>
        <v>0</v>
      </c>
      <c r="I903" s="126">
        <f t="shared" si="379"/>
        <v>0</v>
      </c>
      <c r="J903" s="126">
        <f t="shared" si="379"/>
        <v>0</v>
      </c>
      <c r="K903" s="126">
        <f t="shared" si="379"/>
        <v>0</v>
      </c>
      <c r="L903" s="126">
        <f t="shared" si="379"/>
        <v>0</v>
      </c>
      <c r="M903" s="126">
        <f t="shared" si="379"/>
        <v>0</v>
      </c>
      <c r="N903" s="126">
        <f t="shared" si="379"/>
        <v>0</v>
      </c>
      <c r="O903" s="89">
        <f t="shared" si="353"/>
        <v>0</v>
      </c>
      <c r="P903" s="65"/>
      <c r="Q903" s="104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  <c r="BM903" s="65"/>
      <c r="BN903" s="65"/>
      <c r="BO903" s="65"/>
      <c r="BP903" s="65"/>
      <c r="BQ903" s="65"/>
      <c r="BR903" s="65"/>
      <c r="BS903" s="65"/>
      <c r="BT903" s="65"/>
      <c r="BU903" s="65"/>
      <c r="BV903" s="65"/>
    </row>
    <row r="904" spans="1:74" s="66" customFormat="1" ht="28.5" x14ac:dyDescent="0.2">
      <c r="A904" s="72" t="s">
        <v>1011</v>
      </c>
      <c r="B904" s="73" t="s">
        <v>378</v>
      </c>
      <c r="C904" s="127"/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89">
        <f t="shared" si="353"/>
        <v>0</v>
      </c>
      <c r="P904" s="65"/>
      <c r="Q904" s="104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  <c r="AS904" s="65"/>
      <c r="AT904" s="65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5"/>
      <c r="BF904" s="65"/>
      <c r="BG904" s="65"/>
      <c r="BH904" s="65"/>
      <c r="BI904" s="65"/>
      <c r="BJ904" s="65"/>
      <c r="BK904" s="65"/>
      <c r="BL904" s="65"/>
      <c r="BM904" s="65"/>
      <c r="BN904" s="65"/>
      <c r="BO904" s="65"/>
      <c r="BP904" s="65"/>
      <c r="BQ904" s="65"/>
      <c r="BR904" s="65"/>
      <c r="BS904" s="65"/>
      <c r="BT904" s="65"/>
      <c r="BU904" s="65"/>
      <c r="BV904" s="65"/>
    </row>
    <row r="905" spans="1:74" s="66" customFormat="1" ht="63" x14ac:dyDescent="0.2">
      <c r="A905" s="77" t="s">
        <v>1012</v>
      </c>
      <c r="B905" s="75" t="s">
        <v>1013</v>
      </c>
      <c r="C905" s="126">
        <f>SUM(C906:C908)</f>
        <v>0</v>
      </c>
      <c r="D905" s="126">
        <f t="shared" ref="D905:N905" si="380">SUM(D906:D908)</f>
        <v>0</v>
      </c>
      <c r="E905" s="126">
        <f t="shared" si="380"/>
        <v>0</v>
      </c>
      <c r="F905" s="126">
        <f t="shared" si="380"/>
        <v>0</v>
      </c>
      <c r="G905" s="126">
        <f t="shared" si="380"/>
        <v>0</v>
      </c>
      <c r="H905" s="126">
        <f t="shared" si="380"/>
        <v>0</v>
      </c>
      <c r="I905" s="126">
        <f t="shared" si="380"/>
        <v>0</v>
      </c>
      <c r="J905" s="126">
        <f t="shared" si="380"/>
        <v>0</v>
      </c>
      <c r="K905" s="126">
        <f t="shared" si="380"/>
        <v>5000000000</v>
      </c>
      <c r="L905" s="126">
        <f t="shared" si="380"/>
        <v>0</v>
      </c>
      <c r="M905" s="126">
        <f t="shared" si="380"/>
        <v>0</v>
      </c>
      <c r="N905" s="126">
        <f t="shared" si="380"/>
        <v>994000000</v>
      </c>
      <c r="O905" s="89">
        <f t="shared" si="353"/>
        <v>5994000000</v>
      </c>
      <c r="P905" s="65"/>
      <c r="Q905" s="104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  <c r="AS905" s="65"/>
      <c r="AT905" s="65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5"/>
      <c r="BF905" s="65"/>
      <c r="BG905" s="65"/>
      <c r="BH905" s="65"/>
      <c r="BI905" s="65"/>
      <c r="BJ905" s="65"/>
      <c r="BK905" s="65"/>
      <c r="BL905" s="65"/>
      <c r="BM905" s="65"/>
      <c r="BN905" s="65"/>
      <c r="BO905" s="65"/>
      <c r="BP905" s="65"/>
      <c r="BQ905" s="65"/>
      <c r="BR905" s="65"/>
      <c r="BS905" s="65"/>
      <c r="BT905" s="65"/>
      <c r="BU905" s="65"/>
      <c r="BV905" s="65"/>
    </row>
    <row r="906" spans="1:74" s="66" customFormat="1" ht="28.5" x14ac:dyDescent="0.2">
      <c r="A906" s="72" t="s">
        <v>1014</v>
      </c>
      <c r="B906" s="73" t="s">
        <v>378</v>
      </c>
      <c r="C906" s="127"/>
      <c r="D906" s="127"/>
      <c r="E906" s="127"/>
      <c r="F906" s="127"/>
      <c r="G906" s="127"/>
      <c r="H906" s="127"/>
      <c r="I906" s="127"/>
      <c r="J906" s="127"/>
      <c r="K906" s="127"/>
      <c r="L906" s="127"/>
      <c r="M906" s="127"/>
      <c r="N906" s="127"/>
      <c r="O906" s="89">
        <f t="shared" si="353"/>
        <v>0</v>
      </c>
      <c r="Q906" s="104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  <c r="AS906" s="65"/>
      <c r="AT906" s="65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  <c r="BS906" s="65"/>
      <c r="BT906" s="65"/>
      <c r="BU906" s="65"/>
      <c r="BV906" s="65"/>
    </row>
    <row r="907" spans="1:74" s="66" customFormat="1" ht="28.5" x14ac:dyDescent="0.2">
      <c r="A907" s="72" t="s">
        <v>1014</v>
      </c>
      <c r="B907" s="73" t="s">
        <v>378</v>
      </c>
      <c r="C907" s="127"/>
      <c r="D907" s="127"/>
      <c r="E907" s="127"/>
      <c r="F907" s="127"/>
      <c r="G907" s="127"/>
      <c r="H907" s="127"/>
      <c r="I907" s="127"/>
      <c r="J907" s="127"/>
      <c r="K907" s="127"/>
      <c r="L907" s="127"/>
      <c r="M907" s="127"/>
      <c r="N907" s="127">
        <v>994000000</v>
      </c>
      <c r="O907" s="89">
        <f t="shared" si="353"/>
        <v>994000000</v>
      </c>
      <c r="Q907" s="104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  <c r="BT907" s="65"/>
      <c r="BU907" s="65"/>
      <c r="BV907" s="65"/>
    </row>
    <row r="908" spans="1:74" s="66" customFormat="1" ht="28.5" x14ac:dyDescent="0.2">
      <c r="A908" s="72" t="s">
        <v>1014</v>
      </c>
      <c r="B908" s="73" t="s">
        <v>378</v>
      </c>
      <c r="C908" s="127"/>
      <c r="D908" s="127"/>
      <c r="E908" s="127"/>
      <c r="F908" s="127"/>
      <c r="G908" s="127"/>
      <c r="H908" s="127"/>
      <c r="I908" s="127"/>
      <c r="J908" s="127"/>
      <c r="K908" s="127">
        <v>5000000000</v>
      </c>
      <c r="L908" s="127"/>
      <c r="M908" s="127"/>
      <c r="N908" s="127"/>
      <c r="O908" s="89">
        <f t="shared" si="353"/>
        <v>5000000000</v>
      </c>
      <c r="Q908" s="104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  <c r="BT908" s="65"/>
      <c r="BU908" s="65"/>
      <c r="BV908" s="65"/>
    </row>
    <row r="909" spans="1:74" s="68" customFormat="1" ht="39" x14ac:dyDescent="0.2">
      <c r="A909" s="183" t="s">
        <v>534</v>
      </c>
      <c r="B909" s="184" t="s">
        <v>211</v>
      </c>
      <c r="C909" s="197">
        <f t="shared" ref="C909:N909" si="381">+C910+C916+C920+C980</f>
        <v>0</v>
      </c>
      <c r="D909" s="197">
        <f t="shared" si="381"/>
        <v>0</v>
      </c>
      <c r="E909" s="197">
        <f t="shared" si="381"/>
        <v>0</v>
      </c>
      <c r="F909" s="197">
        <f t="shared" si="381"/>
        <v>5301571824</v>
      </c>
      <c r="G909" s="197">
        <f t="shared" si="381"/>
        <v>0</v>
      </c>
      <c r="H909" s="197">
        <f t="shared" si="381"/>
        <v>11584539610.870001</v>
      </c>
      <c r="I909" s="197">
        <f t="shared" si="381"/>
        <v>0</v>
      </c>
      <c r="J909" s="197">
        <f t="shared" si="381"/>
        <v>0</v>
      </c>
      <c r="K909" s="197">
        <f t="shared" si="381"/>
        <v>10528522838</v>
      </c>
      <c r="L909" s="197">
        <f t="shared" si="381"/>
        <v>0</v>
      </c>
      <c r="M909" s="197">
        <f t="shared" si="381"/>
        <v>0</v>
      </c>
      <c r="N909" s="197">
        <f t="shared" si="381"/>
        <v>40585193865</v>
      </c>
      <c r="O909" s="89">
        <f t="shared" si="353"/>
        <v>67999828137.870003</v>
      </c>
      <c r="Q909" s="104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67"/>
      <c r="BU909" s="67"/>
      <c r="BV909" s="67"/>
    </row>
    <row r="910" spans="1:74" s="66" customFormat="1" ht="31.5" x14ac:dyDescent="0.2">
      <c r="A910" s="77" t="s">
        <v>1015</v>
      </c>
      <c r="B910" s="75" t="s">
        <v>1016</v>
      </c>
      <c r="C910" s="126">
        <f t="shared" ref="C910:N910" si="382">+C911</f>
        <v>0</v>
      </c>
      <c r="D910" s="126">
        <f t="shared" si="382"/>
        <v>0</v>
      </c>
      <c r="E910" s="126">
        <f t="shared" si="382"/>
        <v>0</v>
      </c>
      <c r="F910" s="126">
        <f t="shared" si="382"/>
        <v>0</v>
      </c>
      <c r="G910" s="126">
        <f t="shared" si="382"/>
        <v>0</v>
      </c>
      <c r="H910" s="126">
        <f t="shared" si="382"/>
        <v>0</v>
      </c>
      <c r="I910" s="126">
        <f t="shared" si="382"/>
        <v>0</v>
      </c>
      <c r="J910" s="126">
        <f t="shared" si="382"/>
        <v>0</v>
      </c>
      <c r="K910" s="126">
        <f t="shared" si="382"/>
        <v>0</v>
      </c>
      <c r="L910" s="126">
        <f t="shared" si="382"/>
        <v>0</v>
      </c>
      <c r="M910" s="126">
        <f t="shared" si="382"/>
        <v>0</v>
      </c>
      <c r="N910" s="126">
        <f t="shared" si="382"/>
        <v>0</v>
      </c>
      <c r="O910" s="89">
        <f t="shared" si="353"/>
        <v>0</v>
      </c>
      <c r="Q910" s="104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  <c r="AS910" s="65"/>
      <c r="AT910" s="65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  <c r="BT910" s="65"/>
      <c r="BU910" s="65"/>
      <c r="BV910" s="65"/>
    </row>
    <row r="911" spans="1:74" s="66" customFormat="1" ht="63" x14ac:dyDescent="0.2">
      <c r="A911" s="77" t="s">
        <v>1017</v>
      </c>
      <c r="B911" s="75" t="s">
        <v>1018</v>
      </c>
      <c r="C911" s="126">
        <f t="shared" ref="C911:N911" si="383">SUM(C912:C915)</f>
        <v>0</v>
      </c>
      <c r="D911" s="126">
        <f t="shared" si="383"/>
        <v>0</v>
      </c>
      <c r="E911" s="126">
        <f t="shared" si="383"/>
        <v>0</v>
      </c>
      <c r="F911" s="126">
        <f t="shared" si="383"/>
        <v>0</v>
      </c>
      <c r="G911" s="126">
        <f t="shared" si="383"/>
        <v>0</v>
      </c>
      <c r="H911" s="126">
        <f t="shared" si="383"/>
        <v>0</v>
      </c>
      <c r="I911" s="126">
        <f t="shared" si="383"/>
        <v>0</v>
      </c>
      <c r="J911" s="126">
        <f t="shared" si="383"/>
        <v>0</v>
      </c>
      <c r="K911" s="126">
        <f t="shared" si="383"/>
        <v>0</v>
      </c>
      <c r="L911" s="126">
        <f t="shared" si="383"/>
        <v>0</v>
      </c>
      <c r="M911" s="126">
        <f t="shared" si="383"/>
        <v>0</v>
      </c>
      <c r="N911" s="126">
        <f t="shared" si="383"/>
        <v>0</v>
      </c>
      <c r="O911" s="89">
        <f t="shared" si="353"/>
        <v>0</v>
      </c>
      <c r="Q911" s="104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  <c r="AS911" s="65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  <c r="BT911" s="65"/>
      <c r="BU911" s="65"/>
      <c r="BV911" s="65"/>
    </row>
    <row r="912" spans="1:74" s="66" customFormat="1" ht="28.5" x14ac:dyDescent="0.2">
      <c r="A912" s="72" t="s">
        <v>1019</v>
      </c>
      <c r="B912" s="73" t="s">
        <v>1020</v>
      </c>
      <c r="C912" s="127"/>
      <c r="D912" s="127"/>
      <c r="E912" s="127"/>
      <c r="F912" s="127"/>
      <c r="G912" s="127"/>
      <c r="H912" s="127"/>
      <c r="I912" s="127"/>
      <c r="J912" s="127"/>
      <c r="K912" s="127"/>
      <c r="L912" s="127"/>
      <c r="M912" s="127"/>
      <c r="N912" s="127"/>
      <c r="O912" s="89">
        <f t="shared" si="353"/>
        <v>0</v>
      </c>
      <c r="Q912" s="104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  <c r="AS912" s="65"/>
      <c r="AT912" s="65"/>
      <c r="AU912" s="65"/>
      <c r="AV912" s="65"/>
      <c r="AW912" s="65"/>
      <c r="AX912" s="65"/>
      <c r="AY912" s="65"/>
      <c r="AZ912" s="65"/>
      <c r="BA912" s="65"/>
      <c r="BB912" s="65"/>
      <c r="BC912" s="65"/>
      <c r="BD912" s="65"/>
      <c r="BE912" s="65"/>
      <c r="BF912" s="65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  <c r="BT912" s="65"/>
      <c r="BU912" s="65"/>
      <c r="BV912" s="65"/>
    </row>
    <row r="913" spans="1:74" s="66" customFormat="1" ht="28.5" x14ac:dyDescent="0.2">
      <c r="A913" s="72" t="s">
        <v>1021</v>
      </c>
      <c r="B913" s="73" t="s">
        <v>105</v>
      </c>
      <c r="C913" s="127"/>
      <c r="D913" s="127"/>
      <c r="E913" s="127"/>
      <c r="F913" s="127"/>
      <c r="G913" s="127"/>
      <c r="H913" s="127"/>
      <c r="I913" s="127"/>
      <c r="J913" s="127"/>
      <c r="K913" s="127"/>
      <c r="L913" s="127"/>
      <c r="M913" s="127"/>
      <c r="N913" s="127"/>
      <c r="O913" s="89">
        <f t="shared" si="353"/>
        <v>0</v>
      </c>
      <c r="Q913" s="104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  <c r="AS913" s="65"/>
      <c r="AT913" s="65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5"/>
      <c r="BF913" s="65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  <c r="BT913" s="65"/>
      <c r="BU913" s="65"/>
      <c r="BV913" s="65"/>
    </row>
    <row r="914" spans="1:74" s="66" customFormat="1" ht="15" x14ac:dyDescent="0.2">
      <c r="A914" s="72" t="s">
        <v>1022</v>
      </c>
      <c r="B914" s="73" t="s">
        <v>106</v>
      </c>
      <c r="C914" s="127"/>
      <c r="D914" s="127"/>
      <c r="E914" s="127"/>
      <c r="F914" s="127"/>
      <c r="G914" s="127"/>
      <c r="H914" s="127"/>
      <c r="I914" s="127"/>
      <c r="J914" s="127"/>
      <c r="K914" s="127"/>
      <c r="L914" s="127"/>
      <c r="M914" s="127"/>
      <c r="N914" s="127"/>
      <c r="O914" s="89">
        <f t="shared" si="353"/>
        <v>0</v>
      </c>
      <c r="Q914" s="104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  <c r="AS914" s="65"/>
      <c r="AT914" s="65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5"/>
      <c r="BF914" s="65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  <c r="BT914" s="65"/>
      <c r="BU914" s="65"/>
      <c r="BV914" s="65"/>
    </row>
    <row r="915" spans="1:74" s="66" customFormat="1" ht="28.5" x14ac:dyDescent="0.2">
      <c r="A915" s="72" t="s">
        <v>1023</v>
      </c>
      <c r="B915" s="73" t="s">
        <v>107</v>
      </c>
      <c r="C915" s="127"/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89">
        <f t="shared" si="353"/>
        <v>0</v>
      </c>
      <c r="Q915" s="104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  <c r="AT915" s="65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  <c r="BT915" s="65"/>
      <c r="BU915" s="65"/>
      <c r="BV915" s="65"/>
    </row>
    <row r="916" spans="1:74" s="66" customFormat="1" ht="31.5" x14ac:dyDescent="0.2">
      <c r="A916" s="77" t="s">
        <v>587</v>
      </c>
      <c r="B916" s="75" t="s">
        <v>104</v>
      </c>
      <c r="C916" s="126">
        <f t="shared" ref="C916:N918" si="384">+C917</f>
        <v>0</v>
      </c>
      <c r="D916" s="126">
        <f t="shared" si="384"/>
        <v>0</v>
      </c>
      <c r="E916" s="126">
        <f t="shared" si="384"/>
        <v>0</v>
      </c>
      <c r="F916" s="126">
        <f t="shared" si="384"/>
        <v>0</v>
      </c>
      <c r="G916" s="126">
        <f t="shared" si="384"/>
        <v>0</v>
      </c>
      <c r="H916" s="126">
        <f t="shared" si="384"/>
        <v>0</v>
      </c>
      <c r="I916" s="126">
        <f t="shared" si="384"/>
        <v>0</v>
      </c>
      <c r="J916" s="126">
        <f t="shared" si="384"/>
        <v>0</v>
      </c>
      <c r="K916" s="126">
        <f t="shared" si="384"/>
        <v>0</v>
      </c>
      <c r="L916" s="126">
        <f t="shared" si="384"/>
        <v>0</v>
      </c>
      <c r="M916" s="126">
        <f t="shared" si="384"/>
        <v>0</v>
      </c>
      <c r="N916" s="126">
        <f t="shared" si="384"/>
        <v>0</v>
      </c>
      <c r="O916" s="89">
        <f t="shared" si="353"/>
        <v>0</v>
      </c>
      <c r="Q916" s="104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</row>
    <row r="917" spans="1:74" s="66" customFormat="1" ht="47.25" x14ac:dyDescent="0.2">
      <c r="A917" s="77" t="s">
        <v>1024</v>
      </c>
      <c r="B917" s="75" t="s">
        <v>1025</v>
      </c>
      <c r="C917" s="126">
        <f t="shared" si="384"/>
        <v>0</v>
      </c>
      <c r="D917" s="126">
        <f t="shared" si="384"/>
        <v>0</v>
      </c>
      <c r="E917" s="126">
        <f t="shared" si="384"/>
        <v>0</v>
      </c>
      <c r="F917" s="126">
        <f t="shared" si="384"/>
        <v>0</v>
      </c>
      <c r="G917" s="126">
        <f t="shared" si="384"/>
        <v>0</v>
      </c>
      <c r="H917" s="126">
        <f t="shared" si="384"/>
        <v>0</v>
      </c>
      <c r="I917" s="126">
        <f t="shared" si="384"/>
        <v>0</v>
      </c>
      <c r="J917" s="126">
        <f t="shared" si="384"/>
        <v>0</v>
      </c>
      <c r="K917" s="126">
        <f t="shared" si="384"/>
        <v>0</v>
      </c>
      <c r="L917" s="126">
        <f t="shared" si="384"/>
        <v>0</v>
      </c>
      <c r="M917" s="126">
        <f t="shared" si="384"/>
        <v>0</v>
      </c>
      <c r="N917" s="126">
        <f t="shared" si="384"/>
        <v>0</v>
      </c>
      <c r="O917" s="89">
        <f t="shared" si="353"/>
        <v>0</v>
      </c>
      <c r="Q917" s="104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  <c r="AS917" s="65"/>
      <c r="AT917" s="65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5"/>
      <c r="BF917" s="65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  <c r="BT917" s="65"/>
      <c r="BU917" s="65"/>
      <c r="BV917" s="65"/>
    </row>
    <row r="918" spans="1:74" s="66" customFormat="1" ht="15.75" x14ac:dyDescent="0.2">
      <c r="A918" s="77" t="s">
        <v>1026</v>
      </c>
      <c r="B918" s="75" t="s">
        <v>1027</v>
      </c>
      <c r="C918" s="126">
        <f t="shared" si="384"/>
        <v>0</v>
      </c>
      <c r="D918" s="126">
        <f t="shared" si="384"/>
        <v>0</v>
      </c>
      <c r="E918" s="126">
        <f t="shared" si="384"/>
        <v>0</v>
      </c>
      <c r="F918" s="126">
        <f t="shared" si="384"/>
        <v>0</v>
      </c>
      <c r="G918" s="126">
        <f t="shared" si="384"/>
        <v>0</v>
      </c>
      <c r="H918" s="126">
        <f t="shared" si="384"/>
        <v>0</v>
      </c>
      <c r="I918" s="126">
        <f t="shared" si="384"/>
        <v>0</v>
      </c>
      <c r="J918" s="126">
        <f t="shared" si="384"/>
        <v>0</v>
      </c>
      <c r="K918" s="126">
        <f t="shared" si="384"/>
        <v>0</v>
      </c>
      <c r="L918" s="126">
        <f t="shared" si="384"/>
        <v>0</v>
      </c>
      <c r="M918" s="126">
        <f t="shared" si="384"/>
        <v>0</v>
      </c>
      <c r="N918" s="126">
        <f t="shared" si="384"/>
        <v>0</v>
      </c>
      <c r="O918" s="89">
        <f t="shared" si="353"/>
        <v>0</v>
      </c>
      <c r="Q918" s="104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  <c r="AS918" s="65"/>
      <c r="AT918" s="65"/>
      <c r="AU918" s="65"/>
      <c r="AV918" s="65"/>
      <c r="AW918" s="65"/>
      <c r="AX918" s="65"/>
      <c r="AY918" s="65"/>
      <c r="AZ918" s="65"/>
      <c r="BA918" s="65"/>
      <c r="BB918" s="65"/>
      <c r="BC918" s="65"/>
      <c r="BD918" s="65"/>
      <c r="BE918" s="65"/>
      <c r="BF918" s="65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  <c r="BT918" s="65"/>
      <c r="BU918" s="65"/>
      <c r="BV918" s="65"/>
    </row>
    <row r="919" spans="1:74" s="66" customFormat="1" ht="30" x14ac:dyDescent="0.2">
      <c r="A919" s="78" t="s">
        <v>1028</v>
      </c>
      <c r="B919" s="79" t="s">
        <v>1029</v>
      </c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89">
        <f t="shared" si="353"/>
        <v>0</v>
      </c>
      <c r="Q919" s="104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  <c r="AT919" s="65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  <c r="BT919" s="65"/>
      <c r="BU919" s="65"/>
      <c r="BV919" s="65"/>
    </row>
    <row r="920" spans="1:74" s="66" customFormat="1" ht="31.5" x14ac:dyDescent="0.2">
      <c r="A920" s="77" t="s">
        <v>607</v>
      </c>
      <c r="B920" s="75" t="s">
        <v>1030</v>
      </c>
      <c r="C920" s="126">
        <f>+C921+C927+C975</f>
        <v>0</v>
      </c>
      <c r="D920" s="126">
        <f t="shared" ref="D920:N920" si="385">+D921+D927+D975</f>
        <v>0</v>
      </c>
      <c r="E920" s="126">
        <f t="shared" si="385"/>
        <v>0</v>
      </c>
      <c r="F920" s="126">
        <f t="shared" si="385"/>
        <v>5301571824</v>
      </c>
      <c r="G920" s="126">
        <f t="shared" si="385"/>
        <v>0</v>
      </c>
      <c r="H920" s="126">
        <f t="shared" si="385"/>
        <v>11584539610.870001</v>
      </c>
      <c r="I920" s="126">
        <f t="shared" si="385"/>
        <v>0</v>
      </c>
      <c r="J920" s="126">
        <f t="shared" si="385"/>
        <v>0</v>
      </c>
      <c r="K920" s="126">
        <f t="shared" si="385"/>
        <v>10528522838</v>
      </c>
      <c r="L920" s="126">
        <f t="shared" si="385"/>
        <v>0</v>
      </c>
      <c r="M920" s="126">
        <f t="shared" si="385"/>
        <v>0</v>
      </c>
      <c r="N920" s="126">
        <f t="shared" si="385"/>
        <v>40566076219</v>
      </c>
      <c r="O920" s="89">
        <f t="shared" ref="O920:O1008" si="386">SUM(C920:N920)</f>
        <v>67980710491.870003</v>
      </c>
      <c r="Q920" s="104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  <c r="AS920" s="65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  <c r="BT920" s="65"/>
      <c r="BU920" s="65"/>
      <c r="BV920" s="65"/>
    </row>
    <row r="921" spans="1:74" s="66" customFormat="1" ht="31.5" x14ac:dyDescent="0.2">
      <c r="A921" s="77" t="s">
        <v>609</v>
      </c>
      <c r="B921" s="75" t="s">
        <v>1031</v>
      </c>
      <c r="C921" s="126">
        <f t="shared" ref="C921:N921" si="387">+C922</f>
        <v>0</v>
      </c>
      <c r="D921" s="126">
        <f t="shared" si="387"/>
        <v>0</v>
      </c>
      <c r="E921" s="126">
        <f t="shared" si="387"/>
        <v>0</v>
      </c>
      <c r="F921" s="126">
        <f t="shared" si="387"/>
        <v>4981448737</v>
      </c>
      <c r="G921" s="126">
        <f t="shared" si="387"/>
        <v>0</v>
      </c>
      <c r="H921" s="126">
        <f t="shared" si="387"/>
        <v>0</v>
      </c>
      <c r="I921" s="126">
        <f t="shared" si="387"/>
        <v>0</v>
      </c>
      <c r="J921" s="126">
        <f t="shared" si="387"/>
        <v>0</v>
      </c>
      <c r="K921" s="126">
        <f t="shared" si="387"/>
        <v>0</v>
      </c>
      <c r="L921" s="126">
        <f t="shared" si="387"/>
        <v>0</v>
      </c>
      <c r="M921" s="126">
        <f t="shared" si="387"/>
        <v>0</v>
      </c>
      <c r="N921" s="126">
        <f t="shared" si="387"/>
        <v>0</v>
      </c>
      <c r="O921" s="89">
        <f t="shared" si="386"/>
        <v>4981448737</v>
      </c>
      <c r="Q921" s="104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  <c r="AT921" s="65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5"/>
      <c r="BF921" s="65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  <c r="BT921" s="65"/>
      <c r="BU921" s="65"/>
      <c r="BV921" s="65"/>
    </row>
    <row r="922" spans="1:74" s="66" customFormat="1" ht="15.75" x14ac:dyDescent="0.2">
      <c r="A922" s="77" t="s">
        <v>1032</v>
      </c>
      <c r="B922" s="75" t="s">
        <v>1033</v>
      </c>
      <c r="C922" s="126">
        <f>SUM(C923:C926)</f>
        <v>0</v>
      </c>
      <c r="D922" s="126">
        <f t="shared" ref="D922:N922" si="388">SUM(D923:D926)</f>
        <v>0</v>
      </c>
      <c r="E922" s="126">
        <f t="shared" si="388"/>
        <v>0</v>
      </c>
      <c r="F922" s="126">
        <f t="shared" si="388"/>
        <v>4981448737</v>
      </c>
      <c r="G922" s="126">
        <f t="shared" si="388"/>
        <v>0</v>
      </c>
      <c r="H922" s="126">
        <f t="shared" si="388"/>
        <v>0</v>
      </c>
      <c r="I922" s="126">
        <f t="shared" si="388"/>
        <v>0</v>
      </c>
      <c r="J922" s="126">
        <f t="shared" si="388"/>
        <v>0</v>
      </c>
      <c r="K922" s="126">
        <f t="shared" si="388"/>
        <v>0</v>
      </c>
      <c r="L922" s="126">
        <f t="shared" si="388"/>
        <v>0</v>
      </c>
      <c r="M922" s="126">
        <f t="shared" si="388"/>
        <v>0</v>
      </c>
      <c r="N922" s="126">
        <f t="shared" si="388"/>
        <v>0</v>
      </c>
      <c r="O922" s="89">
        <f t="shared" si="386"/>
        <v>4981448737</v>
      </c>
      <c r="Q922" s="104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  <c r="BT922" s="65"/>
      <c r="BU922" s="65"/>
      <c r="BV922" s="65"/>
    </row>
    <row r="923" spans="1:74" s="66" customFormat="1" ht="15" x14ac:dyDescent="0.2">
      <c r="A923" s="78" t="s">
        <v>1034</v>
      </c>
      <c r="B923" s="73" t="s">
        <v>1035</v>
      </c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89">
        <f t="shared" si="386"/>
        <v>0</v>
      </c>
      <c r="Q923" s="104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  <c r="AT923" s="65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5"/>
      <c r="BF923" s="65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  <c r="BT923" s="65"/>
      <c r="BU923" s="65"/>
      <c r="BV923" s="65"/>
    </row>
    <row r="924" spans="1:74" s="66" customFormat="1" ht="15" x14ac:dyDescent="0.2">
      <c r="A924" s="78" t="s">
        <v>1034</v>
      </c>
      <c r="B924" s="73" t="s">
        <v>1035</v>
      </c>
      <c r="C924" s="128"/>
      <c r="D924" s="128"/>
      <c r="E924" s="128"/>
      <c r="F924" s="128">
        <v>4124553211</v>
      </c>
      <c r="G924" s="128"/>
      <c r="H924" s="128"/>
      <c r="I924" s="128"/>
      <c r="J924" s="128"/>
      <c r="K924" s="128"/>
      <c r="L924" s="128"/>
      <c r="M924" s="128"/>
      <c r="N924" s="128"/>
      <c r="O924" s="89">
        <f t="shared" si="386"/>
        <v>4124553211</v>
      </c>
      <c r="Q924" s="104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5"/>
      <c r="BF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  <c r="BT924" s="65"/>
      <c r="BU924" s="65"/>
      <c r="BV924" s="65"/>
    </row>
    <row r="925" spans="1:74" s="66" customFormat="1" ht="73.5" customHeight="1" x14ac:dyDescent="0.2">
      <c r="A925" s="78" t="s">
        <v>1036</v>
      </c>
      <c r="B925" s="79" t="s">
        <v>1037</v>
      </c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89">
        <f t="shared" si="386"/>
        <v>0</v>
      </c>
      <c r="Q925" s="104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5"/>
      <c r="BF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  <c r="BT925" s="65"/>
      <c r="BU925" s="65"/>
      <c r="BV925" s="65"/>
    </row>
    <row r="926" spans="1:74" s="66" customFormat="1" ht="75.75" customHeight="1" x14ac:dyDescent="0.2">
      <c r="A926" s="78" t="s">
        <v>1036</v>
      </c>
      <c r="B926" s="79" t="s">
        <v>1037</v>
      </c>
      <c r="C926" s="128"/>
      <c r="D926" s="128"/>
      <c r="E926" s="128"/>
      <c r="F926" s="128">
        <v>856895526</v>
      </c>
      <c r="G926" s="128"/>
      <c r="H926" s="128"/>
      <c r="I926" s="128"/>
      <c r="J926" s="128"/>
      <c r="K926" s="128"/>
      <c r="L926" s="128"/>
      <c r="M926" s="128"/>
      <c r="N926" s="128"/>
      <c r="O926" s="89">
        <f t="shared" si="386"/>
        <v>856895526</v>
      </c>
      <c r="Q926" s="104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  <c r="AT926" s="65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5"/>
      <c r="BF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  <c r="BT926" s="65"/>
      <c r="BU926" s="65"/>
      <c r="BV926" s="65"/>
    </row>
    <row r="927" spans="1:74" s="66" customFormat="1" ht="47.25" x14ac:dyDescent="0.2">
      <c r="A927" s="77" t="s">
        <v>633</v>
      </c>
      <c r="B927" s="75" t="s">
        <v>1038</v>
      </c>
      <c r="C927" s="126">
        <f t="shared" ref="C927:N927" si="389">+C928+C953</f>
        <v>0</v>
      </c>
      <c r="D927" s="126">
        <f t="shared" si="389"/>
        <v>0</v>
      </c>
      <c r="E927" s="126">
        <f t="shared" si="389"/>
        <v>0</v>
      </c>
      <c r="F927" s="126">
        <f t="shared" si="389"/>
        <v>320123087</v>
      </c>
      <c r="G927" s="126">
        <f t="shared" si="389"/>
        <v>0</v>
      </c>
      <c r="H927" s="126">
        <f t="shared" si="389"/>
        <v>8132449327.4300003</v>
      </c>
      <c r="I927" s="126">
        <f t="shared" si="389"/>
        <v>0</v>
      </c>
      <c r="J927" s="126">
        <f t="shared" si="389"/>
        <v>0</v>
      </c>
      <c r="K927" s="126">
        <f t="shared" si="389"/>
        <v>10498522838</v>
      </c>
      <c r="L927" s="126">
        <f t="shared" si="389"/>
        <v>0</v>
      </c>
      <c r="M927" s="126">
        <f t="shared" si="389"/>
        <v>0</v>
      </c>
      <c r="N927" s="126">
        <f t="shared" si="389"/>
        <v>40566076219</v>
      </c>
      <c r="O927" s="89">
        <f t="shared" si="386"/>
        <v>59517171471.43</v>
      </c>
      <c r="Q927" s="104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  <c r="AT927" s="65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5"/>
      <c r="BF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  <c r="BT927" s="65"/>
      <c r="BU927" s="65"/>
      <c r="BV927" s="65"/>
    </row>
    <row r="928" spans="1:74" s="66" customFormat="1" ht="15.75" x14ac:dyDescent="0.2">
      <c r="A928" s="77" t="s">
        <v>1039</v>
      </c>
      <c r="B928" s="75" t="s">
        <v>1040</v>
      </c>
      <c r="C928" s="126">
        <f>+C929+C933+C940+C949</f>
        <v>0</v>
      </c>
      <c r="D928" s="126">
        <f t="shared" ref="D928:N928" si="390">+D929+D933+D940+D949</f>
        <v>0</v>
      </c>
      <c r="E928" s="126">
        <f t="shared" si="390"/>
        <v>0</v>
      </c>
      <c r="F928" s="126">
        <f t="shared" si="390"/>
        <v>320123087</v>
      </c>
      <c r="G928" s="126">
        <f t="shared" si="390"/>
        <v>0</v>
      </c>
      <c r="H928" s="126">
        <f t="shared" si="390"/>
        <v>8132449327.4300003</v>
      </c>
      <c r="I928" s="126">
        <f t="shared" si="390"/>
        <v>0</v>
      </c>
      <c r="J928" s="126">
        <f t="shared" si="390"/>
        <v>0</v>
      </c>
      <c r="K928" s="126">
        <f t="shared" si="390"/>
        <v>8298522838</v>
      </c>
      <c r="L928" s="126">
        <f t="shared" si="390"/>
        <v>0</v>
      </c>
      <c r="M928" s="126">
        <f t="shared" si="390"/>
        <v>0</v>
      </c>
      <c r="N928" s="126">
        <f t="shared" si="390"/>
        <v>30631196255</v>
      </c>
      <c r="O928" s="89">
        <f t="shared" si="386"/>
        <v>47382291507.43</v>
      </c>
      <c r="Q928" s="104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  <c r="AT928" s="65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5"/>
      <c r="BF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  <c r="BT928" s="65"/>
      <c r="BU928" s="65"/>
      <c r="BV928" s="65"/>
    </row>
    <row r="929" spans="1:74" s="66" customFormat="1" ht="63" x14ac:dyDescent="0.2">
      <c r="A929" s="77" t="s">
        <v>1041</v>
      </c>
      <c r="B929" s="75" t="s">
        <v>1042</v>
      </c>
      <c r="C929" s="126">
        <f t="shared" ref="C929:N929" si="391">SUM(C930:C932)</f>
        <v>0</v>
      </c>
      <c r="D929" s="126">
        <f t="shared" si="391"/>
        <v>0</v>
      </c>
      <c r="E929" s="126">
        <f t="shared" si="391"/>
        <v>0</v>
      </c>
      <c r="F929" s="126">
        <f t="shared" si="391"/>
        <v>0</v>
      </c>
      <c r="G929" s="126">
        <f t="shared" si="391"/>
        <v>0</v>
      </c>
      <c r="H929" s="126">
        <f t="shared" si="391"/>
        <v>0</v>
      </c>
      <c r="I929" s="126">
        <f t="shared" si="391"/>
        <v>0</v>
      </c>
      <c r="J929" s="126">
        <f t="shared" si="391"/>
        <v>0</v>
      </c>
      <c r="K929" s="126">
        <f t="shared" si="391"/>
        <v>0</v>
      </c>
      <c r="L929" s="126">
        <f t="shared" si="391"/>
        <v>0</v>
      </c>
      <c r="M929" s="126">
        <f t="shared" si="391"/>
        <v>0</v>
      </c>
      <c r="N929" s="126">
        <f t="shared" si="391"/>
        <v>0</v>
      </c>
      <c r="O929" s="89">
        <f t="shared" si="386"/>
        <v>0</v>
      </c>
      <c r="Q929" s="104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  <c r="AT929" s="65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5"/>
      <c r="BF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  <c r="BT929" s="65"/>
      <c r="BU929" s="65"/>
      <c r="BV929" s="65"/>
    </row>
    <row r="930" spans="1:74" s="66" customFormat="1" ht="15" x14ac:dyDescent="0.2">
      <c r="A930" s="72" t="s">
        <v>1043</v>
      </c>
      <c r="B930" s="73" t="s">
        <v>1044</v>
      </c>
      <c r="C930" s="127"/>
      <c r="D930" s="127"/>
      <c r="E930" s="127"/>
      <c r="F930" s="127"/>
      <c r="G930" s="127"/>
      <c r="H930" s="127"/>
      <c r="I930" s="127"/>
      <c r="J930" s="127"/>
      <c r="K930" s="127"/>
      <c r="L930" s="127"/>
      <c r="M930" s="127"/>
      <c r="N930" s="127"/>
      <c r="O930" s="89">
        <f t="shared" si="386"/>
        <v>0</v>
      </c>
      <c r="Q930" s="104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  <c r="BT930" s="65"/>
      <c r="BU930" s="65"/>
      <c r="BV930" s="65"/>
    </row>
    <row r="931" spans="1:74" s="66" customFormat="1" ht="15" x14ac:dyDescent="0.2">
      <c r="A931" s="72" t="s">
        <v>1045</v>
      </c>
      <c r="B931" s="73" t="s">
        <v>1046</v>
      </c>
      <c r="C931" s="127"/>
      <c r="D931" s="127"/>
      <c r="E931" s="127"/>
      <c r="F931" s="127"/>
      <c r="G931" s="127"/>
      <c r="H931" s="127"/>
      <c r="I931" s="127"/>
      <c r="J931" s="127"/>
      <c r="K931" s="127"/>
      <c r="L931" s="127"/>
      <c r="M931" s="127"/>
      <c r="N931" s="127"/>
      <c r="O931" s="89">
        <f t="shared" si="386"/>
        <v>0</v>
      </c>
      <c r="Q931" s="104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  <c r="AT931" s="65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5"/>
      <c r="BF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  <c r="BT931" s="65"/>
      <c r="BU931" s="65"/>
      <c r="BV931" s="65"/>
    </row>
    <row r="932" spans="1:74" s="66" customFormat="1" ht="15" x14ac:dyDescent="0.2">
      <c r="A932" s="72" t="s">
        <v>1047</v>
      </c>
      <c r="B932" s="73" t="s">
        <v>1048</v>
      </c>
      <c r="C932" s="127"/>
      <c r="D932" s="127"/>
      <c r="E932" s="127"/>
      <c r="F932" s="127"/>
      <c r="G932" s="127"/>
      <c r="H932" s="127"/>
      <c r="I932" s="127"/>
      <c r="J932" s="127"/>
      <c r="K932" s="127"/>
      <c r="L932" s="127"/>
      <c r="M932" s="127"/>
      <c r="N932" s="127"/>
      <c r="O932" s="89">
        <f t="shared" si="386"/>
        <v>0</v>
      </c>
      <c r="Q932" s="104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  <c r="AT932" s="65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  <c r="BT932" s="65"/>
      <c r="BU932" s="65"/>
      <c r="BV932" s="65"/>
    </row>
    <row r="933" spans="1:74" s="108" customFormat="1" ht="78.75" x14ac:dyDescent="0.2">
      <c r="A933" s="77" t="s">
        <v>1208</v>
      </c>
      <c r="B933" s="75" t="s">
        <v>1056</v>
      </c>
      <c r="C933" s="126">
        <f>SUM(C934:C939)</f>
        <v>0</v>
      </c>
      <c r="D933" s="126">
        <f t="shared" ref="D933:N933" si="392">SUM(D934:D939)</f>
        <v>0</v>
      </c>
      <c r="E933" s="126">
        <f t="shared" si="392"/>
        <v>0</v>
      </c>
      <c r="F933" s="126">
        <f t="shared" si="392"/>
        <v>45210500</v>
      </c>
      <c r="G933" s="126">
        <f t="shared" si="392"/>
        <v>0</v>
      </c>
      <c r="H933" s="126">
        <f t="shared" si="392"/>
        <v>8132449327.4300003</v>
      </c>
      <c r="I933" s="126">
        <f t="shared" si="392"/>
        <v>0</v>
      </c>
      <c r="J933" s="126">
        <f t="shared" si="392"/>
        <v>0</v>
      </c>
      <c r="K933" s="126">
        <f t="shared" si="392"/>
        <v>1555000138</v>
      </c>
      <c r="L933" s="126">
        <f t="shared" si="392"/>
        <v>0</v>
      </c>
      <c r="M933" s="126">
        <f t="shared" si="392"/>
        <v>0</v>
      </c>
      <c r="N933" s="126">
        <f t="shared" si="392"/>
        <v>30364529588</v>
      </c>
      <c r="O933" s="89">
        <f t="shared" si="386"/>
        <v>40097189553.43</v>
      </c>
      <c r="Q933" s="104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</row>
    <row r="934" spans="1:74" s="66" customFormat="1" ht="42.75" x14ac:dyDescent="0.2">
      <c r="A934" s="72" t="s">
        <v>1209</v>
      </c>
      <c r="B934" s="73" t="s">
        <v>1057</v>
      </c>
      <c r="C934" s="127"/>
      <c r="D934" s="127"/>
      <c r="E934" s="127"/>
      <c r="F934" s="127"/>
      <c r="G934" s="127"/>
      <c r="H934" s="127"/>
      <c r="I934" s="127"/>
      <c r="J934" s="127"/>
      <c r="K934" s="127"/>
      <c r="L934" s="127"/>
      <c r="M934" s="127"/>
      <c r="N934" s="127"/>
      <c r="O934" s="89">
        <f t="shared" si="386"/>
        <v>0</v>
      </c>
      <c r="Q934" s="104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  <c r="AT934" s="65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5"/>
      <c r="BF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  <c r="BT934" s="65"/>
      <c r="BU934" s="65"/>
      <c r="BV934" s="65"/>
    </row>
    <row r="935" spans="1:74" s="66" customFormat="1" ht="42.75" x14ac:dyDescent="0.2">
      <c r="A935" s="72" t="s">
        <v>1209</v>
      </c>
      <c r="B935" s="73" t="s">
        <v>1057</v>
      </c>
      <c r="C935" s="127"/>
      <c r="D935" s="127"/>
      <c r="E935" s="127"/>
      <c r="F935" s="127">
        <v>45210500</v>
      </c>
      <c r="G935" s="127"/>
      <c r="H935" s="127"/>
      <c r="I935" s="127"/>
      <c r="J935" s="127"/>
      <c r="K935" s="127"/>
      <c r="L935" s="127"/>
      <c r="M935" s="127"/>
      <c r="N935" s="127"/>
      <c r="O935" s="89">
        <f t="shared" si="386"/>
        <v>45210500</v>
      </c>
      <c r="Q935" s="104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  <c r="AT935" s="65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  <c r="BT935" s="65"/>
      <c r="BU935" s="65"/>
      <c r="BV935" s="65"/>
    </row>
    <row r="936" spans="1:74" s="66" customFormat="1" ht="42.75" x14ac:dyDescent="0.2">
      <c r="A936" s="72" t="s">
        <v>1209</v>
      </c>
      <c r="B936" s="73" t="s">
        <v>1057</v>
      </c>
      <c r="C936" s="127"/>
      <c r="D936" s="127"/>
      <c r="E936" s="127"/>
      <c r="F936" s="127"/>
      <c r="G936" s="127"/>
      <c r="H936" s="127"/>
      <c r="I936" s="127"/>
      <c r="J936" s="127"/>
      <c r="K936" s="127">
        <v>1555000138</v>
      </c>
      <c r="L936" s="127"/>
      <c r="M936" s="127"/>
      <c r="N936" s="127"/>
      <c r="O936" s="89">
        <f t="shared" si="386"/>
        <v>1555000138</v>
      </c>
      <c r="Q936" s="104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  <c r="BT936" s="65"/>
      <c r="BU936" s="65"/>
      <c r="BV936" s="65"/>
    </row>
    <row r="937" spans="1:74" s="66" customFormat="1" ht="42.75" x14ac:dyDescent="0.2">
      <c r="A937" s="72" t="s">
        <v>1209</v>
      </c>
      <c r="B937" s="73" t="s">
        <v>1057</v>
      </c>
      <c r="C937" s="127"/>
      <c r="D937" s="127"/>
      <c r="E937" s="127"/>
      <c r="F937" s="127"/>
      <c r="G937" s="127"/>
      <c r="H937" s="127"/>
      <c r="I937" s="127"/>
      <c r="J937" s="127"/>
      <c r="K937" s="127"/>
      <c r="L937" s="127"/>
      <c r="M937" s="127"/>
      <c r="N937" s="127">
        <v>1741074000</v>
      </c>
      <c r="O937" s="89">
        <f t="shared" si="386"/>
        <v>1741074000</v>
      </c>
      <c r="Q937" s="104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  <c r="BT937" s="65"/>
      <c r="BU937" s="65"/>
      <c r="BV937" s="65"/>
    </row>
    <row r="938" spans="1:74" s="66" customFormat="1" ht="42.75" x14ac:dyDescent="0.2">
      <c r="A938" s="72" t="s">
        <v>1209</v>
      </c>
      <c r="B938" s="73" t="s">
        <v>1057</v>
      </c>
      <c r="C938" s="127"/>
      <c r="D938" s="127"/>
      <c r="E938" s="127"/>
      <c r="F938" s="127"/>
      <c r="G938" s="127"/>
      <c r="H938" s="127"/>
      <c r="I938" s="127"/>
      <c r="J938" s="127"/>
      <c r="K938" s="127"/>
      <c r="L938" s="127"/>
      <c r="M938" s="127"/>
      <c r="N938" s="127">
        <v>28623455588</v>
      </c>
      <c r="O938" s="89">
        <f t="shared" si="386"/>
        <v>28623455588</v>
      </c>
      <c r="Q938" s="104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  <c r="AS938" s="65"/>
      <c r="AT938" s="65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5"/>
      <c r="BF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  <c r="BT938" s="65"/>
      <c r="BU938" s="65"/>
      <c r="BV938" s="65"/>
    </row>
    <row r="939" spans="1:74" s="66" customFormat="1" ht="28.5" x14ac:dyDescent="0.2">
      <c r="A939" s="72" t="s">
        <v>1831</v>
      </c>
      <c r="B939" s="73" t="s">
        <v>1832</v>
      </c>
      <c r="C939" s="127"/>
      <c r="D939" s="127"/>
      <c r="E939" s="127"/>
      <c r="F939" s="127"/>
      <c r="G939" s="127"/>
      <c r="H939" s="127">
        <v>8132449327.4300003</v>
      </c>
      <c r="I939" s="127"/>
      <c r="J939" s="127"/>
      <c r="K939" s="127"/>
      <c r="L939" s="127"/>
      <c r="M939" s="127"/>
      <c r="N939" s="127"/>
      <c r="O939" s="89">
        <f t="shared" si="386"/>
        <v>8132449327.4300003</v>
      </c>
      <c r="Q939" s="104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  <c r="AT939" s="65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  <c r="BT939" s="65"/>
      <c r="BU939" s="65"/>
      <c r="BV939" s="65"/>
    </row>
    <row r="940" spans="1:74" s="108" customFormat="1" ht="31.5" x14ac:dyDescent="0.2">
      <c r="A940" s="77" t="s">
        <v>1210</v>
      </c>
      <c r="B940" s="75" t="s">
        <v>377</v>
      </c>
      <c r="C940" s="126">
        <f>+C941+C945+C946+C947+C948</f>
        <v>0</v>
      </c>
      <c r="D940" s="126">
        <f t="shared" ref="D940:N940" si="393">+D941+D945+D946+D947+D948</f>
        <v>0</v>
      </c>
      <c r="E940" s="126">
        <f t="shared" si="393"/>
        <v>0</v>
      </c>
      <c r="F940" s="126">
        <f t="shared" si="393"/>
        <v>274912587</v>
      </c>
      <c r="G940" s="126">
        <f t="shared" si="393"/>
        <v>0</v>
      </c>
      <c r="H940" s="126">
        <f t="shared" si="393"/>
        <v>0</v>
      </c>
      <c r="I940" s="126">
        <f t="shared" si="393"/>
        <v>0</v>
      </c>
      <c r="J940" s="126">
        <f t="shared" si="393"/>
        <v>0</v>
      </c>
      <c r="K940" s="126">
        <f t="shared" si="393"/>
        <v>6570022700</v>
      </c>
      <c r="L940" s="126">
        <f t="shared" si="393"/>
        <v>0</v>
      </c>
      <c r="M940" s="126">
        <f t="shared" si="393"/>
        <v>0</v>
      </c>
      <c r="N940" s="126">
        <f t="shared" si="393"/>
        <v>200000000</v>
      </c>
      <c r="O940" s="89">
        <f t="shared" si="386"/>
        <v>7044935287</v>
      </c>
      <c r="Q940" s="104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</row>
    <row r="941" spans="1:74" s="108" customFormat="1" ht="31.5" x14ac:dyDescent="0.2">
      <c r="A941" s="77" t="s">
        <v>1211</v>
      </c>
      <c r="B941" s="75" t="s">
        <v>378</v>
      </c>
      <c r="C941" s="126">
        <f>SUM(C942:C944)</f>
        <v>0</v>
      </c>
      <c r="D941" s="126">
        <f t="shared" ref="D941:N941" si="394">SUM(D942:D944)</f>
        <v>0</v>
      </c>
      <c r="E941" s="126">
        <f t="shared" si="394"/>
        <v>0</v>
      </c>
      <c r="F941" s="126">
        <f t="shared" si="394"/>
        <v>0</v>
      </c>
      <c r="G941" s="126">
        <f t="shared" si="394"/>
        <v>0</v>
      </c>
      <c r="H941" s="126">
        <f t="shared" si="394"/>
        <v>0</v>
      </c>
      <c r="I941" s="126">
        <f t="shared" si="394"/>
        <v>0</v>
      </c>
      <c r="J941" s="126">
        <f t="shared" si="394"/>
        <v>0</v>
      </c>
      <c r="K941" s="126">
        <f t="shared" si="394"/>
        <v>520500000</v>
      </c>
      <c r="L941" s="126">
        <f t="shared" si="394"/>
        <v>0</v>
      </c>
      <c r="M941" s="126">
        <f t="shared" si="394"/>
        <v>0</v>
      </c>
      <c r="N941" s="126">
        <f t="shared" si="394"/>
        <v>200000000</v>
      </c>
      <c r="O941" s="89">
        <f t="shared" si="386"/>
        <v>720500000</v>
      </c>
      <c r="Q941" s="104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</row>
    <row r="942" spans="1:74" s="66" customFormat="1" ht="42.75" x14ac:dyDescent="0.2">
      <c r="A942" s="72" t="s">
        <v>1212</v>
      </c>
      <c r="B942" s="73" t="s">
        <v>1058</v>
      </c>
      <c r="C942" s="127"/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89">
        <f t="shared" si="386"/>
        <v>0</v>
      </c>
      <c r="Q942" s="104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  <c r="AS942" s="65"/>
      <c r="AT942" s="65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  <c r="BT942" s="65"/>
      <c r="BU942" s="65"/>
      <c r="BV942" s="65"/>
    </row>
    <row r="943" spans="1:74" s="66" customFormat="1" ht="42.75" x14ac:dyDescent="0.2">
      <c r="A943" s="72" t="s">
        <v>1212</v>
      </c>
      <c r="B943" s="73" t="s">
        <v>1058</v>
      </c>
      <c r="C943" s="127"/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>
        <v>200000000</v>
      </c>
      <c r="O943" s="89">
        <f t="shared" si="386"/>
        <v>200000000</v>
      </c>
      <c r="Q943" s="104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  <c r="AS943" s="65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  <c r="BS943" s="65"/>
      <c r="BT943" s="65"/>
      <c r="BU943" s="65"/>
      <c r="BV943" s="65"/>
    </row>
    <row r="944" spans="1:74" s="66" customFormat="1" ht="42.75" x14ac:dyDescent="0.2">
      <c r="A944" s="72" t="s">
        <v>1212</v>
      </c>
      <c r="B944" s="73" t="s">
        <v>1058</v>
      </c>
      <c r="C944" s="127"/>
      <c r="D944" s="127"/>
      <c r="E944" s="127"/>
      <c r="F944" s="127"/>
      <c r="G944" s="127"/>
      <c r="H944" s="127"/>
      <c r="I944" s="127"/>
      <c r="J944" s="127"/>
      <c r="K944" s="127">
        <v>520500000</v>
      </c>
      <c r="L944" s="127"/>
      <c r="M944" s="127"/>
      <c r="N944" s="127"/>
      <c r="O944" s="89">
        <f t="shared" si="386"/>
        <v>520500000</v>
      </c>
      <c r="Q944" s="104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  <c r="BT944" s="65"/>
      <c r="BU944" s="65"/>
      <c r="BV944" s="65"/>
    </row>
    <row r="945" spans="1:74" s="66" customFormat="1" ht="42.75" x14ac:dyDescent="0.2">
      <c r="A945" s="72" t="s">
        <v>1213</v>
      </c>
      <c r="B945" s="73" t="s">
        <v>1214</v>
      </c>
      <c r="C945" s="127"/>
      <c r="D945" s="127"/>
      <c r="E945" s="127"/>
      <c r="F945" s="127"/>
      <c r="G945" s="127"/>
      <c r="H945" s="127"/>
      <c r="I945" s="127"/>
      <c r="J945" s="127"/>
      <c r="K945" s="127"/>
      <c r="L945" s="127"/>
      <c r="M945" s="127"/>
      <c r="N945" s="127"/>
      <c r="O945" s="89">
        <f t="shared" si="386"/>
        <v>0</v>
      </c>
      <c r="Q945" s="104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  <c r="AS945" s="65"/>
      <c r="AT945" s="65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/>
      <c r="BI945" s="65"/>
      <c r="BJ945" s="65"/>
      <c r="BK945" s="65"/>
      <c r="BL945" s="65"/>
      <c r="BM945" s="65"/>
      <c r="BN945" s="65"/>
      <c r="BO945" s="65"/>
      <c r="BP945" s="65"/>
      <c r="BQ945" s="65"/>
      <c r="BR945" s="65"/>
      <c r="BS945" s="65"/>
      <c r="BT945" s="65"/>
      <c r="BU945" s="65"/>
      <c r="BV945" s="65"/>
    </row>
    <row r="946" spans="1:74" s="66" customFormat="1" ht="42.75" x14ac:dyDescent="0.2">
      <c r="A946" s="72" t="s">
        <v>1213</v>
      </c>
      <c r="B946" s="73" t="s">
        <v>1214</v>
      </c>
      <c r="C946" s="127"/>
      <c r="D946" s="127"/>
      <c r="E946" s="127"/>
      <c r="F946" s="127">
        <v>274912587</v>
      </c>
      <c r="G946" s="127"/>
      <c r="H946" s="127"/>
      <c r="I946" s="127"/>
      <c r="J946" s="127"/>
      <c r="K946" s="127"/>
      <c r="L946" s="127"/>
      <c r="M946" s="127"/>
      <c r="N946" s="127"/>
      <c r="O946" s="89">
        <f t="shared" si="386"/>
        <v>274912587</v>
      </c>
      <c r="Q946" s="104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  <c r="AS946" s="65"/>
      <c r="AT946" s="65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5"/>
      <c r="BF946" s="65"/>
      <c r="BG946" s="65"/>
      <c r="BH946" s="65"/>
      <c r="BI946" s="65"/>
      <c r="BJ946" s="65"/>
      <c r="BK946" s="65"/>
      <c r="BL946" s="65"/>
      <c r="BM946" s="65"/>
      <c r="BN946" s="65"/>
      <c r="BO946" s="65"/>
      <c r="BP946" s="65"/>
      <c r="BQ946" s="65"/>
      <c r="BR946" s="65"/>
      <c r="BS946" s="65"/>
      <c r="BT946" s="65"/>
      <c r="BU946" s="65"/>
      <c r="BV946" s="65"/>
    </row>
    <row r="947" spans="1:74" s="66" customFormat="1" ht="42.75" x14ac:dyDescent="0.2">
      <c r="A947" s="72" t="s">
        <v>1213</v>
      </c>
      <c r="B947" s="73" t="s">
        <v>1214</v>
      </c>
      <c r="C947" s="127"/>
      <c r="D947" s="127"/>
      <c r="E947" s="127"/>
      <c r="F947" s="127"/>
      <c r="G947" s="127"/>
      <c r="H947" s="127"/>
      <c r="I947" s="127"/>
      <c r="J947" s="127"/>
      <c r="K947" s="127">
        <v>5850000000</v>
      </c>
      <c r="L947" s="127"/>
      <c r="M947" s="127"/>
      <c r="N947" s="127"/>
      <c r="O947" s="89">
        <f t="shared" si="386"/>
        <v>5850000000</v>
      </c>
      <c r="Q947" s="104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  <c r="AS947" s="65"/>
      <c r="AT947" s="65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/>
      <c r="BI947" s="65"/>
      <c r="BJ947" s="65"/>
      <c r="BK947" s="65"/>
      <c r="BL947" s="65"/>
      <c r="BM947" s="65"/>
      <c r="BN947" s="65"/>
      <c r="BO947" s="65"/>
      <c r="BP947" s="65"/>
      <c r="BQ947" s="65"/>
      <c r="BR947" s="65"/>
      <c r="BS947" s="65"/>
      <c r="BT947" s="65"/>
      <c r="BU947" s="65"/>
      <c r="BV947" s="65"/>
    </row>
    <row r="948" spans="1:74" s="66" customFormat="1" ht="42.75" x14ac:dyDescent="0.2">
      <c r="A948" s="72" t="s">
        <v>1213</v>
      </c>
      <c r="B948" s="73" t="s">
        <v>1214</v>
      </c>
      <c r="C948" s="127"/>
      <c r="D948" s="127"/>
      <c r="E948" s="127"/>
      <c r="F948" s="127"/>
      <c r="G948" s="127"/>
      <c r="H948" s="127"/>
      <c r="I948" s="127"/>
      <c r="J948" s="127"/>
      <c r="K948" s="127">
        <v>199522700</v>
      </c>
      <c r="L948" s="127"/>
      <c r="M948" s="127"/>
      <c r="N948" s="127"/>
      <c r="O948" s="89">
        <f t="shared" si="386"/>
        <v>199522700</v>
      </c>
      <c r="Q948" s="104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65"/>
      <c r="AF948" s="65"/>
      <c r="AG948" s="65"/>
      <c r="AH948" s="65"/>
      <c r="AI948" s="65"/>
      <c r="AJ948" s="65"/>
      <c r="AK948" s="65"/>
      <c r="AL948" s="65"/>
      <c r="AM948" s="65"/>
      <c r="AN948" s="65"/>
      <c r="AO948" s="65"/>
      <c r="AP948" s="65"/>
      <c r="AQ948" s="65"/>
      <c r="AR948" s="65"/>
      <c r="AS948" s="65"/>
      <c r="AT948" s="65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5"/>
      <c r="BF948" s="65"/>
      <c r="BG948" s="65"/>
      <c r="BH948" s="65"/>
      <c r="BI948" s="65"/>
      <c r="BJ948" s="65"/>
      <c r="BK948" s="65"/>
      <c r="BL948" s="65"/>
      <c r="BM948" s="65"/>
      <c r="BN948" s="65"/>
      <c r="BO948" s="65"/>
      <c r="BP948" s="65"/>
      <c r="BQ948" s="65"/>
      <c r="BR948" s="65"/>
      <c r="BS948" s="65"/>
      <c r="BT948" s="65"/>
      <c r="BU948" s="65"/>
      <c r="BV948" s="65"/>
    </row>
    <row r="949" spans="1:74" s="108" customFormat="1" ht="31.5" x14ac:dyDescent="0.2">
      <c r="A949" s="77" t="s">
        <v>1215</v>
      </c>
      <c r="B949" s="75" t="s">
        <v>1059</v>
      </c>
      <c r="C949" s="126">
        <f>SUM(C950:C952)</f>
        <v>0</v>
      </c>
      <c r="D949" s="126">
        <f t="shared" ref="D949:N949" si="395">SUM(D950:D952)</f>
        <v>0</v>
      </c>
      <c r="E949" s="126">
        <f t="shared" si="395"/>
        <v>0</v>
      </c>
      <c r="F949" s="126">
        <f t="shared" si="395"/>
        <v>0</v>
      </c>
      <c r="G949" s="126">
        <f t="shared" si="395"/>
        <v>0</v>
      </c>
      <c r="H949" s="126">
        <f t="shared" si="395"/>
        <v>0</v>
      </c>
      <c r="I949" s="126">
        <f t="shared" si="395"/>
        <v>0</v>
      </c>
      <c r="J949" s="126">
        <f t="shared" si="395"/>
        <v>0</v>
      </c>
      <c r="K949" s="126">
        <f t="shared" si="395"/>
        <v>173500000</v>
      </c>
      <c r="L949" s="126">
        <f t="shared" si="395"/>
        <v>0</v>
      </c>
      <c r="M949" s="126">
        <f t="shared" si="395"/>
        <v>0</v>
      </c>
      <c r="N949" s="126">
        <f t="shared" si="395"/>
        <v>66666667</v>
      </c>
      <c r="O949" s="89">
        <f t="shared" si="386"/>
        <v>240166667</v>
      </c>
      <c r="P949" s="107"/>
      <c r="Q949" s="104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</row>
    <row r="950" spans="1:74" s="66" customFormat="1" ht="42.75" x14ac:dyDescent="0.2">
      <c r="A950" s="72" t="s">
        <v>1216</v>
      </c>
      <c r="B950" s="73" t="s">
        <v>1060</v>
      </c>
      <c r="C950" s="127"/>
      <c r="D950" s="127"/>
      <c r="E950" s="127"/>
      <c r="F950" s="127"/>
      <c r="G950" s="127"/>
      <c r="H950" s="127"/>
      <c r="I950" s="127"/>
      <c r="J950" s="127"/>
      <c r="K950" s="127"/>
      <c r="L950" s="127"/>
      <c r="M950" s="127"/>
      <c r="N950" s="127"/>
      <c r="O950" s="89">
        <f t="shared" si="386"/>
        <v>0</v>
      </c>
      <c r="P950" s="65"/>
      <c r="Q950" s="104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  <c r="AS950" s="65"/>
      <c r="AT950" s="65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/>
      <c r="BI950" s="65"/>
      <c r="BJ950" s="65"/>
      <c r="BK950" s="65"/>
      <c r="BL950" s="65"/>
      <c r="BM950" s="65"/>
      <c r="BN950" s="65"/>
      <c r="BO950" s="65"/>
      <c r="BP950" s="65"/>
      <c r="BQ950" s="65"/>
      <c r="BR950" s="65"/>
      <c r="BS950" s="65"/>
      <c r="BT950" s="65"/>
      <c r="BU950" s="65"/>
      <c r="BV950" s="65"/>
    </row>
    <row r="951" spans="1:74" s="66" customFormat="1" ht="42.75" x14ac:dyDescent="0.2">
      <c r="A951" s="72" t="s">
        <v>1216</v>
      </c>
      <c r="B951" s="73" t="s">
        <v>1060</v>
      </c>
      <c r="C951" s="127"/>
      <c r="D951" s="127"/>
      <c r="E951" s="127"/>
      <c r="F951" s="127"/>
      <c r="G951" s="127"/>
      <c r="H951" s="127"/>
      <c r="I951" s="127"/>
      <c r="J951" s="127"/>
      <c r="K951" s="127"/>
      <c r="L951" s="127"/>
      <c r="M951" s="127"/>
      <c r="N951" s="127">
        <v>66666667</v>
      </c>
      <c r="O951" s="89">
        <f t="shared" si="386"/>
        <v>66666667</v>
      </c>
      <c r="P951" s="65"/>
      <c r="Q951" s="104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  <c r="BT951" s="65"/>
      <c r="BU951" s="65"/>
      <c r="BV951" s="65"/>
    </row>
    <row r="952" spans="1:74" s="66" customFormat="1" ht="42.75" x14ac:dyDescent="0.2">
      <c r="A952" s="72" t="s">
        <v>1216</v>
      </c>
      <c r="B952" s="73" t="s">
        <v>1060</v>
      </c>
      <c r="C952" s="127"/>
      <c r="D952" s="127"/>
      <c r="E952" s="127"/>
      <c r="F952" s="127"/>
      <c r="G952" s="127"/>
      <c r="H952" s="127"/>
      <c r="I952" s="127"/>
      <c r="J952" s="127"/>
      <c r="K952" s="127">
        <v>173500000</v>
      </c>
      <c r="L952" s="127"/>
      <c r="M952" s="127"/>
      <c r="N952" s="127"/>
      <c r="O952" s="89">
        <f t="shared" si="386"/>
        <v>173500000</v>
      </c>
      <c r="P952" s="65"/>
      <c r="Q952" s="104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  <c r="AS952" s="65"/>
      <c r="AT952" s="65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5"/>
      <c r="BF952" s="65"/>
      <c r="BG952" s="65"/>
      <c r="BH952" s="65"/>
      <c r="BI952" s="65"/>
      <c r="BJ952" s="65"/>
      <c r="BK952" s="65"/>
      <c r="BL952" s="65"/>
      <c r="BM952" s="65"/>
      <c r="BN952" s="65"/>
      <c r="BO952" s="65"/>
      <c r="BP952" s="65"/>
      <c r="BQ952" s="65"/>
      <c r="BR952" s="65"/>
      <c r="BS952" s="65"/>
      <c r="BT952" s="65"/>
      <c r="BU952" s="65"/>
      <c r="BV952" s="65"/>
    </row>
    <row r="953" spans="1:74" s="66" customFormat="1" ht="31.5" x14ac:dyDescent="0.2">
      <c r="A953" s="77" t="s">
        <v>635</v>
      </c>
      <c r="B953" s="75" t="s">
        <v>1049</v>
      </c>
      <c r="C953" s="126">
        <f>+C954+C972</f>
        <v>0</v>
      </c>
      <c r="D953" s="126">
        <f t="shared" ref="D953:N953" si="396">+D954+D972</f>
        <v>0</v>
      </c>
      <c r="E953" s="126">
        <f t="shared" si="396"/>
        <v>0</v>
      </c>
      <c r="F953" s="126">
        <f t="shared" si="396"/>
        <v>0</v>
      </c>
      <c r="G953" s="126">
        <f t="shared" si="396"/>
        <v>0</v>
      </c>
      <c r="H953" s="126">
        <f t="shared" si="396"/>
        <v>0</v>
      </c>
      <c r="I953" s="126">
        <f t="shared" si="396"/>
        <v>0</v>
      </c>
      <c r="J953" s="126">
        <f t="shared" si="396"/>
        <v>0</v>
      </c>
      <c r="K953" s="126">
        <f t="shared" si="396"/>
        <v>2200000000</v>
      </c>
      <c r="L953" s="126">
        <f t="shared" si="396"/>
        <v>0</v>
      </c>
      <c r="M953" s="126">
        <f t="shared" si="396"/>
        <v>0</v>
      </c>
      <c r="N953" s="126">
        <f t="shared" si="396"/>
        <v>9934879964</v>
      </c>
      <c r="O953" s="89">
        <f t="shared" si="386"/>
        <v>12134879964</v>
      </c>
      <c r="P953" s="65"/>
      <c r="Q953" s="104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  <c r="AS953" s="65"/>
      <c r="AT953" s="65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5"/>
      <c r="BF953" s="65"/>
      <c r="BG953" s="65"/>
      <c r="BH953" s="65"/>
      <c r="BI953" s="65"/>
      <c r="BJ953" s="65"/>
      <c r="BK953" s="65"/>
      <c r="BL953" s="65"/>
      <c r="BM953" s="65"/>
      <c r="BN953" s="65"/>
      <c r="BO953" s="65"/>
      <c r="BP953" s="65"/>
      <c r="BQ953" s="65"/>
      <c r="BR953" s="65"/>
      <c r="BS953" s="65"/>
      <c r="BT953" s="65"/>
      <c r="BU953" s="65"/>
      <c r="BV953" s="65"/>
    </row>
    <row r="954" spans="1:74" s="66" customFormat="1" ht="31.5" x14ac:dyDescent="0.2">
      <c r="A954" s="77" t="s">
        <v>637</v>
      </c>
      <c r="B954" s="75" t="s">
        <v>1050</v>
      </c>
      <c r="C954" s="126">
        <f>+C955+C970+C971</f>
        <v>0</v>
      </c>
      <c r="D954" s="126">
        <f t="shared" ref="D954:N954" si="397">+D955+D970+D971</f>
        <v>0</v>
      </c>
      <c r="E954" s="126">
        <f t="shared" si="397"/>
        <v>0</v>
      </c>
      <c r="F954" s="126">
        <f t="shared" si="397"/>
        <v>0</v>
      </c>
      <c r="G954" s="126">
        <f t="shared" si="397"/>
        <v>0</v>
      </c>
      <c r="H954" s="126">
        <f t="shared" si="397"/>
        <v>0</v>
      </c>
      <c r="I954" s="126">
        <f t="shared" si="397"/>
        <v>0</v>
      </c>
      <c r="J954" s="126">
        <f t="shared" si="397"/>
        <v>0</v>
      </c>
      <c r="K954" s="126">
        <f t="shared" si="397"/>
        <v>2200000000</v>
      </c>
      <c r="L954" s="126">
        <f t="shared" si="397"/>
        <v>0</v>
      </c>
      <c r="M954" s="126">
        <f t="shared" si="397"/>
        <v>0</v>
      </c>
      <c r="N954" s="126">
        <f t="shared" si="397"/>
        <v>7851000000</v>
      </c>
      <c r="O954" s="89">
        <f t="shared" si="386"/>
        <v>10051000000</v>
      </c>
      <c r="P954" s="65"/>
      <c r="Q954" s="104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  <c r="AS954" s="65"/>
      <c r="AT954" s="65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5"/>
      <c r="BF954" s="65"/>
      <c r="BG954" s="65"/>
      <c r="BH954" s="65"/>
      <c r="BI954" s="65"/>
      <c r="BJ954" s="65"/>
      <c r="BK954" s="65"/>
      <c r="BL954" s="65"/>
      <c r="BM954" s="65"/>
      <c r="BN954" s="65"/>
      <c r="BO954" s="65"/>
      <c r="BP954" s="65"/>
      <c r="BQ954" s="65"/>
      <c r="BR954" s="65"/>
      <c r="BS954" s="65"/>
      <c r="BT954" s="65"/>
      <c r="BU954" s="65"/>
      <c r="BV954" s="65"/>
    </row>
    <row r="955" spans="1:74" s="66" customFormat="1" ht="31.5" x14ac:dyDescent="0.2">
      <c r="A955" s="77" t="s">
        <v>1051</v>
      </c>
      <c r="B955" s="75" t="s">
        <v>973</v>
      </c>
      <c r="C955" s="126">
        <f>SUM(C956:C969)</f>
        <v>0</v>
      </c>
      <c r="D955" s="126">
        <f t="shared" ref="D955:N955" si="398">SUM(D956:D969)</f>
        <v>0</v>
      </c>
      <c r="E955" s="126">
        <f t="shared" si="398"/>
        <v>0</v>
      </c>
      <c r="F955" s="126">
        <f t="shared" si="398"/>
        <v>0</v>
      </c>
      <c r="G955" s="126">
        <f t="shared" si="398"/>
        <v>0</v>
      </c>
      <c r="H955" s="126">
        <f t="shared" si="398"/>
        <v>0</v>
      </c>
      <c r="I955" s="126">
        <f t="shared" si="398"/>
        <v>0</v>
      </c>
      <c r="J955" s="126">
        <f t="shared" si="398"/>
        <v>0</v>
      </c>
      <c r="K955" s="126">
        <f t="shared" si="398"/>
        <v>2200000000</v>
      </c>
      <c r="L955" s="126">
        <f t="shared" si="398"/>
        <v>0</v>
      </c>
      <c r="M955" s="126">
        <f t="shared" si="398"/>
        <v>0</v>
      </c>
      <c r="N955" s="126">
        <f t="shared" si="398"/>
        <v>7851000000</v>
      </c>
      <c r="O955" s="89">
        <f t="shared" si="386"/>
        <v>10051000000</v>
      </c>
      <c r="P955" s="65"/>
      <c r="Q955" s="104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  <c r="AT955" s="65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/>
      <c r="BI955" s="65"/>
      <c r="BJ955" s="65"/>
      <c r="BK955" s="65"/>
      <c r="BL955" s="65"/>
      <c r="BM955" s="65"/>
      <c r="BN955" s="65"/>
      <c r="BO955" s="65"/>
      <c r="BP955" s="65"/>
      <c r="BQ955" s="65"/>
      <c r="BR955" s="65"/>
      <c r="BS955" s="65"/>
      <c r="BT955" s="65"/>
      <c r="BU955" s="65"/>
      <c r="BV955" s="65"/>
    </row>
    <row r="956" spans="1:74" s="66" customFormat="1" ht="28.5" x14ac:dyDescent="0.2">
      <c r="A956" s="72" t="s">
        <v>1052</v>
      </c>
      <c r="B956" s="73" t="s">
        <v>378</v>
      </c>
      <c r="C956" s="127"/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89">
        <f t="shared" si="386"/>
        <v>0</v>
      </c>
      <c r="P956" s="65"/>
      <c r="Q956" s="104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/>
      <c r="BI956" s="65"/>
      <c r="BJ956" s="65"/>
      <c r="BK956" s="65"/>
      <c r="BL956" s="65"/>
      <c r="BM956" s="65"/>
      <c r="BN956" s="65"/>
      <c r="BO956" s="65"/>
      <c r="BP956" s="65"/>
      <c r="BQ956" s="65"/>
      <c r="BR956" s="65"/>
      <c r="BS956" s="65"/>
      <c r="BT956" s="65"/>
      <c r="BU956" s="65"/>
      <c r="BV956" s="65"/>
    </row>
    <row r="957" spans="1:74" s="66" customFormat="1" ht="28.5" x14ac:dyDescent="0.2">
      <c r="A957" s="72" t="s">
        <v>1052</v>
      </c>
      <c r="B957" s="73" t="s">
        <v>378</v>
      </c>
      <c r="C957" s="127"/>
      <c r="D957" s="127"/>
      <c r="E957" s="127"/>
      <c r="F957" s="127"/>
      <c r="G957" s="127"/>
      <c r="H957" s="127"/>
      <c r="I957" s="127"/>
      <c r="J957" s="127"/>
      <c r="K957" s="127"/>
      <c r="L957" s="127"/>
      <c r="M957" s="127"/>
      <c r="N957" s="127"/>
      <c r="O957" s="89">
        <f t="shared" si="386"/>
        <v>0</v>
      </c>
      <c r="P957" s="65"/>
      <c r="Q957" s="104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  <c r="AS957" s="65"/>
      <c r="AT957" s="65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5"/>
      <c r="BF957" s="65"/>
      <c r="BG957" s="65"/>
      <c r="BH957" s="65"/>
      <c r="BI957" s="65"/>
      <c r="BJ957" s="65"/>
      <c r="BK957" s="65"/>
      <c r="BL957" s="65"/>
      <c r="BM957" s="65"/>
      <c r="BN957" s="65"/>
      <c r="BO957" s="65"/>
      <c r="BP957" s="65"/>
      <c r="BQ957" s="65"/>
      <c r="BR957" s="65"/>
      <c r="BS957" s="65"/>
      <c r="BT957" s="65"/>
      <c r="BU957" s="65"/>
      <c r="BV957" s="65"/>
    </row>
    <row r="958" spans="1:74" s="66" customFormat="1" ht="28.5" x14ac:dyDescent="0.2">
      <c r="A958" s="72" t="s">
        <v>1052</v>
      </c>
      <c r="B958" s="73" t="s">
        <v>378</v>
      </c>
      <c r="C958" s="127"/>
      <c r="D958" s="127"/>
      <c r="E958" s="127"/>
      <c r="F958" s="127"/>
      <c r="G958" s="127"/>
      <c r="H958" s="127"/>
      <c r="I958" s="127"/>
      <c r="J958" s="127"/>
      <c r="K958" s="127"/>
      <c r="L958" s="127"/>
      <c r="M958" s="127"/>
      <c r="N958" s="127">
        <v>6351000000</v>
      </c>
      <c r="O958" s="89">
        <f t="shared" si="386"/>
        <v>6351000000</v>
      </c>
      <c r="P958" s="65"/>
      <c r="Q958" s="104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  <c r="AT958" s="65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/>
      <c r="BI958" s="65"/>
      <c r="BJ958" s="65"/>
      <c r="BK958" s="65"/>
      <c r="BL958" s="65"/>
      <c r="BM958" s="65"/>
      <c r="BN958" s="65"/>
      <c r="BO958" s="65"/>
      <c r="BP958" s="65"/>
      <c r="BQ958" s="65"/>
      <c r="BR958" s="65"/>
      <c r="BS958" s="65"/>
      <c r="BT958" s="65"/>
      <c r="BU958" s="65"/>
      <c r="BV958" s="65"/>
    </row>
    <row r="959" spans="1:74" s="66" customFormat="1" ht="28.5" x14ac:dyDescent="0.2">
      <c r="A959" s="72" t="s">
        <v>1052</v>
      </c>
      <c r="B959" s="73" t="s">
        <v>378</v>
      </c>
      <c r="C959" s="127"/>
      <c r="D959" s="127"/>
      <c r="E959" s="127"/>
      <c r="F959" s="127"/>
      <c r="G959" s="127"/>
      <c r="H959" s="127"/>
      <c r="I959" s="127"/>
      <c r="J959" s="127"/>
      <c r="K959" s="127">
        <v>2200000000</v>
      </c>
      <c r="L959" s="127"/>
      <c r="M959" s="127"/>
      <c r="N959" s="127"/>
      <c r="O959" s="89">
        <f t="shared" si="386"/>
        <v>2200000000</v>
      </c>
      <c r="P959" s="65"/>
      <c r="Q959" s="104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  <c r="AE959" s="65"/>
      <c r="AF959" s="65"/>
      <c r="AG959" s="65"/>
      <c r="AH959" s="65"/>
      <c r="AI959" s="65"/>
      <c r="AJ959" s="65"/>
      <c r="AK959" s="65"/>
      <c r="AL959" s="65"/>
      <c r="AM959" s="65"/>
      <c r="AN959" s="65"/>
      <c r="AO959" s="65"/>
      <c r="AP959" s="65"/>
      <c r="AQ959" s="65"/>
      <c r="AR959" s="65"/>
      <c r="AS959" s="65"/>
      <c r="AT959" s="65"/>
      <c r="AU959" s="65"/>
      <c r="AV959" s="65"/>
      <c r="AW959" s="65"/>
      <c r="AX959" s="65"/>
      <c r="AY959" s="65"/>
      <c r="AZ959" s="65"/>
      <c r="BA959" s="65"/>
      <c r="BB959" s="65"/>
      <c r="BC959" s="65"/>
      <c r="BD959" s="65"/>
      <c r="BE959" s="65"/>
      <c r="BF959" s="65"/>
      <c r="BG959" s="65"/>
      <c r="BH959" s="65"/>
      <c r="BI959" s="65"/>
      <c r="BJ959" s="65"/>
      <c r="BK959" s="65"/>
      <c r="BL959" s="65"/>
      <c r="BM959" s="65"/>
      <c r="BN959" s="65"/>
      <c r="BO959" s="65"/>
      <c r="BP959" s="65"/>
      <c r="BQ959" s="65"/>
      <c r="BR959" s="65"/>
      <c r="BS959" s="65"/>
      <c r="BT959" s="65"/>
      <c r="BU959" s="65"/>
      <c r="BV959" s="65"/>
    </row>
    <row r="960" spans="1:74" s="66" customFormat="1" ht="15" x14ac:dyDescent="0.2">
      <c r="A960" s="72" t="s">
        <v>1053</v>
      </c>
      <c r="B960" s="73" t="s">
        <v>1054</v>
      </c>
      <c r="C960" s="127"/>
      <c r="D960" s="127"/>
      <c r="E960" s="127"/>
      <c r="F960" s="127"/>
      <c r="G960" s="127"/>
      <c r="H960" s="127"/>
      <c r="I960" s="127"/>
      <c r="J960" s="127"/>
      <c r="K960" s="127"/>
      <c r="L960" s="127"/>
      <c r="M960" s="127"/>
      <c r="N960" s="127"/>
      <c r="O960" s="89">
        <f t="shared" si="386"/>
        <v>0</v>
      </c>
      <c r="P960" s="65"/>
      <c r="Q960" s="104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  <c r="AS960" s="65"/>
      <c r="AT960" s="65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5"/>
      <c r="BF960" s="65"/>
      <c r="BG960" s="65"/>
      <c r="BH960" s="65"/>
      <c r="BI960" s="65"/>
      <c r="BJ960" s="65"/>
      <c r="BK960" s="65"/>
      <c r="BL960" s="65"/>
      <c r="BM960" s="65"/>
      <c r="BN960" s="65"/>
      <c r="BO960" s="65"/>
      <c r="BP960" s="65"/>
      <c r="BQ960" s="65"/>
      <c r="BR960" s="65"/>
      <c r="BS960" s="65"/>
      <c r="BT960" s="65"/>
      <c r="BU960" s="65"/>
      <c r="BV960" s="65"/>
    </row>
    <row r="961" spans="1:74" s="66" customFormat="1" ht="15" x14ac:dyDescent="0.2">
      <c r="A961" s="72" t="s">
        <v>1053</v>
      </c>
      <c r="B961" s="73" t="s">
        <v>1054</v>
      </c>
      <c r="C961" s="127"/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89">
        <f t="shared" si="386"/>
        <v>0</v>
      </c>
      <c r="P961" s="65"/>
      <c r="Q961" s="104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  <c r="AT961" s="65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  <c r="BT961" s="65"/>
      <c r="BU961" s="65"/>
      <c r="BV961" s="65"/>
    </row>
    <row r="962" spans="1:74" s="66" customFormat="1" ht="28.5" x14ac:dyDescent="0.2">
      <c r="A962" s="72" t="s">
        <v>1053</v>
      </c>
      <c r="B962" s="73" t="s">
        <v>1823</v>
      </c>
      <c r="C962" s="127"/>
      <c r="D962" s="127"/>
      <c r="E962" s="127"/>
      <c r="F962" s="127"/>
      <c r="G962" s="127"/>
      <c r="H962" s="127"/>
      <c r="I962" s="127"/>
      <c r="J962" s="127"/>
      <c r="K962" s="127"/>
      <c r="L962" s="127"/>
      <c r="M962" s="127"/>
      <c r="N962" s="127"/>
      <c r="O962" s="89">
        <f t="shared" si="386"/>
        <v>0</v>
      </c>
      <c r="P962" s="65"/>
      <c r="Q962" s="104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  <c r="AT962" s="65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  <c r="BT962" s="65"/>
      <c r="BU962" s="65"/>
      <c r="BV962" s="65"/>
    </row>
    <row r="963" spans="1:74" s="66" customFormat="1" ht="15" x14ac:dyDescent="0.2">
      <c r="A963" s="72" t="s">
        <v>1053</v>
      </c>
      <c r="B963" s="73" t="s">
        <v>1054</v>
      </c>
      <c r="C963" s="127"/>
      <c r="D963" s="127"/>
      <c r="E963" s="127"/>
      <c r="F963" s="127"/>
      <c r="G963" s="127"/>
      <c r="H963" s="127"/>
      <c r="I963" s="127"/>
      <c r="J963" s="127"/>
      <c r="K963" s="127"/>
      <c r="L963" s="127"/>
      <c r="M963" s="127"/>
      <c r="N963" s="127"/>
      <c r="O963" s="89">
        <f t="shared" si="386"/>
        <v>0</v>
      </c>
      <c r="P963" s="65"/>
      <c r="Q963" s="104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  <c r="AS963" s="65"/>
      <c r="AT963" s="65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5"/>
      <c r="BF963" s="65"/>
      <c r="BG963" s="65"/>
      <c r="BH963" s="65"/>
      <c r="BI963" s="65"/>
      <c r="BJ963" s="65"/>
      <c r="BK963" s="65"/>
      <c r="BL963" s="65"/>
      <c r="BM963" s="65"/>
      <c r="BN963" s="65"/>
      <c r="BO963" s="65"/>
      <c r="BP963" s="65"/>
      <c r="BQ963" s="65"/>
      <c r="BR963" s="65"/>
      <c r="BS963" s="65"/>
      <c r="BT963" s="65"/>
      <c r="BU963" s="65"/>
      <c r="BV963" s="65"/>
    </row>
    <row r="964" spans="1:74" s="66" customFormat="1" ht="15" x14ac:dyDescent="0.2">
      <c r="A964" s="72" t="s">
        <v>1053</v>
      </c>
      <c r="B964" s="73" t="s">
        <v>1054</v>
      </c>
      <c r="C964" s="127"/>
      <c r="D964" s="127"/>
      <c r="E964" s="127"/>
      <c r="F964" s="127"/>
      <c r="G964" s="127"/>
      <c r="H964" s="127"/>
      <c r="I964" s="127"/>
      <c r="J964" s="127"/>
      <c r="K964" s="127"/>
      <c r="L964" s="127"/>
      <c r="M964" s="127"/>
      <c r="N964" s="127"/>
      <c r="O964" s="89">
        <f t="shared" si="386"/>
        <v>0</v>
      </c>
      <c r="P964" s="65"/>
      <c r="Q964" s="104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  <c r="AS964" s="65"/>
      <c r="AT964" s="65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5"/>
      <c r="BF964" s="65"/>
      <c r="BG964" s="65"/>
      <c r="BH964" s="65"/>
      <c r="BI964" s="65"/>
      <c r="BJ964" s="65"/>
      <c r="BK964" s="65"/>
      <c r="BL964" s="65"/>
      <c r="BM964" s="65"/>
      <c r="BN964" s="65"/>
      <c r="BO964" s="65"/>
      <c r="BP964" s="65"/>
      <c r="BQ964" s="65"/>
      <c r="BR964" s="65"/>
      <c r="BS964" s="65"/>
      <c r="BT964" s="65"/>
      <c r="BU964" s="65"/>
      <c r="BV964" s="65"/>
    </row>
    <row r="965" spans="1:74" s="66" customFormat="1" ht="15" x14ac:dyDescent="0.2">
      <c r="A965" s="72" t="s">
        <v>1053</v>
      </c>
      <c r="B965" s="73" t="s">
        <v>1054</v>
      </c>
      <c r="C965" s="127"/>
      <c r="D965" s="127"/>
      <c r="E965" s="127"/>
      <c r="F965" s="127"/>
      <c r="G965" s="127"/>
      <c r="H965" s="127"/>
      <c r="I965" s="127"/>
      <c r="J965" s="127"/>
      <c r="K965" s="127"/>
      <c r="L965" s="127"/>
      <c r="M965" s="127"/>
      <c r="N965" s="127"/>
      <c r="O965" s="89">
        <f t="shared" si="386"/>
        <v>0</v>
      </c>
      <c r="P965" s="65"/>
      <c r="Q965" s="104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  <c r="AT965" s="65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  <c r="BT965" s="65"/>
      <c r="BU965" s="65"/>
      <c r="BV965" s="65"/>
    </row>
    <row r="966" spans="1:74" s="66" customFormat="1" ht="15" x14ac:dyDescent="0.2">
      <c r="A966" s="72" t="s">
        <v>1053</v>
      </c>
      <c r="B966" s="73" t="s">
        <v>1054</v>
      </c>
      <c r="C966" s="127"/>
      <c r="D966" s="127"/>
      <c r="E966" s="127"/>
      <c r="F966" s="127"/>
      <c r="G966" s="127"/>
      <c r="H966" s="127"/>
      <c r="I966" s="127"/>
      <c r="J966" s="127"/>
      <c r="K966" s="127"/>
      <c r="L966" s="127"/>
      <c r="M966" s="127"/>
      <c r="N966" s="127"/>
      <c r="O966" s="89">
        <f t="shared" si="386"/>
        <v>0</v>
      </c>
      <c r="P966" s="65"/>
      <c r="Q966" s="104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  <c r="AS966" s="65"/>
      <c r="AT966" s="65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5"/>
      <c r="BF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  <c r="BT966" s="65"/>
      <c r="BU966" s="65"/>
      <c r="BV966" s="65"/>
    </row>
    <row r="967" spans="1:74" s="66" customFormat="1" ht="28.5" x14ac:dyDescent="0.2">
      <c r="A967" s="72" t="s">
        <v>1053</v>
      </c>
      <c r="B967" s="73" t="s">
        <v>1824</v>
      </c>
      <c r="C967" s="127"/>
      <c r="D967" s="127"/>
      <c r="E967" s="127"/>
      <c r="F967" s="127"/>
      <c r="G967" s="127"/>
      <c r="H967" s="127"/>
      <c r="I967" s="127"/>
      <c r="J967" s="127"/>
      <c r="K967" s="127"/>
      <c r="L967" s="127"/>
      <c r="M967" s="127"/>
      <c r="N967" s="127"/>
      <c r="O967" s="89">
        <f t="shared" si="386"/>
        <v>0</v>
      </c>
      <c r="P967" s="65"/>
      <c r="Q967" s="104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  <c r="AE967" s="65"/>
      <c r="AF967" s="65"/>
      <c r="AG967" s="65"/>
      <c r="AH967" s="65"/>
      <c r="AI967" s="65"/>
      <c r="AJ967" s="65"/>
      <c r="AK967" s="65"/>
      <c r="AL967" s="65"/>
      <c r="AM967" s="65"/>
      <c r="AN967" s="65"/>
      <c r="AO967" s="65"/>
      <c r="AP967" s="65"/>
      <c r="AQ967" s="65"/>
      <c r="AR967" s="65"/>
      <c r="AS967" s="65"/>
      <c r="AT967" s="65"/>
      <c r="AU967" s="65"/>
      <c r="AV967" s="65"/>
      <c r="AW967" s="65"/>
      <c r="AX967" s="65"/>
      <c r="AY967" s="65"/>
      <c r="AZ967" s="65"/>
      <c r="BA967" s="65"/>
      <c r="BB967" s="65"/>
      <c r="BC967" s="65"/>
      <c r="BD967" s="65"/>
      <c r="BE967" s="65"/>
      <c r="BF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  <c r="BT967" s="65"/>
      <c r="BU967" s="65"/>
      <c r="BV967" s="65"/>
    </row>
    <row r="968" spans="1:74" s="66" customFormat="1" ht="28.5" x14ac:dyDescent="0.2">
      <c r="A968" s="72" t="s">
        <v>1053</v>
      </c>
      <c r="B968" s="73" t="s">
        <v>1824</v>
      </c>
      <c r="C968" s="127"/>
      <c r="D968" s="127"/>
      <c r="E968" s="127"/>
      <c r="F968" s="127"/>
      <c r="G968" s="127"/>
      <c r="H968" s="127"/>
      <c r="I968" s="127"/>
      <c r="J968" s="127"/>
      <c r="K968" s="127"/>
      <c r="L968" s="127"/>
      <c r="M968" s="127"/>
      <c r="N968" s="127"/>
      <c r="O968" s="89">
        <f t="shared" si="386"/>
        <v>0</v>
      </c>
      <c r="P968" s="65"/>
      <c r="Q968" s="104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  <c r="AT968" s="65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5"/>
      <c r="BF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  <c r="BT968" s="65"/>
      <c r="BU968" s="65"/>
      <c r="BV968" s="65"/>
    </row>
    <row r="969" spans="1:74" s="66" customFormat="1" ht="28.5" x14ac:dyDescent="0.2">
      <c r="A969" s="72" t="s">
        <v>1053</v>
      </c>
      <c r="B969" s="73" t="s">
        <v>1824</v>
      </c>
      <c r="C969" s="127"/>
      <c r="D969" s="127"/>
      <c r="E969" s="127"/>
      <c r="F969" s="127"/>
      <c r="G969" s="127"/>
      <c r="H969" s="127"/>
      <c r="I969" s="127"/>
      <c r="J969" s="127"/>
      <c r="K969" s="127"/>
      <c r="L969" s="127"/>
      <c r="M969" s="127"/>
      <c r="N969" s="127">
        <v>1500000000</v>
      </c>
      <c r="O969" s="89">
        <f t="shared" si="386"/>
        <v>1500000000</v>
      </c>
      <c r="P969" s="65"/>
      <c r="Q969" s="104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  <c r="AT969" s="65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5"/>
      <c r="BF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  <c r="BT969" s="65"/>
      <c r="BU969" s="65"/>
      <c r="BV969" s="65"/>
    </row>
    <row r="970" spans="1:74" s="66" customFormat="1" ht="30" x14ac:dyDescent="0.2">
      <c r="A970" s="77" t="s">
        <v>1055</v>
      </c>
      <c r="B970" s="79" t="s">
        <v>375</v>
      </c>
      <c r="C970" s="127"/>
      <c r="D970" s="127"/>
      <c r="E970" s="127"/>
      <c r="F970" s="127"/>
      <c r="G970" s="127"/>
      <c r="H970" s="127"/>
      <c r="I970" s="127"/>
      <c r="J970" s="127"/>
      <c r="K970" s="127"/>
      <c r="L970" s="127"/>
      <c r="M970" s="127"/>
      <c r="N970" s="127"/>
      <c r="O970" s="89">
        <f t="shared" si="386"/>
        <v>0</v>
      </c>
      <c r="P970" s="65"/>
      <c r="Q970" s="104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  <c r="AT970" s="65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5"/>
      <c r="BF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  <c r="BT970" s="65"/>
      <c r="BU970" s="65"/>
      <c r="BV970" s="65"/>
    </row>
    <row r="971" spans="1:74" s="66" customFormat="1" ht="30" x14ac:dyDescent="0.2">
      <c r="A971" s="77" t="s">
        <v>1055</v>
      </c>
      <c r="B971" s="79" t="s">
        <v>375</v>
      </c>
      <c r="C971" s="127"/>
      <c r="D971" s="127"/>
      <c r="E971" s="127"/>
      <c r="F971" s="127"/>
      <c r="G971" s="127"/>
      <c r="H971" s="127"/>
      <c r="I971" s="127"/>
      <c r="J971" s="127"/>
      <c r="K971" s="127"/>
      <c r="L971" s="127"/>
      <c r="M971" s="127"/>
      <c r="N971" s="127"/>
      <c r="O971" s="89">
        <f t="shared" si="386"/>
        <v>0</v>
      </c>
      <c r="P971" s="65"/>
      <c r="Q971" s="104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  <c r="AT971" s="65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5"/>
      <c r="BF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  <c r="BT971" s="65"/>
      <c r="BU971" s="65"/>
      <c r="BV971" s="65"/>
    </row>
    <row r="972" spans="1:74" s="68" customFormat="1" ht="25.5" x14ac:dyDescent="0.2">
      <c r="A972" s="77" t="s">
        <v>639</v>
      </c>
      <c r="B972" s="319" t="s">
        <v>1912</v>
      </c>
      <c r="C972" s="203">
        <f>+C973</f>
        <v>0</v>
      </c>
      <c r="D972" s="203">
        <f t="shared" ref="D972:N973" si="399">+D973</f>
        <v>0</v>
      </c>
      <c r="E972" s="203">
        <f t="shared" si="399"/>
        <v>0</v>
      </c>
      <c r="F972" s="203">
        <f t="shared" si="399"/>
        <v>0</v>
      </c>
      <c r="G972" s="203">
        <f t="shared" si="399"/>
        <v>0</v>
      </c>
      <c r="H972" s="203">
        <f t="shared" si="399"/>
        <v>0</v>
      </c>
      <c r="I972" s="203">
        <f t="shared" si="399"/>
        <v>0</v>
      </c>
      <c r="J972" s="203">
        <f t="shared" si="399"/>
        <v>0</v>
      </c>
      <c r="K972" s="203">
        <f t="shared" si="399"/>
        <v>0</v>
      </c>
      <c r="L972" s="203">
        <f t="shared" si="399"/>
        <v>0</v>
      </c>
      <c r="M972" s="203">
        <f t="shared" si="399"/>
        <v>0</v>
      </c>
      <c r="N972" s="203">
        <f t="shared" si="399"/>
        <v>2083879964</v>
      </c>
      <c r="O972" s="89">
        <f t="shared" si="386"/>
        <v>2083879964</v>
      </c>
      <c r="P972" s="67"/>
      <c r="Q972" s="104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67"/>
      <c r="BU972" s="67"/>
      <c r="BV972" s="67"/>
    </row>
    <row r="973" spans="1:74" s="68" customFormat="1" ht="51" x14ac:dyDescent="0.2">
      <c r="A973" s="77" t="s">
        <v>1913</v>
      </c>
      <c r="B973" s="319" t="s">
        <v>1914</v>
      </c>
      <c r="C973" s="203">
        <f>+C974</f>
        <v>0</v>
      </c>
      <c r="D973" s="203">
        <f t="shared" si="399"/>
        <v>0</v>
      </c>
      <c r="E973" s="203">
        <f t="shared" si="399"/>
        <v>0</v>
      </c>
      <c r="F973" s="203">
        <f t="shared" si="399"/>
        <v>0</v>
      </c>
      <c r="G973" s="203">
        <f t="shared" si="399"/>
        <v>0</v>
      </c>
      <c r="H973" s="203">
        <f t="shared" si="399"/>
        <v>0</v>
      </c>
      <c r="I973" s="203">
        <f t="shared" si="399"/>
        <v>0</v>
      </c>
      <c r="J973" s="203">
        <f t="shared" si="399"/>
        <v>0</v>
      </c>
      <c r="K973" s="203">
        <f t="shared" si="399"/>
        <v>0</v>
      </c>
      <c r="L973" s="203">
        <f t="shared" si="399"/>
        <v>0</v>
      </c>
      <c r="M973" s="203">
        <f t="shared" si="399"/>
        <v>0</v>
      </c>
      <c r="N973" s="203">
        <f t="shared" si="399"/>
        <v>2083879964</v>
      </c>
      <c r="O973" s="89">
        <f t="shared" si="386"/>
        <v>2083879964</v>
      </c>
      <c r="P973" s="67"/>
      <c r="Q973" s="104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67"/>
      <c r="BU973" s="67"/>
      <c r="BV973" s="67"/>
    </row>
    <row r="974" spans="1:74" s="66" customFormat="1" ht="25.5" x14ac:dyDescent="0.2">
      <c r="A974" s="323" t="s">
        <v>1915</v>
      </c>
      <c r="B974" s="206" t="s">
        <v>1916</v>
      </c>
      <c r="C974" s="127"/>
      <c r="D974" s="127"/>
      <c r="E974" s="127"/>
      <c r="F974" s="127"/>
      <c r="G974" s="127"/>
      <c r="H974" s="127"/>
      <c r="I974" s="127"/>
      <c r="J974" s="127"/>
      <c r="K974" s="127"/>
      <c r="L974" s="127"/>
      <c r="M974" s="127"/>
      <c r="N974" s="127">
        <v>2083879964</v>
      </c>
      <c r="O974" s="89">
        <f t="shared" si="386"/>
        <v>2083879964</v>
      </c>
      <c r="P974" s="65"/>
      <c r="Q974" s="101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  <c r="AE974" s="65"/>
      <c r="AF974" s="65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  <c r="AT974" s="65"/>
      <c r="AU974" s="65"/>
      <c r="AV974" s="65"/>
      <c r="AW974" s="65"/>
      <c r="AX974" s="65"/>
      <c r="AY974" s="65"/>
      <c r="AZ974" s="65"/>
      <c r="BA974" s="65"/>
      <c r="BB974" s="65"/>
      <c r="BC974" s="65"/>
      <c r="BD974" s="65"/>
      <c r="BE974" s="65"/>
      <c r="BF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  <c r="BT974" s="65"/>
      <c r="BU974" s="65"/>
      <c r="BV974" s="65"/>
    </row>
    <row r="975" spans="1:74" s="108" customFormat="1" ht="47.25" x14ac:dyDescent="0.2">
      <c r="A975" s="77" t="s">
        <v>1833</v>
      </c>
      <c r="B975" s="75" t="s">
        <v>1834</v>
      </c>
      <c r="C975" s="126">
        <f>+C976</f>
        <v>0</v>
      </c>
      <c r="D975" s="126">
        <f t="shared" ref="D975:N976" si="400">+D976</f>
        <v>0</v>
      </c>
      <c r="E975" s="126">
        <f t="shared" si="400"/>
        <v>0</v>
      </c>
      <c r="F975" s="126">
        <f t="shared" si="400"/>
        <v>0</v>
      </c>
      <c r="G975" s="126">
        <f t="shared" si="400"/>
        <v>0</v>
      </c>
      <c r="H975" s="126">
        <f t="shared" si="400"/>
        <v>3452090283.4400001</v>
      </c>
      <c r="I975" s="126">
        <f t="shared" si="400"/>
        <v>0</v>
      </c>
      <c r="J975" s="126">
        <f t="shared" si="400"/>
        <v>0</v>
      </c>
      <c r="K975" s="126">
        <f t="shared" si="400"/>
        <v>30000000</v>
      </c>
      <c r="L975" s="126">
        <f t="shared" si="400"/>
        <v>0</v>
      </c>
      <c r="M975" s="126">
        <f t="shared" si="400"/>
        <v>0</v>
      </c>
      <c r="N975" s="126">
        <f t="shared" si="400"/>
        <v>0</v>
      </c>
      <c r="O975" s="89">
        <f t="shared" si="386"/>
        <v>3482090283.4400001</v>
      </c>
      <c r="P975" s="107"/>
      <c r="Q975" s="61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</row>
    <row r="976" spans="1:74" s="108" customFormat="1" ht="47.25" x14ac:dyDescent="0.2">
      <c r="A976" s="77" t="s">
        <v>1835</v>
      </c>
      <c r="B976" s="75" t="s">
        <v>1836</v>
      </c>
      <c r="C976" s="126">
        <f>+C977</f>
        <v>0</v>
      </c>
      <c r="D976" s="126">
        <f t="shared" si="400"/>
        <v>0</v>
      </c>
      <c r="E976" s="126">
        <f t="shared" si="400"/>
        <v>0</v>
      </c>
      <c r="F976" s="126">
        <f t="shared" si="400"/>
        <v>0</v>
      </c>
      <c r="G976" s="126">
        <f t="shared" si="400"/>
        <v>0</v>
      </c>
      <c r="H976" s="126">
        <f t="shared" si="400"/>
        <v>3452090283.4400001</v>
      </c>
      <c r="I976" s="126">
        <f t="shared" si="400"/>
        <v>0</v>
      </c>
      <c r="J976" s="126">
        <f t="shared" si="400"/>
        <v>0</v>
      </c>
      <c r="K976" s="126">
        <f t="shared" si="400"/>
        <v>30000000</v>
      </c>
      <c r="L976" s="126">
        <f t="shared" si="400"/>
        <v>0</v>
      </c>
      <c r="M976" s="126">
        <f t="shared" si="400"/>
        <v>0</v>
      </c>
      <c r="N976" s="126">
        <f t="shared" si="400"/>
        <v>0</v>
      </c>
      <c r="O976" s="89">
        <f t="shared" si="386"/>
        <v>3482090283.4400001</v>
      </c>
      <c r="P976" s="107"/>
      <c r="Q976" s="61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</row>
    <row r="977" spans="1:74" s="108" customFormat="1" ht="47.25" x14ac:dyDescent="0.2">
      <c r="A977" s="77" t="s">
        <v>1837</v>
      </c>
      <c r="B977" s="75" t="s">
        <v>1838</v>
      </c>
      <c r="C977" s="126">
        <f>SUM(C978:C979)</f>
        <v>0</v>
      </c>
      <c r="D977" s="126">
        <f t="shared" ref="D977:N977" si="401">SUM(D978:D979)</f>
        <v>0</v>
      </c>
      <c r="E977" s="126">
        <f t="shared" si="401"/>
        <v>0</v>
      </c>
      <c r="F977" s="126">
        <f t="shared" si="401"/>
        <v>0</v>
      </c>
      <c r="G977" s="126">
        <f t="shared" si="401"/>
        <v>0</v>
      </c>
      <c r="H977" s="126">
        <f t="shared" si="401"/>
        <v>3452090283.4400001</v>
      </c>
      <c r="I977" s="126">
        <f t="shared" si="401"/>
        <v>0</v>
      </c>
      <c r="J977" s="126">
        <f t="shared" si="401"/>
        <v>0</v>
      </c>
      <c r="K977" s="126">
        <f t="shared" si="401"/>
        <v>30000000</v>
      </c>
      <c r="L977" s="126">
        <f t="shared" si="401"/>
        <v>0</v>
      </c>
      <c r="M977" s="126">
        <f t="shared" si="401"/>
        <v>0</v>
      </c>
      <c r="N977" s="126">
        <f t="shared" si="401"/>
        <v>0</v>
      </c>
      <c r="O977" s="89">
        <f t="shared" si="386"/>
        <v>3482090283.4400001</v>
      </c>
      <c r="P977" s="107"/>
      <c r="Q977" s="61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</row>
    <row r="978" spans="1:74" s="234" customFormat="1" ht="15" x14ac:dyDescent="0.2">
      <c r="A978" s="72" t="s">
        <v>1839</v>
      </c>
      <c r="B978" s="73" t="s">
        <v>1840</v>
      </c>
      <c r="C978" s="127"/>
      <c r="D978" s="127"/>
      <c r="E978" s="127"/>
      <c r="F978" s="127"/>
      <c r="G978" s="127"/>
      <c r="H978" s="127">
        <v>3452090283.4400001</v>
      </c>
      <c r="I978" s="127"/>
      <c r="J978" s="127"/>
      <c r="K978" s="127"/>
      <c r="L978" s="127"/>
      <c r="M978" s="127"/>
      <c r="N978" s="127"/>
      <c r="O978" s="89">
        <f t="shared" si="386"/>
        <v>3452090283.4400001</v>
      </c>
      <c r="P978" s="112"/>
      <c r="Q978" s="1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</row>
    <row r="979" spans="1:74" s="234" customFormat="1" ht="15" x14ac:dyDescent="0.2">
      <c r="A979" s="72" t="s">
        <v>1839</v>
      </c>
      <c r="B979" s="73" t="s">
        <v>1840</v>
      </c>
      <c r="C979" s="127"/>
      <c r="D979" s="127"/>
      <c r="E979" s="127"/>
      <c r="F979" s="127"/>
      <c r="G979" s="127"/>
      <c r="H979" s="127"/>
      <c r="I979" s="127"/>
      <c r="J979" s="127"/>
      <c r="K979" s="127">
        <v>30000000</v>
      </c>
      <c r="L979" s="127"/>
      <c r="M979" s="127"/>
      <c r="N979" s="127"/>
      <c r="O979" s="89">
        <f t="shared" si="386"/>
        <v>30000000</v>
      </c>
      <c r="P979" s="112"/>
      <c r="Q979" s="1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</row>
    <row r="980" spans="1:74" s="66" customFormat="1" ht="31.5" x14ac:dyDescent="0.2">
      <c r="A980" s="77" t="s">
        <v>659</v>
      </c>
      <c r="B980" s="75" t="s">
        <v>1061</v>
      </c>
      <c r="C980" s="126">
        <f t="shared" ref="C980:N980" si="402">+C981</f>
        <v>0</v>
      </c>
      <c r="D980" s="126">
        <f t="shared" si="402"/>
        <v>0</v>
      </c>
      <c r="E980" s="126">
        <f t="shared" si="402"/>
        <v>0</v>
      </c>
      <c r="F980" s="126">
        <f t="shared" si="402"/>
        <v>0</v>
      </c>
      <c r="G980" s="126">
        <f t="shared" si="402"/>
        <v>0</v>
      </c>
      <c r="H980" s="126">
        <f t="shared" si="402"/>
        <v>0</v>
      </c>
      <c r="I980" s="126">
        <f t="shared" si="402"/>
        <v>0</v>
      </c>
      <c r="J980" s="126">
        <f t="shared" si="402"/>
        <v>0</v>
      </c>
      <c r="K980" s="126">
        <f t="shared" si="402"/>
        <v>0</v>
      </c>
      <c r="L980" s="126">
        <f t="shared" si="402"/>
        <v>0</v>
      </c>
      <c r="M980" s="126">
        <f t="shared" si="402"/>
        <v>0</v>
      </c>
      <c r="N980" s="126">
        <f t="shared" si="402"/>
        <v>19117646</v>
      </c>
      <c r="O980" s="89">
        <f t="shared" si="386"/>
        <v>19117646</v>
      </c>
      <c r="P980" s="65"/>
      <c r="Q980" s="104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  <c r="AT980" s="65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5"/>
      <c r="BF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  <c r="BT980" s="65"/>
      <c r="BU980" s="65"/>
      <c r="BV980" s="65"/>
    </row>
    <row r="981" spans="1:74" s="66" customFormat="1" ht="31.5" x14ac:dyDescent="0.2">
      <c r="A981" s="77" t="s">
        <v>1062</v>
      </c>
      <c r="B981" s="75" t="s">
        <v>1063</v>
      </c>
      <c r="C981" s="126">
        <f t="shared" ref="C981:N981" si="403">+C982+C987+C992</f>
        <v>0</v>
      </c>
      <c r="D981" s="126">
        <f t="shared" si="403"/>
        <v>0</v>
      </c>
      <c r="E981" s="126">
        <f t="shared" si="403"/>
        <v>0</v>
      </c>
      <c r="F981" s="126">
        <f t="shared" si="403"/>
        <v>0</v>
      </c>
      <c r="G981" s="126">
        <f t="shared" si="403"/>
        <v>0</v>
      </c>
      <c r="H981" s="126">
        <f t="shared" si="403"/>
        <v>0</v>
      </c>
      <c r="I981" s="126">
        <f t="shared" si="403"/>
        <v>0</v>
      </c>
      <c r="J981" s="126">
        <f t="shared" si="403"/>
        <v>0</v>
      </c>
      <c r="K981" s="126">
        <f t="shared" si="403"/>
        <v>0</v>
      </c>
      <c r="L981" s="126">
        <f t="shared" si="403"/>
        <v>0</v>
      </c>
      <c r="M981" s="126">
        <f t="shared" si="403"/>
        <v>0</v>
      </c>
      <c r="N981" s="126">
        <f t="shared" si="403"/>
        <v>19117646</v>
      </c>
      <c r="O981" s="89">
        <f t="shared" si="386"/>
        <v>19117646</v>
      </c>
      <c r="P981" s="65"/>
      <c r="Q981" s="104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5"/>
      <c r="AT981" s="65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5"/>
      <c r="BF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  <c r="BT981" s="65"/>
      <c r="BU981" s="65"/>
      <c r="BV981" s="65"/>
    </row>
    <row r="982" spans="1:74" s="66" customFormat="1" ht="47.25" x14ac:dyDescent="0.2">
      <c r="A982" s="77" t="s">
        <v>1064</v>
      </c>
      <c r="B982" s="75" t="s">
        <v>1065</v>
      </c>
      <c r="C982" s="126">
        <f t="shared" ref="C982:N982" si="404">SUM(C983:C985)</f>
        <v>0</v>
      </c>
      <c r="D982" s="126">
        <f t="shared" si="404"/>
        <v>0</v>
      </c>
      <c r="E982" s="126">
        <f t="shared" si="404"/>
        <v>0</v>
      </c>
      <c r="F982" s="126">
        <f t="shared" si="404"/>
        <v>0</v>
      </c>
      <c r="G982" s="126">
        <f t="shared" si="404"/>
        <v>0</v>
      </c>
      <c r="H982" s="126">
        <f t="shared" si="404"/>
        <v>0</v>
      </c>
      <c r="I982" s="126">
        <f t="shared" si="404"/>
        <v>0</v>
      </c>
      <c r="J982" s="126">
        <f t="shared" si="404"/>
        <v>0</v>
      </c>
      <c r="K982" s="126">
        <f t="shared" si="404"/>
        <v>0</v>
      </c>
      <c r="L982" s="126">
        <f t="shared" si="404"/>
        <v>0</v>
      </c>
      <c r="M982" s="126">
        <f t="shared" si="404"/>
        <v>0</v>
      </c>
      <c r="N982" s="126">
        <f t="shared" si="404"/>
        <v>0</v>
      </c>
      <c r="O982" s="89">
        <f t="shared" si="386"/>
        <v>0</v>
      </c>
      <c r="P982" s="65"/>
      <c r="Q982" s="104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  <c r="AE982" s="65"/>
      <c r="AF982" s="65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  <c r="AS982" s="65"/>
      <c r="AT982" s="65"/>
      <c r="AU982" s="65"/>
      <c r="AV982" s="65"/>
      <c r="AW982" s="65"/>
      <c r="AX982" s="65"/>
      <c r="AY982" s="65"/>
      <c r="AZ982" s="65"/>
      <c r="BA982" s="65"/>
      <c r="BB982" s="65"/>
      <c r="BC982" s="65"/>
      <c r="BD982" s="65"/>
      <c r="BE982" s="65"/>
      <c r="BF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  <c r="BT982" s="65"/>
      <c r="BU982" s="65"/>
      <c r="BV982" s="65"/>
    </row>
    <row r="983" spans="1:74" s="66" customFormat="1" ht="28.5" x14ac:dyDescent="0.2">
      <c r="A983" s="72" t="s">
        <v>1066</v>
      </c>
      <c r="B983" s="73" t="s">
        <v>375</v>
      </c>
      <c r="C983" s="127"/>
      <c r="D983" s="127"/>
      <c r="E983" s="127"/>
      <c r="F983" s="127"/>
      <c r="G983" s="127"/>
      <c r="H983" s="127"/>
      <c r="I983" s="127"/>
      <c r="J983" s="127"/>
      <c r="K983" s="127"/>
      <c r="L983" s="127"/>
      <c r="M983" s="127"/>
      <c r="N983" s="127"/>
      <c r="O983" s="89">
        <f t="shared" si="386"/>
        <v>0</v>
      </c>
      <c r="P983" s="65"/>
      <c r="Q983" s="104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  <c r="AS983" s="65"/>
      <c r="AT983" s="65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5"/>
      <c r="BF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  <c r="BT983" s="65"/>
      <c r="BU983" s="65"/>
      <c r="BV983" s="65"/>
    </row>
    <row r="984" spans="1:74" s="66" customFormat="1" ht="28.5" x14ac:dyDescent="0.2">
      <c r="A984" s="72" t="s">
        <v>1067</v>
      </c>
      <c r="B984" s="73" t="s">
        <v>375</v>
      </c>
      <c r="C984" s="127"/>
      <c r="D984" s="127"/>
      <c r="E984" s="127"/>
      <c r="F984" s="127"/>
      <c r="G984" s="127"/>
      <c r="H984" s="127"/>
      <c r="I984" s="127"/>
      <c r="J984" s="127"/>
      <c r="K984" s="127"/>
      <c r="L984" s="127"/>
      <c r="M984" s="127"/>
      <c r="N984" s="127"/>
      <c r="O984" s="89">
        <f t="shared" si="386"/>
        <v>0</v>
      </c>
      <c r="P984" s="65"/>
      <c r="Q984" s="104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  <c r="AT984" s="65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5"/>
      <c r="BF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  <c r="BT984" s="65"/>
      <c r="BU984" s="65"/>
      <c r="BV984" s="65"/>
    </row>
    <row r="985" spans="1:74" s="66" customFormat="1" ht="31.5" x14ac:dyDescent="0.2">
      <c r="A985" s="77" t="s">
        <v>1068</v>
      </c>
      <c r="B985" s="75" t="s">
        <v>377</v>
      </c>
      <c r="C985" s="126">
        <f t="shared" ref="C985:N985" si="405">+C986</f>
        <v>0</v>
      </c>
      <c r="D985" s="126">
        <f t="shared" si="405"/>
        <v>0</v>
      </c>
      <c r="E985" s="126">
        <f t="shared" si="405"/>
        <v>0</v>
      </c>
      <c r="F985" s="126">
        <f t="shared" si="405"/>
        <v>0</v>
      </c>
      <c r="G985" s="126">
        <f t="shared" si="405"/>
        <v>0</v>
      </c>
      <c r="H985" s="126">
        <f t="shared" si="405"/>
        <v>0</v>
      </c>
      <c r="I985" s="126">
        <f t="shared" si="405"/>
        <v>0</v>
      </c>
      <c r="J985" s="126">
        <f t="shared" si="405"/>
        <v>0</v>
      </c>
      <c r="K985" s="126">
        <f t="shared" si="405"/>
        <v>0</v>
      </c>
      <c r="L985" s="126">
        <f t="shared" si="405"/>
        <v>0</v>
      </c>
      <c r="M985" s="126">
        <f t="shared" si="405"/>
        <v>0</v>
      </c>
      <c r="N985" s="126">
        <f t="shared" si="405"/>
        <v>0</v>
      </c>
      <c r="O985" s="89">
        <f t="shared" si="386"/>
        <v>0</v>
      </c>
      <c r="P985" s="65"/>
      <c r="Q985" s="104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</row>
    <row r="986" spans="1:74" s="66" customFormat="1" ht="30" x14ac:dyDescent="0.2">
      <c r="A986" s="78" t="s">
        <v>1069</v>
      </c>
      <c r="B986" s="79" t="s">
        <v>378</v>
      </c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89">
        <f t="shared" si="386"/>
        <v>0</v>
      </c>
      <c r="P986" s="65"/>
      <c r="Q986" s="104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</row>
    <row r="987" spans="1:74" s="66" customFormat="1" ht="63" x14ac:dyDescent="0.2">
      <c r="A987" s="77" t="s">
        <v>1070</v>
      </c>
      <c r="B987" s="75" t="s">
        <v>1071</v>
      </c>
      <c r="C987" s="126">
        <f t="shared" ref="C987:N987" si="406">SUM(C988:C990)</f>
        <v>0</v>
      </c>
      <c r="D987" s="126">
        <f t="shared" si="406"/>
        <v>0</v>
      </c>
      <c r="E987" s="126">
        <f t="shared" si="406"/>
        <v>0</v>
      </c>
      <c r="F987" s="126">
        <f t="shared" si="406"/>
        <v>0</v>
      </c>
      <c r="G987" s="126">
        <f t="shared" si="406"/>
        <v>0</v>
      </c>
      <c r="H987" s="126">
        <f t="shared" si="406"/>
        <v>0</v>
      </c>
      <c r="I987" s="126">
        <f t="shared" si="406"/>
        <v>0</v>
      </c>
      <c r="J987" s="126">
        <f t="shared" si="406"/>
        <v>0</v>
      </c>
      <c r="K987" s="126">
        <f t="shared" si="406"/>
        <v>0</v>
      </c>
      <c r="L987" s="126">
        <f t="shared" si="406"/>
        <v>0</v>
      </c>
      <c r="M987" s="126">
        <f t="shared" si="406"/>
        <v>0</v>
      </c>
      <c r="N987" s="126">
        <f t="shared" si="406"/>
        <v>0</v>
      </c>
      <c r="O987" s="89">
        <f t="shared" si="386"/>
        <v>0</v>
      </c>
      <c r="P987" s="65"/>
      <c r="Q987" s="104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  <c r="AE987" s="65"/>
      <c r="AF987" s="65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  <c r="AT987" s="65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5"/>
      <c r="BF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  <c r="BT987" s="65"/>
      <c r="BU987" s="65"/>
      <c r="BV987" s="65"/>
    </row>
    <row r="988" spans="1:74" s="66" customFormat="1" ht="30" x14ac:dyDescent="0.2">
      <c r="A988" s="78" t="s">
        <v>1072</v>
      </c>
      <c r="B988" s="79" t="s">
        <v>375</v>
      </c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89">
        <f t="shared" si="386"/>
        <v>0</v>
      </c>
      <c r="P988" s="65"/>
      <c r="Q988" s="104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</row>
    <row r="989" spans="1:74" s="66" customFormat="1" ht="30" x14ac:dyDescent="0.2">
      <c r="A989" s="78" t="s">
        <v>1073</v>
      </c>
      <c r="B989" s="79" t="s">
        <v>375</v>
      </c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89">
        <f t="shared" si="386"/>
        <v>0</v>
      </c>
      <c r="P989" s="65"/>
      <c r="Q989" s="104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</row>
    <row r="990" spans="1:74" s="66" customFormat="1" ht="31.5" x14ac:dyDescent="0.2">
      <c r="A990" s="77" t="s">
        <v>1074</v>
      </c>
      <c r="B990" s="75" t="s">
        <v>377</v>
      </c>
      <c r="C990" s="126">
        <f t="shared" ref="C990:N990" si="407">+C991</f>
        <v>0</v>
      </c>
      <c r="D990" s="126">
        <f t="shared" si="407"/>
        <v>0</v>
      </c>
      <c r="E990" s="126">
        <f t="shared" si="407"/>
        <v>0</v>
      </c>
      <c r="F990" s="126">
        <f t="shared" si="407"/>
        <v>0</v>
      </c>
      <c r="G990" s="126">
        <f t="shared" si="407"/>
        <v>0</v>
      </c>
      <c r="H990" s="126">
        <f t="shared" si="407"/>
        <v>0</v>
      </c>
      <c r="I990" s="126">
        <f t="shared" si="407"/>
        <v>0</v>
      </c>
      <c r="J990" s="126">
        <f t="shared" si="407"/>
        <v>0</v>
      </c>
      <c r="K990" s="126">
        <f t="shared" si="407"/>
        <v>0</v>
      </c>
      <c r="L990" s="126">
        <f t="shared" si="407"/>
        <v>0</v>
      </c>
      <c r="M990" s="126">
        <f t="shared" si="407"/>
        <v>0</v>
      </c>
      <c r="N990" s="126">
        <f t="shared" si="407"/>
        <v>0</v>
      </c>
      <c r="O990" s="89">
        <f t="shared" si="386"/>
        <v>0</v>
      </c>
      <c r="P990" s="65"/>
      <c r="Q990" s="104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</row>
    <row r="991" spans="1:74" s="66" customFormat="1" ht="28.5" x14ac:dyDescent="0.2">
      <c r="A991" s="72" t="s">
        <v>1075</v>
      </c>
      <c r="B991" s="73" t="s">
        <v>378</v>
      </c>
      <c r="C991" s="127"/>
      <c r="D991" s="127"/>
      <c r="E991" s="127"/>
      <c r="F991" s="127"/>
      <c r="G991" s="127"/>
      <c r="H991" s="127"/>
      <c r="I991" s="127"/>
      <c r="J991" s="127"/>
      <c r="K991" s="127"/>
      <c r="L991" s="127"/>
      <c r="M991" s="127"/>
      <c r="N991" s="127"/>
      <c r="O991" s="89">
        <f t="shared" si="386"/>
        <v>0</v>
      </c>
      <c r="P991" s="65"/>
      <c r="Q991" s="104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</row>
    <row r="992" spans="1:74" s="66" customFormat="1" ht="47.25" x14ac:dyDescent="0.2">
      <c r="A992" s="77" t="s">
        <v>1076</v>
      </c>
      <c r="B992" s="75" t="s">
        <v>1077</v>
      </c>
      <c r="C992" s="126">
        <f>SUM(C993:C997)</f>
        <v>0</v>
      </c>
      <c r="D992" s="126">
        <f t="shared" ref="D992:N992" si="408">SUM(D993:D997)</f>
        <v>0</v>
      </c>
      <c r="E992" s="126">
        <f t="shared" si="408"/>
        <v>0</v>
      </c>
      <c r="F992" s="126">
        <f t="shared" si="408"/>
        <v>0</v>
      </c>
      <c r="G992" s="126">
        <f t="shared" si="408"/>
        <v>0</v>
      </c>
      <c r="H992" s="126">
        <f t="shared" si="408"/>
        <v>0</v>
      </c>
      <c r="I992" s="126">
        <f t="shared" si="408"/>
        <v>0</v>
      </c>
      <c r="J992" s="126">
        <f t="shared" si="408"/>
        <v>0</v>
      </c>
      <c r="K992" s="126">
        <f t="shared" si="408"/>
        <v>0</v>
      </c>
      <c r="L992" s="126">
        <f t="shared" si="408"/>
        <v>0</v>
      </c>
      <c r="M992" s="126">
        <f t="shared" si="408"/>
        <v>0</v>
      </c>
      <c r="N992" s="126">
        <f t="shared" si="408"/>
        <v>19117646</v>
      </c>
      <c r="O992" s="89">
        <f t="shared" si="386"/>
        <v>19117646</v>
      </c>
      <c r="P992" s="65"/>
      <c r="Q992" s="104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</row>
    <row r="993" spans="1:74" s="66" customFormat="1" ht="28.5" x14ac:dyDescent="0.2">
      <c r="A993" s="72" t="s">
        <v>1078</v>
      </c>
      <c r="B993" s="73" t="s">
        <v>375</v>
      </c>
      <c r="C993" s="127"/>
      <c r="D993" s="127"/>
      <c r="E993" s="127"/>
      <c r="F993" s="127"/>
      <c r="G993" s="127"/>
      <c r="H993" s="127"/>
      <c r="I993" s="127"/>
      <c r="J993" s="127"/>
      <c r="K993" s="127"/>
      <c r="L993" s="127"/>
      <c r="M993" s="127"/>
      <c r="N993" s="127"/>
      <c r="O993" s="89">
        <f t="shared" si="386"/>
        <v>0</v>
      </c>
      <c r="P993" s="65"/>
      <c r="Q993" s="104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</row>
    <row r="994" spans="1:74" s="66" customFormat="1" ht="28.5" x14ac:dyDescent="0.2">
      <c r="A994" s="72" t="s">
        <v>1078</v>
      </c>
      <c r="B994" s="73" t="s">
        <v>375</v>
      </c>
      <c r="C994" s="127"/>
      <c r="D994" s="127"/>
      <c r="E994" s="127"/>
      <c r="F994" s="127"/>
      <c r="G994" s="127"/>
      <c r="H994" s="127"/>
      <c r="I994" s="127"/>
      <c r="J994" s="127"/>
      <c r="K994" s="127"/>
      <c r="L994" s="127"/>
      <c r="M994" s="127"/>
      <c r="N994" s="127">
        <v>4779411</v>
      </c>
      <c r="O994" s="89">
        <f t="shared" si="386"/>
        <v>4779411</v>
      </c>
      <c r="P994" s="65"/>
      <c r="Q994" s="104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</row>
    <row r="995" spans="1:74" s="66" customFormat="1" ht="28.5" x14ac:dyDescent="0.2">
      <c r="A995" s="72" t="s">
        <v>1079</v>
      </c>
      <c r="B995" s="73" t="s">
        <v>375</v>
      </c>
      <c r="C995" s="127"/>
      <c r="D995" s="127"/>
      <c r="E995" s="127"/>
      <c r="F995" s="127"/>
      <c r="G995" s="127"/>
      <c r="H995" s="127"/>
      <c r="I995" s="127"/>
      <c r="J995" s="127"/>
      <c r="K995" s="127"/>
      <c r="L995" s="127"/>
      <c r="M995" s="127"/>
      <c r="N995" s="127"/>
      <c r="O995" s="89">
        <f t="shared" si="386"/>
        <v>0</v>
      </c>
      <c r="P995" s="65"/>
      <c r="Q995" s="104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</row>
    <row r="996" spans="1:74" s="66" customFormat="1" ht="28.5" x14ac:dyDescent="0.2">
      <c r="A996" s="72" t="s">
        <v>1079</v>
      </c>
      <c r="B996" s="73" t="s">
        <v>375</v>
      </c>
      <c r="C996" s="127"/>
      <c r="D996" s="127"/>
      <c r="E996" s="127"/>
      <c r="F996" s="127"/>
      <c r="G996" s="127"/>
      <c r="H996" s="127"/>
      <c r="I996" s="127"/>
      <c r="J996" s="127"/>
      <c r="K996" s="127"/>
      <c r="L996" s="127"/>
      <c r="M996" s="127"/>
      <c r="N996" s="127">
        <v>1338235</v>
      </c>
      <c r="O996" s="89">
        <f t="shared" si="386"/>
        <v>1338235</v>
      </c>
      <c r="P996" s="65"/>
      <c r="Q996" s="104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</row>
    <row r="997" spans="1:74" s="66" customFormat="1" ht="31.5" x14ac:dyDescent="0.2">
      <c r="A997" s="77" t="s">
        <v>1080</v>
      </c>
      <c r="B997" s="75" t="s">
        <v>377</v>
      </c>
      <c r="C997" s="126">
        <f>+C998+C999</f>
        <v>0</v>
      </c>
      <c r="D997" s="126">
        <f t="shared" ref="D997:N997" si="409">+D998+D999</f>
        <v>0</v>
      </c>
      <c r="E997" s="126">
        <f t="shared" si="409"/>
        <v>0</v>
      </c>
      <c r="F997" s="126">
        <f t="shared" si="409"/>
        <v>0</v>
      </c>
      <c r="G997" s="126">
        <f t="shared" si="409"/>
        <v>0</v>
      </c>
      <c r="H997" s="126">
        <f t="shared" si="409"/>
        <v>0</v>
      </c>
      <c r="I997" s="126">
        <f t="shared" si="409"/>
        <v>0</v>
      </c>
      <c r="J997" s="126">
        <f t="shared" si="409"/>
        <v>0</v>
      </c>
      <c r="K997" s="126">
        <f t="shared" si="409"/>
        <v>0</v>
      </c>
      <c r="L997" s="126">
        <f t="shared" si="409"/>
        <v>0</v>
      </c>
      <c r="M997" s="126">
        <f t="shared" si="409"/>
        <v>0</v>
      </c>
      <c r="N997" s="126">
        <f t="shared" si="409"/>
        <v>13000000</v>
      </c>
      <c r="O997" s="89">
        <f t="shared" si="386"/>
        <v>13000000</v>
      </c>
      <c r="P997" s="65"/>
      <c r="Q997" s="104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</row>
    <row r="998" spans="1:74" s="66" customFormat="1" ht="28.5" x14ac:dyDescent="0.2">
      <c r="A998" s="72" t="s">
        <v>1081</v>
      </c>
      <c r="B998" s="73" t="s">
        <v>378</v>
      </c>
      <c r="C998" s="127"/>
      <c r="D998" s="127"/>
      <c r="E998" s="127"/>
      <c r="F998" s="127"/>
      <c r="G998" s="127"/>
      <c r="H998" s="127"/>
      <c r="I998" s="127"/>
      <c r="J998" s="127"/>
      <c r="K998" s="127"/>
      <c r="L998" s="127"/>
      <c r="M998" s="127"/>
      <c r="N998" s="127"/>
      <c r="O998" s="89">
        <f t="shared" si="386"/>
        <v>0</v>
      </c>
      <c r="P998" s="65"/>
      <c r="Q998" s="104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</row>
    <row r="999" spans="1:74" s="66" customFormat="1" ht="28.5" x14ac:dyDescent="0.2">
      <c r="A999" s="72" t="s">
        <v>1081</v>
      </c>
      <c r="B999" s="73" t="s">
        <v>378</v>
      </c>
      <c r="C999" s="127"/>
      <c r="D999" s="127"/>
      <c r="E999" s="127"/>
      <c r="F999" s="127"/>
      <c r="G999" s="127"/>
      <c r="H999" s="127"/>
      <c r="I999" s="127"/>
      <c r="J999" s="127"/>
      <c r="K999" s="127"/>
      <c r="L999" s="127"/>
      <c r="M999" s="127"/>
      <c r="N999" s="127">
        <v>13000000</v>
      </c>
      <c r="O999" s="89">
        <f t="shared" si="386"/>
        <v>13000000</v>
      </c>
      <c r="P999" s="65"/>
      <c r="Q999" s="104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</row>
    <row r="1000" spans="1:74" s="66" customFormat="1" ht="19.5" x14ac:dyDescent="0.2">
      <c r="A1000" s="151" t="s">
        <v>697</v>
      </c>
      <c r="B1000" s="184" t="s">
        <v>1082</v>
      </c>
      <c r="C1000" s="197">
        <f>+C1001+C1015+C1027+C1010+C1078</f>
        <v>0</v>
      </c>
      <c r="D1000" s="197">
        <f t="shared" ref="D1000:N1000" si="410">+D1001+D1015+D1027+D1010+D1078</f>
        <v>0</v>
      </c>
      <c r="E1000" s="197">
        <f t="shared" si="410"/>
        <v>288000000</v>
      </c>
      <c r="F1000" s="197">
        <f t="shared" si="410"/>
        <v>8465753196</v>
      </c>
      <c r="G1000" s="197">
        <f t="shared" si="410"/>
        <v>22869930480.32</v>
      </c>
      <c r="H1000" s="197">
        <f t="shared" si="410"/>
        <v>0</v>
      </c>
      <c r="I1000" s="197">
        <f t="shared" si="410"/>
        <v>0</v>
      </c>
      <c r="J1000" s="197">
        <f t="shared" si="410"/>
        <v>0</v>
      </c>
      <c r="K1000" s="197">
        <f t="shared" si="410"/>
        <v>332000000</v>
      </c>
      <c r="L1000" s="197">
        <f t="shared" si="410"/>
        <v>0</v>
      </c>
      <c r="M1000" s="197">
        <f t="shared" si="410"/>
        <v>0</v>
      </c>
      <c r="N1000" s="197">
        <f t="shared" si="410"/>
        <v>359000000</v>
      </c>
      <c r="O1000" s="89">
        <f t="shared" si="386"/>
        <v>32314683676.32</v>
      </c>
      <c r="P1000" s="65"/>
      <c r="Q1000" s="104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</row>
    <row r="1001" spans="1:74" s="66" customFormat="1" ht="31.5" x14ac:dyDescent="0.2">
      <c r="A1001" s="77" t="s">
        <v>1083</v>
      </c>
      <c r="B1001" s="75" t="s">
        <v>1084</v>
      </c>
      <c r="C1001" s="126">
        <f t="shared" ref="C1001:N1001" si="411">+C1002</f>
        <v>0</v>
      </c>
      <c r="D1001" s="126">
        <f t="shared" si="411"/>
        <v>0</v>
      </c>
      <c r="E1001" s="126">
        <f t="shared" si="411"/>
        <v>0</v>
      </c>
      <c r="F1001" s="126">
        <f t="shared" si="411"/>
        <v>0</v>
      </c>
      <c r="G1001" s="126">
        <f t="shared" si="411"/>
        <v>0</v>
      </c>
      <c r="H1001" s="126">
        <f t="shared" si="411"/>
        <v>0</v>
      </c>
      <c r="I1001" s="126">
        <f t="shared" si="411"/>
        <v>0</v>
      </c>
      <c r="J1001" s="126">
        <f t="shared" si="411"/>
        <v>0</v>
      </c>
      <c r="K1001" s="126">
        <f t="shared" si="411"/>
        <v>0</v>
      </c>
      <c r="L1001" s="126">
        <f t="shared" si="411"/>
        <v>0</v>
      </c>
      <c r="M1001" s="126">
        <f t="shared" si="411"/>
        <v>0</v>
      </c>
      <c r="N1001" s="126">
        <f t="shared" si="411"/>
        <v>0</v>
      </c>
      <c r="O1001" s="89">
        <f t="shared" si="386"/>
        <v>0</v>
      </c>
      <c r="P1001" s="65"/>
      <c r="Q1001" s="104"/>
      <c r="R1001" s="65"/>
      <c r="S1001" s="65"/>
      <c r="T1001" s="65"/>
      <c r="U1001" s="65"/>
      <c r="V1001" s="65"/>
      <c r="W1001" s="65"/>
      <c r="X1001" s="65"/>
      <c r="Y1001" s="65"/>
      <c r="Z1001" s="65"/>
      <c r="AA1001" s="65"/>
      <c r="AB1001" s="65"/>
      <c r="AC1001" s="65"/>
      <c r="AD1001" s="65"/>
      <c r="AE1001" s="65"/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</row>
    <row r="1002" spans="1:74" s="66" customFormat="1" ht="15.75" x14ac:dyDescent="0.2">
      <c r="A1002" s="77" t="s">
        <v>709</v>
      </c>
      <c r="B1002" s="75" t="s">
        <v>1085</v>
      </c>
      <c r="C1002" s="126">
        <f t="shared" ref="C1002:N1002" si="412">+C1003+C1006</f>
        <v>0</v>
      </c>
      <c r="D1002" s="126">
        <f t="shared" si="412"/>
        <v>0</v>
      </c>
      <c r="E1002" s="126">
        <f t="shared" si="412"/>
        <v>0</v>
      </c>
      <c r="F1002" s="126">
        <f t="shared" si="412"/>
        <v>0</v>
      </c>
      <c r="G1002" s="126">
        <f t="shared" si="412"/>
        <v>0</v>
      </c>
      <c r="H1002" s="126">
        <f t="shared" si="412"/>
        <v>0</v>
      </c>
      <c r="I1002" s="126">
        <f t="shared" si="412"/>
        <v>0</v>
      </c>
      <c r="J1002" s="126">
        <f t="shared" si="412"/>
        <v>0</v>
      </c>
      <c r="K1002" s="126">
        <f t="shared" si="412"/>
        <v>0</v>
      </c>
      <c r="L1002" s="126">
        <f t="shared" si="412"/>
        <v>0</v>
      </c>
      <c r="M1002" s="126">
        <f t="shared" si="412"/>
        <v>0</v>
      </c>
      <c r="N1002" s="126">
        <f t="shared" si="412"/>
        <v>0</v>
      </c>
      <c r="O1002" s="89">
        <f t="shared" si="386"/>
        <v>0</v>
      </c>
      <c r="P1002" s="65"/>
      <c r="Q1002" s="104"/>
      <c r="R1002" s="65"/>
      <c r="S1002" s="65"/>
      <c r="T1002" s="65"/>
      <c r="U1002" s="65"/>
      <c r="V1002" s="65"/>
      <c r="W1002" s="65"/>
      <c r="X1002" s="65"/>
      <c r="Y1002" s="65"/>
      <c r="Z1002" s="65"/>
      <c r="AA1002" s="65"/>
      <c r="AB1002" s="65"/>
      <c r="AC1002" s="65"/>
      <c r="AD1002" s="65"/>
      <c r="AE1002" s="65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</row>
    <row r="1003" spans="1:74" s="66" customFormat="1" ht="47.25" x14ac:dyDescent="0.2">
      <c r="A1003" s="77" t="s">
        <v>711</v>
      </c>
      <c r="B1003" s="75" t="s">
        <v>1086</v>
      </c>
      <c r="C1003" s="126">
        <f t="shared" ref="C1003:N1003" si="413">SUM(C1004:C1005)</f>
        <v>0</v>
      </c>
      <c r="D1003" s="126">
        <f t="shared" si="413"/>
        <v>0</v>
      </c>
      <c r="E1003" s="126">
        <f t="shared" si="413"/>
        <v>0</v>
      </c>
      <c r="F1003" s="126">
        <f t="shared" si="413"/>
        <v>0</v>
      </c>
      <c r="G1003" s="126">
        <f t="shared" si="413"/>
        <v>0</v>
      </c>
      <c r="H1003" s="126">
        <f t="shared" si="413"/>
        <v>0</v>
      </c>
      <c r="I1003" s="126">
        <f t="shared" si="413"/>
        <v>0</v>
      </c>
      <c r="J1003" s="126">
        <f t="shared" si="413"/>
        <v>0</v>
      </c>
      <c r="K1003" s="126">
        <f t="shared" si="413"/>
        <v>0</v>
      </c>
      <c r="L1003" s="126">
        <f t="shared" si="413"/>
        <v>0</v>
      </c>
      <c r="M1003" s="126">
        <f t="shared" si="413"/>
        <v>0</v>
      </c>
      <c r="N1003" s="126">
        <f t="shared" si="413"/>
        <v>0</v>
      </c>
      <c r="O1003" s="89">
        <f t="shared" si="386"/>
        <v>0</v>
      </c>
      <c r="P1003" s="65"/>
      <c r="Q1003" s="104"/>
      <c r="R1003" s="65"/>
      <c r="S1003" s="65"/>
      <c r="T1003" s="65"/>
      <c r="U1003" s="65"/>
      <c r="V1003" s="65"/>
      <c r="W1003" s="65"/>
      <c r="X1003" s="65"/>
      <c r="Y1003" s="65"/>
      <c r="Z1003" s="65"/>
      <c r="AA1003" s="65"/>
      <c r="AB1003" s="65"/>
      <c r="AC1003" s="65"/>
      <c r="AD1003" s="65"/>
      <c r="AE1003" s="65"/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  <c r="BT1003" s="65"/>
      <c r="BU1003" s="65"/>
      <c r="BV1003" s="65"/>
    </row>
    <row r="1004" spans="1:74" s="66" customFormat="1" ht="42.75" x14ac:dyDescent="0.2">
      <c r="A1004" s="72" t="s">
        <v>1087</v>
      </c>
      <c r="B1004" s="73" t="s">
        <v>1088</v>
      </c>
      <c r="C1004" s="127"/>
      <c r="D1004" s="127"/>
      <c r="E1004" s="127"/>
      <c r="F1004" s="127"/>
      <c r="G1004" s="127"/>
      <c r="H1004" s="127"/>
      <c r="I1004" s="127"/>
      <c r="J1004" s="127"/>
      <c r="K1004" s="127"/>
      <c r="L1004" s="127"/>
      <c r="M1004" s="127"/>
      <c r="N1004" s="127"/>
      <c r="O1004" s="89">
        <f t="shared" si="386"/>
        <v>0</v>
      </c>
      <c r="P1004" s="65"/>
      <c r="Q1004" s="104"/>
      <c r="R1004" s="65"/>
      <c r="S1004" s="65"/>
      <c r="T1004" s="65"/>
      <c r="U1004" s="65"/>
      <c r="V1004" s="65"/>
      <c r="W1004" s="65"/>
      <c r="X1004" s="65"/>
      <c r="Y1004" s="65"/>
      <c r="Z1004" s="65"/>
      <c r="AA1004" s="65"/>
      <c r="AB1004" s="65"/>
      <c r="AC1004" s="65"/>
      <c r="AD1004" s="65"/>
      <c r="AE1004" s="65"/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  <c r="BT1004" s="65"/>
      <c r="BU1004" s="65"/>
      <c r="BV1004" s="65"/>
    </row>
    <row r="1005" spans="1:74" s="66" customFormat="1" ht="42.75" x14ac:dyDescent="0.2">
      <c r="A1005" s="72" t="s">
        <v>1087</v>
      </c>
      <c r="B1005" s="73" t="s">
        <v>1088</v>
      </c>
      <c r="C1005" s="127"/>
      <c r="D1005" s="127"/>
      <c r="E1005" s="127"/>
      <c r="F1005" s="127"/>
      <c r="G1005" s="127"/>
      <c r="H1005" s="127"/>
      <c r="I1005" s="127"/>
      <c r="J1005" s="127"/>
      <c r="K1005" s="127"/>
      <c r="L1005" s="127"/>
      <c r="M1005" s="127"/>
      <c r="N1005" s="127"/>
      <c r="O1005" s="89">
        <f t="shared" si="386"/>
        <v>0</v>
      </c>
      <c r="P1005" s="65"/>
      <c r="Q1005" s="104"/>
      <c r="R1005" s="65"/>
      <c r="S1005" s="65"/>
      <c r="T1005" s="65"/>
      <c r="U1005" s="65"/>
      <c r="V1005" s="65"/>
      <c r="W1005" s="65"/>
      <c r="X1005" s="65"/>
      <c r="Y1005" s="65"/>
      <c r="Z1005" s="65"/>
      <c r="AA1005" s="65"/>
      <c r="AB1005" s="65"/>
      <c r="AC1005" s="65"/>
      <c r="AD1005" s="65"/>
      <c r="AE1005" s="65"/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  <c r="BT1005" s="65"/>
      <c r="BU1005" s="65"/>
      <c r="BV1005" s="65"/>
    </row>
    <row r="1006" spans="1:74" s="66" customFormat="1" ht="31.5" x14ac:dyDescent="0.2">
      <c r="A1006" s="77" t="s">
        <v>712</v>
      </c>
      <c r="B1006" s="75" t="s">
        <v>377</v>
      </c>
      <c r="C1006" s="126">
        <f t="shared" ref="C1006:N1006" si="414">SUM(C1007:C1009)</f>
        <v>0</v>
      </c>
      <c r="D1006" s="126">
        <f t="shared" si="414"/>
        <v>0</v>
      </c>
      <c r="E1006" s="126">
        <f t="shared" si="414"/>
        <v>0</v>
      </c>
      <c r="F1006" s="126">
        <f t="shared" si="414"/>
        <v>0</v>
      </c>
      <c r="G1006" s="126">
        <f t="shared" si="414"/>
        <v>0</v>
      </c>
      <c r="H1006" s="126">
        <f t="shared" si="414"/>
        <v>0</v>
      </c>
      <c r="I1006" s="126">
        <f t="shared" si="414"/>
        <v>0</v>
      </c>
      <c r="J1006" s="126">
        <f t="shared" si="414"/>
        <v>0</v>
      </c>
      <c r="K1006" s="126">
        <f t="shared" si="414"/>
        <v>0</v>
      </c>
      <c r="L1006" s="126">
        <f t="shared" si="414"/>
        <v>0</v>
      </c>
      <c r="M1006" s="126">
        <f t="shared" si="414"/>
        <v>0</v>
      </c>
      <c r="N1006" s="126">
        <f t="shared" si="414"/>
        <v>0</v>
      </c>
      <c r="O1006" s="89">
        <f t="shared" si="386"/>
        <v>0</v>
      </c>
      <c r="P1006" s="65"/>
      <c r="Q1006" s="104"/>
      <c r="R1006" s="65"/>
      <c r="S1006" s="65"/>
      <c r="T1006" s="65"/>
      <c r="U1006" s="65"/>
      <c r="V1006" s="65"/>
      <c r="W1006" s="65"/>
      <c r="X1006" s="65"/>
      <c r="Y1006" s="65"/>
      <c r="Z1006" s="65"/>
      <c r="AA1006" s="65"/>
      <c r="AB1006" s="65"/>
      <c r="AC1006" s="65"/>
      <c r="AD1006" s="65"/>
      <c r="AE1006" s="65"/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  <c r="BT1006" s="65"/>
      <c r="BU1006" s="65"/>
      <c r="BV1006" s="65"/>
    </row>
    <row r="1007" spans="1:74" s="66" customFormat="1" ht="28.5" x14ac:dyDescent="0.2">
      <c r="A1007" s="72" t="s">
        <v>1089</v>
      </c>
      <c r="B1007" s="73" t="s">
        <v>1090</v>
      </c>
      <c r="C1007" s="127"/>
      <c r="D1007" s="127"/>
      <c r="E1007" s="127"/>
      <c r="F1007" s="127"/>
      <c r="G1007" s="127"/>
      <c r="H1007" s="127"/>
      <c r="I1007" s="127"/>
      <c r="J1007" s="127"/>
      <c r="K1007" s="127"/>
      <c r="L1007" s="127"/>
      <c r="M1007" s="127"/>
      <c r="N1007" s="127"/>
      <c r="O1007" s="89">
        <f t="shared" si="386"/>
        <v>0</v>
      </c>
      <c r="P1007" s="65"/>
      <c r="Q1007" s="104"/>
      <c r="R1007" s="65"/>
      <c r="S1007" s="65"/>
      <c r="T1007" s="65"/>
      <c r="U1007" s="65"/>
      <c r="V1007" s="65"/>
      <c r="W1007" s="65"/>
      <c r="X1007" s="65"/>
      <c r="Y1007" s="65"/>
      <c r="Z1007" s="65"/>
      <c r="AA1007" s="65"/>
      <c r="AB1007" s="65"/>
      <c r="AC1007" s="65"/>
      <c r="AD1007" s="65"/>
      <c r="AE1007" s="65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</row>
    <row r="1008" spans="1:74" s="66" customFormat="1" ht="42.75" x14ac:dyDescent="0.2">
      <c r="A1008" s="72" t="s">
        <v>1091</v>
      </c>
      <c r="B1008" s="73" t="s">
        <v>1092</v>
      </c>
      <c r="C1008" s="127"/>
      <c r="D1008" s="127"/>
      <c r="E1008" s="127"/>
      <c r="F1008" s="127"/>
      <c r="G1008" s="127"/>
      <c r="H1008" s="127"/>
      <c r="I1008" s="127"/>
      <c r="J1008" s="127"/>
      <c r="K1008" s="127"/>
      <c r="L1008" s="127"/>
      <c r="M1008" s="127"/>
      <c r="N1008" s="127"/>
      <c r="O1008" s="89">
        <f t="shared" si="386"/>
        <v>0</v>
      </c>
      <c r="P1008" s="65"/>
      <c r="Q1008" s="104"/>
      <c r="R1008" s="65"/>
      <c r="S1008" s="65"/>
      <c r="T1008" s="65"/>
      <c r="U1008" s="65"/>
      <c r="V1008" s="65"/>
      <c r="W1008" s="65"/>
      <c r="X1008" s="65"/>
      <c r="Y1008" s="65"/>
      <c r="Z1008" s="65"/>
      <c r="AA1008" s="65"/>
      <c r="AB1008" s="65"/>
      <c r="AC1008" s="65"/>
      <c r="AD1008" s="65"/>
      <c r="AE1008" s="65"/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/>
      <c r="BI1008" s="65"/>
      <c r="BJ1008" s="65"/>
      <c r="BK1008" s="65"/>
      <c r="BL1008" s="65"/>
      <c r="BM1008" s="65"/>
      <c r="BN1008" s="65"/>
      <c r="BO1008" s="65"/>
      <c r="BP1008" s="65"/>
      <c r="BQ1008" s="65"/>
      <c r="BR1008" s="65"/>
      <c r="BS1008" s="65"/>
      <c r="BT1008" s="65"/>
      <c r="BU1008" s="65"/>
      <c r="BV1008" s="65"/>
    </row>
    <row r="1009" spans="1:74" s="68" customFormat="1" ht="28.5" x14ac:dyDescent="0.2">
      <c r="A1009" s="72" t="s">
        <v>1093</v>
      </c>
      <c r="B1009" s="73" t="s">
        <v>1094</v>
      </c>
      <c r="C1009" s="127"/>
      <c r="D1009" s="127"/>
      <c r="E1009" s="127"/>
      <c r="F1009" s="127"/>
      <c r="G1009" s="127"/>
      <c r="H1009" s="127"/>
      <c r="I1009" s="127"/>
      <c r="J1009" s="127"/>
      <c r="K1009" s="127"/>
      <c r="L1009" s="127"/>
      <c r="M1009" s="127"/>
      <c r="N1009" s="127"/>
      <c r="O1009" s="89">
        <f t="shared" ref="O1009" si="415">SUM(C1009:N1009)</f>
        <v>0</v>
      </c>
      <c r="P1009" s="67"/>
      <c r="Q1009" s="104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/>
      <c r="AH1009" s="67"/>
      <c r="AI1009" s="67"/>
      <c r="AJ1009" s="67"/>
      <c r="AK1009" s="67"/>
      <c r="AL1009" s="67"/>
      <c r="AM1009" s="67"/>
      <c r="AN1009" s="67"/>
      <c r="AO1009" s="67"/>
      <c r="AP1009" s="67"/>
      <c r="AQ1009" s="67"/>
      <c r="AR1009" s="67"/>
      <c r="AS1009" s="67"/>
      <c r="AT1009" s="67"/>
      <c r="AU1009" s="67"/>
      <c r="AV1009" s="67"/>
      <c r="AW1009" s="67"/>
      <c r="AX1009" s="67"/>
      <c r="AY1009" s="67"/>
      <c r="AZ1009" s="67"/>
      <c r="BA1009" s="67"/>
      <c r="BB1009" s="67"/>
      <c r="BC1009" s="67"/>
      <c r="BD1009" s="67"/>
      <c r="BE1009" s="67"/>
      <c r="BF1009" s="67"/>
      <c r="BG1009" s="67"/>
      <c r="BH1009" s="67"/>
      <c r="BI1009" s="67"/>
      <c r="BJ1009" s="67"/>
      <c r="BK1009" s="67"/>
      <c r="BL1009" s="67"/>
      <c r="BM1009" s="67"/>
      <c r="BN1009" s="67"/>
      <c r="BO1009" s="67"/>
      <c r="BP1009" s="67"/>
      <c r="BQ1009" s="67"/>
      <c r="BR1009" s="67"/>
      <c r="BS1009" s="67"/>
      <c r="BT1009" s="67"/>
      <c r="BU1009" s="67"/>
      <c r="BV1009" s="67"/>
    </row>
    <row r="1010" spans="1:74" s="108" customFormat="1" ht="31.5" x14ac:dyDescent="0.2">
      <c r="A1010" s="77" t="s">
        <v>1221</v>
      </c>
      <c r="B1010" s="75" t="s">
        <v>1227</v>
      </c>
      <c r="C1010" s="126">
        <f>+C1011</f>
        <v>0</v>
      </c>
      <c r="D1010" s="126">
        <f t="shared" ref="D1010:N1011" si="416">+D1011</f>
        <v>0</v>
      </c>
      <c r="E1010" s="126">
        <f t="shared" si="416"/>
        <v>0</v>
      </c>
      <c r="F1010" s="126">
        <f t="shared" si="416"/>
        <v>8465753196</v>
      </c>
      <c r="G1010" s="126">
        <f t="shared" si="416"/>
        <v>1928835878</v>
      </c>
      <c r="H1010" s="126">
        <f t="shared" si="416"/>
        <v>0</v>
      </c>
      <c r="I1010" s="126">
        <f t="shared" si="416"/>
        <v>0</v>
      </c>
      <c r="J1010" s="126">
        <f t="shared" si="416"/>
        <v>0</v>
      </c>
      <c r="K1010" s="126">
        <f t="shared" si="416"/>
        <v>0</v>
      </c>
      <c r="L1010" s="126">
        <f t="shared" si="416"/>
        <v>0</v>
      </c>
      <c r="M1010" s="126">
        <f t="shared" si="416"/>
        <v>0</v>
      </c>
      <c r="N1010" s="126">
        <f t="shared" si="416"/>
        <v>0</v>
      </c>
      <c r="O1010" s="89">
        <f t="shared" ref="O1010:O1047" si="417">SUM(C1010:N1010)</f>
        <v>10394589074</v>
      </c>
      <c r="P1010" s="107"/>
      <c r="Q1010" s="104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</row>
    <row r="1011" spans="1:74" s="108" customFormat="1" ht="31.5" x14ac:dyDescent="0.2">
      <c r="A1011" s="77" t="s">
        <v>1223</v>
      </c>
      <c r="B1011" s="75" t="s">
        <v>1224</v>
      </c>
      <c r="C1011" s="126">
        <f>+C1012</f>
        <v>0</v>
      </c>
      <c r="D1011" s="126">
        <f t="shared" si="416"/>
        <v>0</v>
      </c>
      <c r="E1011" s="126">
        <f t="shared" si="416"/>
        <v>0</v>
      </c>
      <c r="F1011" s="126">
        <f t="shared" si="416"/>
        <v>8465753196</v>
      </c>
      <c r="G1011" s="126">
        <f t="shared" si="416"/>
        <v>1928835878</v>
      </c>
      <c r="H1011" s="126">
        <f t="shared" si="416"/>
        <v>0</v>
      </c>
      <c r="I1011" s="126">
        <f t="shared" si="416"/>
        <v>0</v>
      </c>
      <c r="J1011" s="126">
        <f t="shared" si="416"/>
        <v>0</v>
      </c>
      <c r="K1011" s="126">
        <f t="shared" si="416"/>
        <v>0</v>
      </c>
      <c r="L1011" s="126">
        <f t="shared" si="416"/>
        <v>0</v>
      </c>
      <c r="M1011" s="126">
        <f t="shared" si="416"/>
        <v>0</v>
      </c>
      <c r="N1011" s="126">
        <f t="shared" si="416"/>
        <v>0</v>
      </c>
      <c r="O1011" s="89">
        <f t="shared" si="417"/>
        <v>10394589074</v>
      </c>
      <c r="P1011" s="107"/>
      <c r="Q1011" s="104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</row>
    <row r="1012" spans="1:74" s="108" customFormat="1" ht="15.75" x14ac:dyDescent="0.2">
      <c r="A1012" s="77" t="s">
        <v>1225</v>
      </c>
      <c r="B1012" s="75" t="s">
        <v>1228</v>
      </c>
      <c r="C1012" s="126">
        <f>+C1013+C1014</f>
        <v>0</v>
      </c>
      <c r="D1012" s="126">
        <f t="shared" ref="D1012:N1012" si="418">+D1013+D1014</f>
        <v>0</v>
      </c>
      <c r="E1012" s="126">
        <f t="shared" si="418"/>
        <v>0</v>
      </c>
      <c r="F1012" s="126">
        <f t="shared" si="418"/>
        <v>8465753196</v>
      </c>
      <c r="G1012" s="126">
        <f t="shared" si="418"/>
        <v>1928835878</v>
      </c>
      <c r="H1012" s="126">
        <f t="shared" si="418"/>
        <v>0</v>
      </c>
      <c r="I1012" s="126">
        <f t="shared" si="418"/>
        <v>0</v>
      </c>
      <c r="J1012" s="126">
        <f t="shared" si="418"/>
        <v>0</v>
      </c>
      <c r="K1012" s="126">
        <f t="shared" si="418"/>
        <v>0</v>
      </c>
      <c r="L1012" s="126">
        <f t="shared" si="418"/>
        <v>0</v>
      </c>
      <c r="M1012" s="126">
        <f t="shared" si="418"/>
        <v>0</v>
      </c>
      <c r="N1012" s="126">
        <f t="shared" si="418"/>
        <v>0</v>
      </c>
      <c r="O1012" s="89">
        <f t="shared" si="417"/>
        <v>10394589074</v>
      </c>
      <c r="P1012" s="107"/>
      <c r="Q1012" s="104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</row>
    <row r="1013" spans="1:74" s="68" customFormat="1" ht="28.5" x14ac:dyDescent="0.2">
      <c r="A1013" s="72" t="s">
        <v>1219</v>
      </c>
      <c r="B1013" s="73" t="s">
        <v>1220</v>
      </c>
      <c r="C1013" s="127"/>
      <c r="D1013" s="127"/>
      <c r="E1013" s="127"/>
      <c r="F1013" s="127">
        <v>8465753196</v>
      </c>
      <c r="G1013" s="127"/>
      <c r="H1013" s="127"/>
      <c r="I1013" s="127"/>
      <c r="J1013" s="127"/>
      <c r="K1013" s="127"/>
      <c r="L1013" s="127"/>
      <c r="M1013" s="127"/>
      <c r="N1013" s="127"/>
      <c r="O1013" s="89">
        <f t="shared" si="417"/>
        <v>8465753196</v>
      </c>
      <c r="P1013" s="67"/>
      <c r="Q1013" s="104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67"/>
      <c r="AH1013" s="67"/>
      <c r="AI1013" s="67"/>
      <c r="AJ1013" s="67"/>
      <c r="AK1013" s="67"/>
      <c r="AL1013" s="67"/>
      <c r="AM1013" s="67"/>
      <c r="AN1013" s="67"/>
      <c r="AO1013" s="67"/>
      <c r="AP1013" s="67"/>
      <c r="AQ1013" s="67"/>
      <c r="AR1013" s="67"/>
      <c r="AS1013" s="67"/>
      <c r="AT1013" s="67"/>
      <c r="AU1013" s="67"/>
      <c r="AV1013" s="67"/>
      <c r="AW1013" s="67"/>
      <c r="AX1013" s="67"/>
      <c r="AY1013" s="67"/>
      <c r="AZ1013" s="67"/>
      <c r="BA1013" s="67"/>
      <c r="BB1013" s="67"/>
      <c r="BC1013" s="67"/>
      <c r="BD1013" s="67"/>
      <c r="BE1013" s="67"/>
      <c r="BF1013" s="67"/>
      <c r="BG1013" s="67"/>
      <c r="BH1013" s="67"/>
      <c r="BI1013" s="67"/>
      <c r="BJ1013" s="67"/>
      <c r="BK1013" s="67"/>
      <c r="BL1013" s="67"/>
      <c r="BM1013" s="67"/>
      <c r="BN1013" s="67"/>
      <c r="BO1013" s="67"/>
      <c r="BP1013" s="67"/>
      <c r="BQ1013" s="67"/>
      <c r="BR1013" s="67"/>
      <c r="BS1013" s="67"/>
      <c r="BT1013" s="67"/>
      <c r="BU1013" s="67"/>
      <c r="BV1013" s="67"/>
    </row>
    <row r="1014" spans="1:74" s="68" customFormat="1" ht="28.5" x14ac:dyDescent="0.2">
      <c r="A1014" s="72" t="s">
        <v>1821</v>
      </c>
      <c r="B1014" s="73" t="s">
        <v>1822</v>
      </c>
      <c r="C1014" s="127"/>
      <c r="D1014" s="127"/>
      <c r="E1014" s="127"/>
      <c r="F1014" s="127"/>
      <c r="G1014" s="127">
        <v>1928835878</v>
      </c>
      <c r="H1014" s="127"/>
      <c r="I1014" s="127"/>
      <c r="J1014" s="127"/>
      <c r="K1014" s="127"/>
      <c r="L1014" s="127"/>
      <c r="M1014" s="127"/>
      <c r="N1014" s="127"/>
      <c r="O1014" s="89">
        <f t="shared" si="417"/>
        <v>1928835878</v>
      </c>
      <c r="P1014" s="67"/>
      <c r="Q1014" s="104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67"/>
      <c r="AH1014" s="67"/>
      <c r="AI1014" s="67"/>
      <c r="AJ1014" s="67"/>
      <c r="AK1014" s="67"/>
      <c r="AL1014" s="67"/>
      <c r="AM1014" s="67"/>
      <c r="AN1014" s="67"/>
      <c r="AO1014" s="67"/>
      <c r="AP1014" s="67"/>
      <c r="AQ1014" s="67"/>
      <c r="AR1014" s="67"/>
      <c r="AS1014" s="67"/>
      <c r="AT1014" s="67"/>
      <c r="AU1014" s="67"/>
      <c r="AV1014" s="67"/>
      <c r="AW1014" s="67"/>
      <c r="AX1014" s="67"/>
      <c r="AY1014" s="67"/>
      <c r="AZ1014" s="67"/>
      <c r="BA1014" s="67"/>
      <c r="BB1014" s="67"/>
      <c r="BC1014" s="67"/>
      <c r="BD1014" s="67"/>
      <c r="BE1014" s="67"/>
      <c r="BF1014" s="67"/>
      <c r="BG1014" s="67"/>
      <c r="BH1014" s="67"/>
      <c r="BI1014" s="67"/>
      <c r="BJ1014" s="67"/>
      <c r="BK1014" s="67"/>
      <c r="BL1014" s="67"/>
      <c r="BM1014" s="67"/>
      <c r="BN1014" s="67"/>
      <c r="BO1014" s="67"/>
      <c r="BP1014" s="67"/>
      <c r="BQ1014" s="67"/>
      <c r="BR1014" s="67"/>
      <c r="BS1014" s="67"/>
      <c r="BT1014" s="67"/>
      <c r="BU1014" s="67"/>
      <c r="BV1014" s="67"/>
    </row>
    <row r="1015" spans="1:74" s="66" customFormat="1" ht="31.5" x14ac:dyDescent="0.2">
      <c r="A1015" s="77" t="s">
        <v>812</v>
      </c>
      <c r="B1015" s="75" t="s">
        <v>1095</v>
      </c>
      <c r="C1015" s="126">
        <f t="shared" ref="C1015:N1015" si="419">+C1016</f>
        <v>0</v>
      </c>
      <c r="D1015" s="126">
        <f t="shared" si="419"/>
        <v>0</v>
      </c>
      <c r="E1015" s="126">
        <f t="shared" si="419"/>
        <v>0</v>
      </c>
      <c r="F1015" s="126">
        <f t="shared" si="419"/>
        <v>0</v>
      </c>
      <c r="G1015" s="126">
        <f t="shared" si="419"/>
        <v>0</v>
      </c>
      <c r="H1015" s="126">
        <f t="shared" si="419"/>
        <v>0</v>
      </c>
      <c r="I1015" s="126">
        <f t="shared" si="419"/>
        <v>0</v>
      </c>
      <c r="J1015" s="126">
        <f t="shared" si="419"/>
        <v>0</v>
      </c>
      <c r="K1015" s="126">
        <f t="shared" si="419"/>
        <v>332000000</v>
      </c>
      <c r="L1015" s="126">
        <f t="shared" si="419"/>
        <v>0</v>
      </c>
      <c r="M1015" s="126">
        <f t="shared" si="419"/>
        <v>0</v>
      </c>
      <c r="N1015" s="126">
        <f t="shared" si="419"/>
        <v>359000000</v>
      </c>
      <c r="O1015" s="89">
        <f t="shared" si="417"/>
        <v>691000000</v>
      </c>
      <c r="P1015" s="65"/>
      <c r="Q1015" s="104"/>
      <c r="R1015" s="65"/>
      <c r="S1015" s="65"/>
      <c r="T1015" s="65"/>
      <c r="U1015" s="65"/>
      <c r="V1015" s="65"/>
      <c r="W1015" s="65"/>
      <c r="X1015" s="65"/>
      <c r="Y1015" s="65"/>
      <c r="Z1015" s="65"/>
      <c r="AA1015" s="65"/>
      <c r="AB1015" s="65"/>
      <c r="AC1015" s="65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  <c r="BT1015" s="65"/>
      <c r="BU1015" s="65"/>
      <c r="BV1015" s="65"/>
    </row>
    <row r="1016" spans="1:74" s="66" customFormat="1" ht="15.75" x14ac:dyDescent="0.2">
      <c r="A1016" s="77" t="s">
        <v>1096</v>
      </c>
      <c r="B1016" s="75" t="s">
        <v>1097</v>
      </c>
      <c r="C1016" s="126">
        <f t="shared" ref="C1016:N1016" si="420">+C1017+C1022</f>
        <v>0</v>
      </c>
      <c r="D1016" s="126">
        <f t="shared" si="420"/>
        <v>0</v>
      </c>
      <c r="E1016" s="126">
        <f t="shared" si="420"/>
        <v>0</v>
      </c>
      <c r="F1016" s="126">
        <f t="shared" si="420"/>
        <v>0</v>
      </c>
      <c r="G1016" s="126">
        <f t="shared" si="420"/>
        <v>0</v>
      </c>
      <c r="H1016" s="126">
        <f t="shared" si="420"/>
        <v>0</v>
      </c>
      <c r="I1016" s="126">
        <f t="shared" si="420"/>
        <v>0</v>
      </c>
      <c r="J1016" s="126">
        <f t="shared" si="420"/>
        <v>0</v>
      </c>
      <c r="K1016" s="126">
        <f t="shared" si="420"/>
        <v>332000000</v>
      </c>
      <c r="L1016" s="126">
        <f t="shared" si="420"/>
        <v>0</v>
      </c>
      <c r="M1016" s="126">
        <f t="shared" si="420"/>
        <v>0</v>
      </c>
      <c r="N1016" s="126">
        <f t="shared" si="420"/>
        <v>359000000</v>
      </c>
      <c r="O1016" s="89">
        <f t="shared" si="417"/>
        <v>691000000</v>
      </c>
      <c r="P1016" s="65"/>
      <c r="Q1016" s="104"/>
      <c r="R1016" s="65"/>
      <c r="S1016" s="65"/>
      <c r="T1016" s="65"/>
      <c r="U1016" s="65"/>
      <c r="V1016" s="65"/>
      <c r="W1016" s="65"/>
      <c r="X1016" s="65"/>
      <c r="Y1016" s="65"/>
      <c r="Z1016" s="65"/>
      <c r="AA1016" s="65"/>
      <c r="AB1016" s="65"/>
      <c r="AC1016" s="65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  <c r="BT1016" s="65"/>
      <c r="BU1016" s="65"/>
      <c r="BV1016" s="65"/>
    </row>
    <row r="1017" spans="1:74" s="66" customFormat="1" ht="15.75" x14ac:dyDescent="0.2">
      <c r="A1017" s="77" t="s">
        <v>1098</v>
      </c>
      <c r="B1017" s="75" t="s">
        <v>1099</v>
      </c>
      <c r="C1017" s="126">
        <f t="shared" ref="C1017:N1017" si="421">+C1018</f>
        <v>0</v>
      </c>
      <c r="D1017" s="126">
        <f t="shared" si="421"/>
        <v>0</v>
      </c>
      <c r="E1017" s="126">
        <f t="shared" si="421"/>
        <v>0</v>
      </c>
      <c r="F1017" s="126">
        <f t="shared" si="421"/>
        <v>0</v>
      </c>
      <c r="G1017" s="126">
        <f t="shared" si="421"/>
        <v>0</v>
      </c>
      <c r="H1017" s="126">
        <f t="shared" si="421"/>
        <v>0</v>
      </c>
      <c r="I1017" s="126">
        <f t="shared" si="421"/>
        <v>0</v>
      </c>
      <c r="J1017" s="126">
        <f t="shared" si="421"/>
        <v>0</v>
      </c>
      <c r="K1017" s="126">
        <f t="shared" si="421"/>
        <v>194000000</v>
      </c>
      <c r="L1017" s="126">
        <f t="shared" si="421"/>
        <v>0</v>
      </c>
      <c r="M1017" s="126">
        <f t="shared" si="421"/>
        <v>0</v>
      </c>
      <c r="N1017" s="126">
        <f t="shared" si="421"/>
        <v>110000000</v>
      </c>
      <c r="O1017" s="89">
        <f t="shared" si="417"/>
        <v>304000000</v>
      </c>
      <c r="P1017" s="65"/>
      <c r="Q1017" s="104"/>
      <c r="R1017" s="65"/>
      <c r="S1017" s="65"/>
      <c r="T1017" s="65"/>
      <c r="U1017" s="65"/>
      <c r="V1017" s="65"/>
      <c r="W1017" s="65"/>
      <c r="X1017" s="65"/>
      <c r="Y1017" s="65"/>
      <c r="Z1017" s="65"/>
      <c r="AA1017" s="65"/>
      <c r="AB1017" s="65"/>
      <c r="AC1017" s="65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  <c r="BT1017" s="65"/>
      <c r="BU1017" s="65"/>
      <c r="BV1017" s="65"/>
    </row>
    <row r="1018" spans="1:74" s="66" customFormat="1" ht="31.5" x14ac:dyDescent="0.2">
      <c r="A1018" s="77" t="s">
        <v>1100</v>
      </c>
      <c r="B1018" s="75" t="s">
        <v>1101</v>
      </c>
      <c r="C1018" s="126">
        <f>SUM(C1019:C1021)</f>
        <v>0</v>
      </c>
      <c r="D1018" s="126">
        <f t="shared" ref="D1018:N1018" si="422">SUM(D1019:D1021)</f>
        <v>0</v>
      </c>
      <c r="E1018" s="126">
        <f t="shared" si="422"/>
        <v>0</v>
      </c>
      <c r="F1018" s="126">
        <f t="shared" si="422"/>
        <v>0</v>
      </c>
      <c r="G1018" s="126">
        <f t="shared" si="422"/>
        <v>0</v>
      </c>
      <c r="H1018" s="126">
        <f t="shared" si="422"/>
        <v>0</v>
      </c>
      <c r="I1018" s="126">
        <f t="shared" si="422"/>
        <v>0</v>
      </c>
      <c r="J1018" s="126">
        <f t="shared" si="422"/>
        <v>0</v>
      </c>
      <c r="K1018" s="126">
        <f t="shared" si="422"/>
        <v>194000000</v>
      </c>
      <c r="L1018" s="126">
        <f t="shared" si="422"/>
        <v>0</v>
      </c>
      <c r="M1018" s="126">
        <f t="shared" si="422"/>
        <v>0</v>
      </c>
      <c r="N1018" s="126">
        <f t="shared" si="422"/>
        <v>110000000</v>
      </c>
      <c r="O1018" s="89">
        <f t="shared" si="417"/>
        <v>304000000</v>
      </c>
      <c r="P1018" s="65"/>
      <c r="Q1018" s="104"/>
      <c r="R1018" s="65"/>
      <c r="S1018" s="65"/>
      <c r="T1018" s="65"/>
      <c r="U1018" s="65"/>
      <c r="V1018" s="65"/>
      <c r="W1018" s="65"/>
      <c r="X1018" s="65"/>
      <c r="Y1018" s="65"/>
      <c r="Z1018" s="65"/>
      <c r="AA1018" s="65"/>
      <c r="AB1018" s="65"/>
      <c r="AC1018" s="65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  <c r="BT1018" s="65"/>
      <c r="BU1018" s="65"/>
      <c r="BV1018" s="65"/>
    </row>
    <row r="1019" spans="1:74" s="66" customFormat="1" ht="28.5" x14ac:dyDescent="0.2">
      <c r="A1019" s="72" t="s">
        <v>1102</v>
      </c>
      <c r="B1019" s="73" t="s">
        <v>378</v>
      </c>
      <c r="C1019" s="127"/>
      <c r="D1019" s="127"/>
      <c r="E1019" s="127"/>
      <c r="F1019" s="127"/>
      <c r="G1019" s="127"/>
      <c r="H1019" s="127"/>
      <c r="I1019" s="127"/>
      <c r="J1019" s="127"/>
      <c r="K1019" s="127"/>
      <c r="L1019" s="127"/>
      <c r="M1019" s="127"/>
      <c r="N1019" s="127"/>
      <c r="O1019" s="89">
        <f t="shared" si="417"/>
        <v>0</v>
      </c>
      <c r="P1019" s="65"/>
      <c r="Q1019" s="104"/>
      <c r="R1019" s="65"/>
      <c r="S1019" s="65"/>
      <c r="T1019" s="65"/>
      <c r="U1019" s="65"/>
      <c r="V1019" s="65"/>
      <c r="W1019" s="65"/>
      <c r="X1019" s="65"/>
      <c r="Y1019" s="65"/>
      <c r="Z1019" s="65"/>
      <c r="AA1019" s="65"/>
      <c r="AB1019" s="65"/>
      <c r="AC1019" s="65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  <c r="BT1019" s="65"/>
      <c r="BU1019" s="65"/>
      <c r="BV1019" s="65"/>
    </row>
    <row r="1020" spans="1:74" s="66" customFormat="1" ht="28.5" x14ac:dyDescent="0.2">
      <c r="A1020" s="72" t="s">
        <v>1102</v>
      </c>
      <c r="B1020" s="73" t="s">
        <v>378</v>
      </c>
      <c r="C1020" s="127"/>
      <c r="D1020" s="127"/>
      <c r="E1020" s="127"/>
      <c r="F1020" s="127"/>
      <c r="G1020" s="127"/>
      <c r="H1020" s="127"/>
      <c r="I1020" s="127"/>
      <c r="J1020" s="127"/>
      <c r="K1020" s="127"/>
      <c r="L1020" s="127"/>
      <c r="M1020" s="127"/>
      <c r="N1020" s="127">
        <v>110000000</v>
      </c>
      <c r="O1020" s="89">
        <f t="shared" si="417"/>
        <v>110000000</v>
      </c>
      <c r="P1020" s="65"/>
      <c r="Q1020" s="104"/>
      <c r="R1020" s="65"/>
      <c r="S1020" s="65"/>
      <c r="T1020" s="65"/>
      <c r="U1020" s="65"/>
      <c r="V1020" s="65"/>
      <c r="W1020" s="65"/>
      <c r="X1020" s="65"/>
      <c r="Y1020" s="65"/>
      <c r="Z1020" s="65"/>
      <c r="AA1020" s="65"/>
      <c r="AB1020" s="65"/>
      <c r="AC1020" s="65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BH1020" s="65"/>
      <c r="BI1020" s="65"/>
      <c r="BJ1020" s="65"/>
      <c r="BK1020" s="65"/>
      <c r="BL1020" s="65"/>
      <c r="BM1020" s="65"/>
      <c r="BN1020" s="65"/>
      <c r="BO1020" s="65"/>
      <c r="BP1020" s="65"/>
      <c r="BQ1020" s="65"/>
      <c r="BR1020" s="65"/>
      <c r="BS1020" s="65"/>
      <c r="BT1020" s="65"/>
      <c r="BU1020" s="65"/>
      <c r="BV1020" s="65"/>
    </row>
    <row r="1021" spans="1:74" s="66" customFormat="1" ht="28.5" x14ac:dyDescent="0.2">
      <c r="A1021" s="72" t="s">
        <v>1102</v>
      </c>
      <c r="B1021" s="73" t="s">
        <v>378</v>
      </c>
      <c r="C1021" s="127"/>
      <c r="D1021" s="127"/>
      <c r="E1021" s="127"/>
      <c r="F1021" s="127"/>
      <c r="G1021" s="127"/>
      <c r="H1021" s="127"/>
      <c r="I1021" s="127"/>
      <c r="J1021" s="127"/>
      <c r="K1021" s="127">
        <v>194000000</v>
      </c>
      <c r="L1021" s="127"/>
      <c r="M1021" s="127"/>
      <c r="N1021" s="127"/>
      <c r="O1021" s="89">
        <f t="shared" si="417"/>
        <v>194000000</v>
      </c>
      <c r="P1021" s="65"/>
      <c r="Q1021" s="104"/>
      <c r="R1021" s="65"/>
      <c r="S1021" s="65"/>
      <c r="T1021" s="65"/>
      <c r="U1021" s="65"/>
      <c r="V1021" s="65"/>
      <c r="W1021" s="65"/>
      <c r="X1021" s="65"/>
      <c r="Y1021" s="65"/>
      <c r="Z1021" s="65"/>
      <c r="AA1021" s="65"/>
      <c r="AB1021" s="65"/>
      <c r="AC1021" s="65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</row>
    <row r="1022" spans="1:74" s="66" customFormat="1" ht="31.5" x14ac:dyDescent="0.2">
      <c r="A1022" s="77" t="s">
        <v>1103</v>
      </c>
      <c r="B1022" s="75" t="s">
        <v>1104</v>
      </c>
      <c r="C1022" s="126">
        <f>+C1023</f>
        <v>0</v>
      </c>
      <c r="D1022" s="126">
        <f t="shared" ref="D1022:N1022" si="423">+D1023</f>
        <v>0</v>
      </c>
      <c r="E1022" s="126">
        <f t="shared" si="423"/>
        <v>0</v>
      </c>
      <c r="F1022" s="126">
        <f t="shared" si="423"/>
        <v>0</v>
      </c>
      <c r="G1022" s="126">
        <f t="shared" si="423"/>
        <v>0</v>
      </c>
      <c r="H1022" s="126">
        <f t="shared" si="423"/>
        <v>0</v>
      </c>
      <c r="I1022" s="126">
        <f t="shared" si="423"/>
        <v>0</v>
      </c>
      <c r="J1022" s="126">
        <f t="shared" si="423"/>
        <v>0</v>
      </c>
      <c r="K1022" s="126">
        <f t="shared" si="423"/>
        <v>138000000</v>
      </c>
      <c r="L1022" s="126">
        <f t="shared" si="423"/>
        <v>0</v>
      </c>
      <c r="M1022" s="126">
        <f t="shared" si="423"/>
        <v>0</v>
      </c>
      <c r="N1022" s="126">
        <f t="shared" si="423"/>
        <v>249000000</v>
      </c>
      <c r="O1022" s="89">
        <f t="shared" si="417"/>
        <v>387000000</v>
      </c>
      <c r="P1022" s="65"/>
      <c r="Q1022" s="104"/>
      <c r="R1022" s="65"/>
      <c r="S1022" s="65"/>
      <c r="T1022" s="65"/>
      <c r="U1022" s="65"/>
      <c r="V1022" s="65"/>
      <c r="W1022" s="65"/>
      <c r="X1022" s="65"/>
      <c r="Y1022" s="65"/>
      <c r="Z1022" s="65"/>
      <c r="AA1022" s="65"/>
      <c r="AB1022" s="65"/>
      <c r="AC1022" s="65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BH1022" s="65"/>
      <c r="BI1022" s="65"/>
      <c r="BJ1022" s="65"/>
      <c r="BK1022" s="65"/>
      <c r="BL1022" s="65"/>
      <c r="BM1022" s="65"/>
      <c r="BN1022" s="65"/>
      <c r="BO1022" s="65"/>
      <c r="BP1022" s="65"/>
      <c r="BQ1022" s="65"/>
      <c r="BR1022" s="65"/>
      <c r="BS1022" s="65"/>
      <c r="BT1022" s="65"/>
      <c r="BU1022" s="65"/>
      <c r="BV1022" s="65"/>
    </row>
    <row r="1023" spans="1:74" s="66" customFormat="1" ht="31.5" x14ac:dyDescent="0.2">
      <c r="A1023" s="77" t="s">
        <v>1105</v>
      </c>
      <c r="B1023" s="75" t="s">
        <v>1106</v>
      </c>
      <c r="C1023" s="126">
        <f>SUM(C1024:C1026)</f>
        <v>0</v>
      </c>
      <c r="D1023" s="126">
        <f t="shared" ref="D1023:M1023" si="424">SUM(D1024:D1026)</f>
        <v>0</v>
      </c>
      <c r="E1023" s="126">
        <f t="shared" si="424"/>
        <v>0</v>
      </c>
      <c r="F1023" s="126">
        <f t="shared" si="424"/>
        <v>0</v>
      </c>
      <c r="G1023" s="126">
        <f t="shared" si="424"/>
        <v>0</v>
      </c>
      <c r="H1023" s="126">
        <f t="shared" si="424"/>
        <v>0</v>
      </c>
      <c r="I1023" s="126">
        <f t="shared" si="424"/>
        <v>0</v>
      </c>
      <c r="J1023" s="126">
        <f t="shared" si="424"/>
        <v>0</v>
      </c>
      <c r="K1023" s="126">
        <f t="shared" si="424"/>
        <v>138000000</v>
      </c>
      <c r="L1023" s="126">
        <f t="shared" si="424"/>
        <v>0</v>
      </c>
      <c r="M1023" s="126">
        <f t="shared" si="424"/>
        <v>0</v>
      </c>
      <c r="N1023" s="126">
        <f>SUM(N1024:N1026)</f>
        <v>249000000</v>
      </c>
      <c r="O1023" s="89">
        <f t="shared" si="417"/>
        <v>387000000</v>
      </c>
      <c r="P1023" s="65"/>
      <c r="Q1023" s="104"/>
      <c r="R1023" s="65"/>
      <c r="S1023" s="65"/>
      <c r="T1023" s="65"/>
      <c r="U1023" s="65"/>
      <c r="V1023" s="65"/>
      <c r="W1023" s="65"/>
      <c r="X1023" s="65"/>
      <c r="Y1023" s="65"/>
      <c r="Z1023" s="65"/>
      <c r="AA1023" s="65"/>
      <c r="AB1023" s="65"/>
      <c r="AC1023" s="65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  <c r="BT1023" s="65"/>
      <c r="BU1023" s="65"/>
      <c r="BV1023" s="65"/>
    </row>
    <row r="1024" spans="1:74" s="66" customFormat="1" ht="28.5" x14ac:dyDescent="0.2">
      <c r="A1024" s="72" t="s">
        <v>1107</v>
      </c>
      <c r="B1024" s="73" t="s">
        <v>1108</v>
      </c>
      <c r="C1024" s="127"/>
      <c r="D1024" s="127"/>
      <c r="E1024" s="127"/>
      <c r="F1024" s="127"/>
      <c r="G1024" s="127"/>
      <c r="H1024" s="127"/>
      <c r="I1024" s="127"/>
      <c r="J1024" s="127"/>
      <c r="K1024" s="127"/>
      <c r="L1024" s="127"/>
      <c r="M1024" s="127"/>
      <c r="N1024" s="127"/>
      <c r="O1024" s="89">
        <f t="shared" si="417"/>
        <v>0</v>
      </c>
      <c r="P1024" s="65"/>
      <c r="Q1024" s="104"/>
      <c r="R1024" s="65"/>
      <c r="S1024" s="65"/>
      <c r="T1024" s="65"/>
      <c r="U1024" s="65"/>
      <c r="V1024" s="65"/>
      <c r="W1024" s="65"/>
      <c r="X1024" s="65"/>
      <c r="Y1024" s="65"/>
      <c r="Z1024" s="65"/>
      <c r="AA1024" s="65"/>
      <c r="AB1024" s="65"/>
      <c r="AC1024" s="65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  <c r="BT1024" s="65"/>
      <c r="BU1024" s="65"/>
      <c r="BV1024" s="65"/>
    </row>
    <row r="1025" spans="1:74" s="66" customFormat="1" ht="28.5" x14ac:dyDescent="0.2">
      <c r="A1025" s="72" t="s">
        <v>1107</v>
      </c>
      <c r="B1025" s="73" t="s">
        <v>1108</v>
      </c>
      <c r="C1025" s="127"/>
      <c r="D1025" s="127"/>
      <c r="E1025" s="127"/>
      <c r="F1025" s="127"/>
      <c r="G1025" s="127"/>
      <c r="H1025" s="127"/>
      <c r="I1025" s="127"/>
      <c r="J1025" s="127"/>
      <c r="K1025" s="127"/>
      <c r="L1025" s="127"/>
      <c r="M1025" s="127"/>
      <c r="N1025" s="127">
        <v>249000000</v>
      </c>
      <c r="O1025" s="89">
        <f t="shared" si="417"/>
        <v>249000000</v>
      </c>
      <c r="P1025" s="65"/>
      <c r="Q1025" s="104"/>
      <c r="R1025" s="65"/>
      <c r="S1025" s="65"/>
      <c r="T1025" s="65"/>
      <c r="U1025" s="65"/>
      <c r="V1025" s="65"/>
      <c r="W1025" s="65"/>
      <c r="X1025" s="65"/>
      <c r="Y1025" s="65"/>
      <c r="Z1025" s="65"/>
      <c r="AA1025" s="65"/>
      <c r="AB1025" s="65"/>
      <c r="AC1025" s="65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  <c r="BT1025" s="65"/>
      <c r="BU1025" s="65"/>
      <c r="BV1025" s="65"/>
    </row>
    <row r="1026" spans="1:74" s="66" customFormat="1" ht="28.5" x14ac:dyDescent="0.2">
      <c r="A1026" s="72" t="s">
        <v>1107</v>
      </c>
      <c r="B1026" s="73" t="s">
        <v>1108</v>
      </c>
      <c r="C1026" s="127"/>
      <c r="D1026" s="127"/>
      <c r="E1026" s="127"/>
      <c r="F1026" s="127"/>
      <c r="G1026" s="127"/>
      <c r="H1026" s="127"/>
      <c r="I1026" s="127"/>
      <c r="J1026" s="127"/>
      <c r="K1026" s="127">
        <v>138000000</v>
      </c>
      <c r="L1026" s="127"/>
      <c r="M1026" s="127"/>
      <c r="N1026" s="127"/>
      <c r="O1026" s="89">
        <f t="shared" si="417"/>
        <v>138000000</v>
      </c>
      <c r="P1026" s="65"/>
      <c r="Q1026" s="104"/>
      <c r="R1026" s="65"/>
      <c r="S1026" s="65"/>
      <c r="T1026" s="65"/>
      <c r="U1026" s="65"/>
      <c r="V1026" s="65"/>
      <c r="W1026" s="65"/>
      <c r="X1026" s="65"/>
      <c r="Y1026" s="65"/>
      <c r="Z1026" s="65"/>
      <c r="AA1026" s="65"/>
      <c r="AB1026" s="65"/>
      <c r="AC1026" s="65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  <c r="BH1026" s="65"/>
      <c r="BI1026" s="65"/>
      <c r="BJ1026" s="65"/>
      <c r="BK1026" s="65"/>
      <c r="BL1026" s="65"/>
      <c r="BM1026" s="65"/>
      <c r="BN1026" s="65"/>
      <c r="BO1026" s="65"/>
      <c r="BP1026" s="65"/>
      <c r="BQ1026" s="65"/>
      <c r="BR1026" s="65"/>
      <c r="BS1026" s="65"/>
      <c r="BT1026" s="65"/>
      <c r="BU1026" s="65"/>
      <c r="BV1026" s="65"/>
    </row>
    <row r="1027" spans="1:74" s="66" customFormat="1" ht="15.75" x14ac:dyDescent="0.2">
      <c r="A1027" s="77" t="s">
        <v>821</v>
      </c>
      <c r="B1027" s="75" t="s">
        <v>1202</v>
      </c>
      <c r="C1027" s="126">
        <f>+C1028</f>
        <v>0</v>
      </c>
      <c r="D1027" s="126">
        <f t="shared" ref="D1027:N1028" si="425">+D1028</f>
        <v>0</v>
      </c>
      <c r="E1027" s="126">
        <f t="shared" si="425"/>
        <v>288000000</v>
      </c>
      <c r="F1027" s="126">
        <f t="shared" si="425"/>
        <v>0</v>
      </c>
      <c r="G1027" s="126">
        <f t="shared" si="425"/>
        <v>20941094602.32</v>
      </c>
      <c r="H1027" s="126">
        <f t="shared" si="425"/>
        <v>0</v>
      </c>
      <c r="I1027" s="126">
        <f t="shared" si="425"/>
        <v>0</v>
      </c>
      <c r="J1027" s="126">
        <f t="shared" si="425"/>
        <v>0</v>
      </c>
      <c r="K1027" s="126">
        <f t="shared" si="425"/>
        <v>0</v>
      </c>
      <c r="L1027" s="126">
        <f t="shared" si="425"/>
        <v>0</v>
      </c>
      <c r="M1027" s="126">
        <f t="shared" si="425"/>
        <v>0</v>
      </c>
      <c r="N1027" s="126">
        <f t="shared" si="425"/>
        <v>0</v>
      </c>
      <c r="O1027" s="89">
        <f t="shared" si="417"/>
        <v>21229094602.32</v>
      </c>
      <c r="P1027" s="65"/>
      <c r="Q1027" s="104"/>
      <c r="R1027" s="65"/>
      <c r="S1027" s="65"/>
      <c r="T1027" s="65"/>
      <c r="U1027" s="65"/>
      <c r="V1027" s="65"/>
      <c r="W1027" s="65"/>
      <c r="X1027" s="65"/>
      <c r="Y1027" s="65"/>
      <c r="Z1027" s="65"/>
      <c r="AA1027" s="65"/>
      <c r="AB1027" s="65"/>
      <c r="AC1027" s="65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  <c r="BH1027" s="65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  <c r="BT1027" s="65"/>
      <c r="BU1027" s="65"/>
      <c r="BV1027" s="65"/>
    </row>
    <row r="1028" spans="1:74" s="66" customFormat="1" ht="15.75" x14ac:dyDescent="0.2">
      <c r="A1028" s="77" t="s">
        <v>822</v>
      </c>
      <c r="B1028" s="75" t="s">
        <v>1203</v>
      </c>
      <c r="C1028" s="126">
        <f>+C1029</f>
        <v>0</v>
      </c>
      <c r="D1028" s="126">
        <f t="shared" si="425"/>
        <v>0</v>
      </c>
      <c r="E1028" s="126">
        <f t="shared" si="425"/>
        <v>288000000</v>
      </c>
      <c r="F1028" s="126">
        <f t="shared" si="425"/>
        <v>0</v>
      </c>
      <c r="G1028" s="126">
        <f t="shared" si="425"/>
        <v>20941094602.32</v>
      </c>
      <c r="H1028" s="126">
        <f t="shared" si="425"/>
        <v>0</v>
      </c>
      <c r="I1028" s="126">
        <f t="shared" si="425"/>
        <v>0</v>
      </c>
      <c r="J1028" s="126">
        <f t="shared" si="425"/>
        <v>0</v>
      </c>
      <c r="K1028" s="126">
        <f t="shared" si="425"/>
        <v>0</v>
      </c>
      <c r="L1028" s="126">
        <f t="shared" si="425"/>
        <v>0</v>
      </c>
      <c r="M1028" s="126">
        <f t="shared" si="425"/>
        <v>0</v>
      </c>
      <c r="N1028" s="126">
        <f t="shared" si="425"/>
        <v>0</v>
      </c>
      <c r="O1028" s="89">
        <f t="shared" si="417"/>
        <v>21229094602.32</v>
      </c>
      <c r="P1028" s="65"/>
      <c r="Q1028" s="104"/>
      <c r="R1028" s="65"/>
      <c r="S1028" s="65"/>
      <c r="T1028" s="65"/>
      <c r="U1028" s="65"/>
      <c r="V1028" s="65"/>
      <c r="W1028" s="65"/>
      <c r="X1028" s="65"/>
      <c r="Y1028" s="65"/>
      <c r="Z1028" s="65"/>
      <c r="AA1028" s="65"/>
      <c r="AB1028" s="65"/>
      <c r="AC1028" s="65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  <c r="BV1028" s="65"/>
    </row>
    <row r="1029" spans="1:74" s="66" customFormat="1" ht="15.75" x14ac:dyDescent="0.2">
      <c r="A1029" s="77" t="s">
        <v>1122</v>
      </c>
      <c r="B1029" s="75" t="s">
        <v>1204</v>
      </c>
      <c r="C1029" s="126">
        <f>SUM(C1030:C1077)</f>
        <v>0</v>
      </c>
      <c r="D1029" s="126">
        <f t="shared" ref="D1029:N1029" si="426">SUM(D1030:D1077)</f>
        <v>0</v>
      </c>
      <c r="E1029" s="126">
        <f t="shared" si="426"/>
        <v>288000000</v>
      </c>
      <c r="F1029" s="126">
        <f t="shared" si="426"/>
        <v>0</v>
      </c>
      <c r="G1029" s="126">
        <f t="shared" si="426"/>
        <v>20941094602.32</v>
      </c>
      <c r="H1029" s="126">
        <f t="shared" si="426"/>
        <v>0</v>
      </c>
      <c r="I1029" s="126">
        <f t="shared" si="426"/>
        <v>0</v>
      </c>
      <c r="J1029" s="126">
        <f t="shared" si="426"/>
        <v>0</v>
      </c>
      <c r="K1029" s="126">
        <f t="shared" si="426"/>
        <v>0</v>
      </c>
      <c r="L1029" s="126">
        <f t="shared" si="426"/>
        <v>0</v>
      </c>
      <c r="M1029" s="126">
        <f t="shared" si="426"/>
        <v>0</v>
      </c>
      <c r="N1029" s="126">
        <f t="shared" si="426"/>
        <v>0</v>
      </c>
      <c r="O1029" s="89">
        <f t="shared" si="417"/>
        <v>21229094602.32</v>
      </c>
      <c r="P1029" s="65"/>
      <c r="Q1029" s="104"/>
      <c r="R1029" s="65"/>
      <c r="S1029" s="65"/>
      <c r="T1029" s="65"/>
      <c r="U1029" s="65"/>
      <c r="V1029" s="65"/>
      <c r="W1029" s="65"/>
      <c r="X1029" s="65"/>
      <c r="Y1029" s="65"/>
      <c r="Z1029" s="65"/>
      <c r="AA1029" s="65"/>
      <c r="AB1029" s="65"/>
      <c r="AC1029" s="65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  <c r="BH1029" s="65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  <c r="BT1029" s="65"/>
      <c r="BU1029" s="65"/>
      <c r="BV1029" s="65"/>
    </row>
    <row r="1030" spans="1:74" s="66" customFormat="1" ht="15" x14ac:dyDescent="0.2">
      <c r="A1030" s="72" t="s">
        <v>1205</v>
      </c>
      <c r="B1030" s="73" t="s">
        <v>1804</v>
      </c>
      <c r="C1030" s="128"/>
      <c r="D1030" s="128"/>
      <c r="E1030" s="128"/>
      <c r="F1030" s="128"/>
      <c r="G1030" s="128">
        <v>2077475000</v>
      </c>
      <c r="H1030" s="128"/>
      <c r="I1030" s="128"/>
      <c r="J1030" s="128"/>
      <c r="K1030" s="128"/>
      <c r="L1030" s="128"/>
      <c r="M1030" s="128"/>
      <c r="N1030" s="128"/>
      <c r="O1030" s="89">
        <f t="shared" si="417"/>
        <v>2077475000</v>
      </c>
      <c r="P1030" s="65"/>
      <c r="Q1030" s="101"/>
      <c r="R1030" s="65"/>
      <c r="S1030" s="65"/>
      <c r="T1030" s="65"/>
      <c r="U1030" s="65"/>
      <c r="V1030" s="65"/>
      <c r="W1030" s="65"/>
      <c r="X1030" s="65"/>
      <c r="Y1030" s="65"/>
      <c r="Z1030" s="65"/>
      <c r="AA1030" s="65"/>
      <c r="AB1030" s="65"/>
      <c r="AC1030" s="65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  <c r="BH1030" s="65"/>
      <c r="BI1030" s="65"/>
      <c r="BJ1030" s="65"/>
      <c r="BK1030" s="65"/>
      <c r="BL1030" s="65"/>
      <c r="BM1030" s="65"/>
      <c r="BN1030" s="65"/>
      <c r="BO1030" s="65"/>
      <c r="BP1030" s="65"/>
      <c r="BQ1030" s="65"/>
      <c r="BR1030" s="65"/>
      <c r="BS1030" s="65"/>
      <c r="BT1030" s="65"/>
      <c r="BU1030" s="65"/>
      <c r="BV1030" s="65"/>
    </row>
    <row r="1031" spans="1:74" s="66" customFormat="1" ht="15" x14ac:dyDescent="0.2">
      <c r="A1031" s="72" t="s">
        <v>1205</v>
      </c>
      <c r="B1031" s="73" t="s">
        <v>1804</v>
      </c>
      <c r="C1031" s="128"/>
      <c r="D1031" s="128"/>
      <c r="E1031" s="128"/>
      <c r="F1031" s="128"/>
      <c r="G1031" s="128">
        <v>31470991.93</v>
      </c>
      <c r="H1031" s="128"/>
      <c r="I1031" s="128"/>
      <c r="J1031" s="128"/>
      <c r="K1031" s="128"/>
      <c r="L1031" s="128"/>
      <c r="M1031" s="128"/>
      <c r="N1031" s="128"/>
      <c r="O1031" s="89">
        <f t="shared" si="417"/>
        <v>31470991.93</v>
      </c>
      <c r="P1031" s="65"/>
      <c r="Q1031" s="101"/>
      <c r="R1031" s="65"/>
      <c r="S1031" s="65"/>
      <c r="T1031" s="65"/>
      <c r="U1031" s="65"/>
      <c r="V1031" s="65"/>
      <c r="W1031" s="65"/>
      <c r="X1031" s="65"/>
      <c r="Y1031" s="65"/>
      <c r="Z1031" s="65"/>
      <c r="AA1031" s="65"/>
      <c r="AB1031" s="65"/>
      <c r="AC1031" s="65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  <c r="BH1031" s="65"/>
      <c r="BI1031" s="65"/>
      <c r="BJ1031" s="65"/>
      <c r="BK1031" s="65"/>
      <c r="BL1031" s="65"/>
      <c r="BM1031" s="65"/>
      <c r="BN1031" s="65"/>
      <c r="BO1031" s="65"/>
      <c r="BP1031" s="65"/>
      <c r="BQ1031" s="65"/>
      <c r="BR1031" s="65"/>
      <c r="BS1031" s="65"/>
      <c r="BT1031" s="65"/>
      <c r="BU1031" s="65"/>
      <c r="BV1031" s="65"/>
    </row>
    <row r="1032" spans="1:74" s="66" customFormat="1" ht="15" x14ac:dyDescent="0.2">
      <c r="A1032" s="72" t="s">
        <v>1205</v>
      </c>
      <c r="B1032" s="73" t="s">
        <v>1206</v>
      </c>
      <c r="C1032" s="128"/>
      <c r="D1032" s="128"/>
      <c r="E1032" s="128"/>
      <c r="F1032" s="128"/>
      <c r="G1032" s="128">
        <v>1759084388.54</v>
      </c>
      <c r="H1032" s="128"/>
      <c r="I1032" s="128"/>
      <c r="J1032" s="128"/>
      <c r="K1032" s="128"/>
      <c r="L1032" s="128"/>
      <c r="M1032" s="128"/>
      <c r="N1032" s="128"/>
      <c r="O1032" s="89">
        <f t="shared" si="417"/>
        <v>1759084388.54</v>
      </c>
      <c r="P1032" s="65"/>
      <c r="Q1032" s="101"/>
      <c r="R1032" s="65"/>
      <c r="S1032" s="65"/>
      <c r="T1032" s="65"/>
      <c r="U1032" s="65"/>
      <c r="V1032" s="65"/>
      <c r="W1032" s="65"/>
      <c r="X1032" s="65"/>
      <c r="Y1032" s="65"/>
      <c r="Z1032" s="65"/>
      <c r="AA1032" s="65"/>
      <c r="AB1032" s="65"/>
      <c r="AC1032" s="65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/>
      <c r="BI1032" s="65"/>
      <c r="BJ1032" s="65"/>
      <c r="BK1032" s="65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  <c r="BV1032" s="65"/>
    </row>
    <row r="1033" spans="1:74" s="66" customFormat="1" ht="29.25" customHeight="1" x14ac:dyDescent="0.2">
      <c r="A1033" s="72" t="s">
        <v>1205</v>
      </c>
      <c r="B1033" s="73" t="s">
        <v>1206</v>
      </c>
      <c r="C1033" s="127"/>
      <c r="D1033" s="127"/>
      <c r="E1033" s="127">
        <v>288000000</v>
      </c>
      <c r="F1033" s="127"/>
      <c r="G1033" s="127"/>
      <c r="H1033" s="127"/>
      <c r="I1033" s="127"/>
      <c r="J1033" s="127"/>
      <c r="K1033" s="127"/>
      <c r="L1033" s="127"/>
      <c r="M1033" s="127"/>
      <c r="N1033" s="127"/>
      <c r="O1033" s="89">
        <f t="shared" si="417"/>
        <v>288000000</v>
      </c>
      <c r="P1033" s="65"/>
      <c r="Q1033" s="101"/>
      <c r="R1033" s="65"/>
      <c r="S1033" s="65"/>
      <c r="T1033" s="65"/>
      <c r="U1033" s="65"/>
      <c r="V1033" s="65"/>
      <c r="W1033" s="65"/>
      <c r="X1033" s="65"/>
      <c r="Y1033" s="65"/>
      <c r="Z1033" s="65"/>
      <c r="AA1033" s="65"/>
      <c r="AB1033" s="65"/>
      <c r="AC1033" s="65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/>
      <c r="BI1033" s="65"/>
      <c r="BJ1033" s="65"/>
      <c r="BK1033" s="65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  <c r="BV1033" s="65"/>
    </row>
    <row r="1034" spans="1:74" s="66" customFormat="1" ht="15" x14ac:dyDescent="0.2">
      <c r="A1034" s="72" t="s">
        <v>1205</v>
      </c>
      <c r="B1034" s="73" t="s">
        <v>1804</v>
      </c>
      <c r="C1034" s="127"/>
      <c r="D1034" s="127"/>
      <c r="E1034" s="127"/>
      <c r="F1034" s="127"/>
      <c r="G1034" s="127">
        <v>92490395.019999996</v>
      </c>
      <c r="H1034" s="127"/>
      <c r="I1034" s="127"/>
      <c r="J1034" s="127"/>
      <c r="K1034" s="127"/>
      <c r="L1034" s="127"/>
      <c r="M1034" s="127"/>
      <c r="N1034" s="127"/>
      <c r="O1034" s="89">
        <f t="shared" si="417"/>
        <v>92490395.019999996</v>
      </c>
      <c r="P1034" s="65"/>
      <c r="Q1034" s="101"/>
      <c r="R1034" s="65"/>
      <c r="S1034" s="65"/>
      <c r="T1034" s="65"/>
      <c r="U1034" s="65"/>
      <c r="V1034" s="65"/>
      <c r="W1034" s="65"/>
      <c r="X1034" s="65"/>
      <c r="Y1034" s="65"/>
      <c r="Z1034" s="65"/>
      <c r="AA1034" s="65"/>
      <c r="AB1034" s="65"/>
      <c r="AC1034" s="65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/>
      <c r="BI1034" s="65"/>
      <c r="BJ1034" s="65"/>
      <c r="BK1034" s="65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  <c r="BV1034" s="65"/>
    </row>
    <row r="1035" spans="1:74" s="66" customFormat="1" ht="15" x14ac:dyDescent="0.2">
      <c r="A1035" s="72" t="s">
        <v>1205</v>
      </c>
      <c r="B1035" s="73" t="s">
        <v>1804</v>
      </c>
      <c r="C1035" s="127"/>
      <c r="D1035" s="127"/>
      <c r="E1035" s="127"/>
      <c r="F1035" s="127"/>
      <c r="G1035" s="127">
        <v>598205.68000000005</v>
      </c>
      <c r="H1035" s="127"/>
      <c r="I1035" s="127"/>
      <c r="J1035" s="127"/>
      <c r="K1035" s="127"/>
      <c r="L1035" s="127"/>
      <c r="M1035" s="127"/>
      <c r="N1035" s="127"/>
      <c r="O1035" s="89">
        <f t="shared" si="417"/>
        <v>598205.68000000005</v>
      </c>
      <c r="P1035" s="65"/>
      <c r="Q1035" s="101"/>
      <c r="R1035" s="65"/>
      <c r="S1035" s="65"/>
      <c r="T1035" s="65"/>
      <c r="U1035" s="65"/>
      <c r="V1035" s="65"/>
      <c r="W1035" s="65"/>
      <c r="X1035" s="65"/>
      <c r="Y1035" s="65"/>
      <c r="Z1035" s="65"/>
      <c r="AA1035" s="65"/>
      <c r="AB1035" s="65"/>
      <c r="AC1035" s="65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</row>
    <row r="1036" spans="1:74" s="66" customFormat="1" ht="15" x14ac:dyDescent="0.2">
      <c r="A1036" s="72" t="s">
        <v>1205</v>
      </c>
      <c r="B1036" s="73" t="s">
        <v>1804</v>
      </c>
      <c r="C1036" s="127"/>
      <c r="D1036" s="127"/>
      <c r="E1036" s="127"/>
      <c r="F1036" s="127"/>
      <c r="G1036" s="127">
        <v>29308033</v>
      </c>
      <c r="H1036" s="127"/>
      <c r="I1036" s="127"/>
      <c r="J1036" s="127"/>
      <c r="K1036" s="127"/>
      <c r="L1036" s="127"/>
      <c r="M1036" s="127"/>
      <c r="N1036" s="127"/>
      <c r="O1036" s="89">
        <f t="shared" si="417"/>
        <v>29308033</v>
      </c>
      <c r="P1036" s="65"/>
      <c r="Q1036" s="101"/>
      <c r="R1036" s="65"/>
      <c r="S1036" s="65"/>
      <c r="T1036" s="65"/>
      <c r="U1036" s="65"/>
      <c r="V1036" s="65"/>
      <c r="W1036" s="65"/>
      <c r="X1036" s="65"/>
      <c r="Y1036" s="65"/>
      <c r="Z1036" s="65"/>
      <c r="AA1036" s="65"/>
      <c r="AB1036" s="65"/>
      <c r="AC1036" s="65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/>
      <c r="BI1036" s="65"/>
      <c r="BJ1036" s="65"/>
      <c r="BK1036" s="65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  <c r="BV1036" s="65"/>
    </row>
    <row r="1037" spans="1:74" s="66" customFormat="1" ht="15" x14ac:dyDescent="0.2">
      <c r="A1037" s="72" t="s">
        <v>1205</v>
      </c>
      <c r="B1037" s="73" t="s">
        <v>1804</v>
      </c>
      <c r="C1037" s="127"/>
      <c r="D1037" s="127"/>
      <c r="E1037" s="127"/>
      <c r="F1037" s="127"/>
      <c r="G1037" s="127">
        <v>153078510.40000001</v>
      </c>
      <c r="H1037" s="127"/>
      <c r="I1037" s="127"/>
      <c r="J1037" s="127"/>
      <c r="K1037" s="127"/>
      <c r="L1037" s="127"/>
      <c r="M1037" s="127"/>
      <c r="N1037" s="127"/>
      <c r="O1037" s="89">
        <f t="shared" si="417"/>
        <v>153078510.40000001</v>
      </c>
      <c r="P1037" s="65"/>
      <c r="Q1037" s="101"/>
      <c r="R1037" s="65"/>
      <c r="S1037" s="65"/>
      <c r="T1037" s="65"/>
      <c r="U1037" s="65"/>
      <c r="V1037" s="65"/>
      <c r="W1037" s="65"/>
      <c r="X1037" s="65"/>
      <c r="Y1037" s="65"/>
      <c r="Z1037" s="65"/>
      <c r="AA1037" s="65"/>
      <c r="AB1037" s="65"/>
      <c r="AC1037" s="65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  <c r="BH1037" s="65"/>
      <c r="BI1037" s="65"/>
      <c r="BJ1037" s="65"/>
      <c r="BK1037" s="65"/>
      <c r="BL1037" s="65"/>
      <c r="BM1037" s="65"/>
      <c r="BN1037" s="65"/>
      <c r="BO1037" s="65"/>
      <c r="BP1037" s="65"/>
      <c r="BQ1037" s="65"/>
      <c r="BR1037" s="65"/>
      <c r="BS1037" s="65"/>
      <c r="BT1037" s="65"/>
      <c r="BU1037" s="65"/>
      <c r="BV1037" s="65"/>
    </row>
    <row r="1038" spans="1:74" s="66" customFormat="1" ht="42.75" x14ac:dyDescent="0.2">
      <c r="A1038" s="72" t="s">
        <v>1805</v>
      </c>
      <c r="B1038" s="73" t="s">
        <v>1806</v>
      </c>
      <c r="C1038" s="127"/>
      <c r="D1038" s="127"/>
      <c r="E1038" s="127"/>
      <c r="F1038" s="127"/>
      <c r="G1038" s="127">
        <v>415910804.39999998</v>
      </c>
      <c r="H1038" s="127"/>
      <c r="I1038" s="127"/>
      <c r="J1038" s="127"/>
      <c r="K1038" s="127"/>
      <c r="L1038" s="127"/>
      <c r="M1038" s="127"/>
      <c r="N1038" s="127"/>
      <c r="O1038" s="89">
        <f t="shared" si="417"/>
        <v>415910804.39999998</v>
      </c>
      <c r="P1038" s="65"/>
      <c r="Q1038" s="101"/>
      <c r="R1038" s="65"/>
      <c r="S1038" s="65"/>
      <c r="T1038" s="65"/>
      <c r="U1038" s="65"/>
      <c r="V1038" s="65"/>
      <c r="W1038" s="65"/>
      <c r="X1038" s="65"/>
      <c r="Y1038" s="65"/>
      <c r="Z1038" s="65"/>
      <c r="AA1038" s="65"/>
      <c r="AB1038" s="65"/>
      <c r="AC1038" s="65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  <c r="BH1038" s="65"/>
      <c r="BI1038" s="65"/>
      <c r="BJ1038" s="65"/>
      <c r="BK1038" s="65"/>
      <c r="BL1038" s="65"/>
      <c r="BM1038" s="65"/>
      <c r="BN1038" s="65"/>
      <c r="BO1038" s="65"/>
      <c r="BP1038" s="65"/>
      <c r="BQ1038" s="65"/>
      <c r="BR1038" s="65"/>
      <c r="BS1038" s="65"/>
      <c r="BT1038" s="65"/>
      <c r="BU1038" s="65"/>
      <c r="BV1038" s="65"/>
    </row>
    <row r="1039" spans="1:74" s="66" customFormat="1" ht="42.75" x14ac:dyDescent="0.2">
      <c r="A1039" s="72" t="s">
        <v>1805</v>
      </c>
      <c r="B1039" s="73" t="s">
        <v>1806</v>
      </c>
      <c r="C1039" s="127"/>
      <c r="D1039" s="127"/>
      <c r="E1039" s="127"/>
      <c r="F1039" s="127"/>
      <c r="G1039" s="127">
        <v>500000</v>
      </c>
      <c r="H1039" s="127"/>
      <c r="I1039" s="127"/>
      <c r="J1039" s="127"/>
      <c r="K1039" s="127"/>
      <c r="L1039" s="127"/>
      <c r="M1039" s="127"/>
      <c r="N1039" s="127"/>
      <c r="O1039" s="89">
        <f t="shared" si="417"/>
        <v>500000</v>
      </c>
      <c r="P1039" s="65"/>
      <c r="Q1039" s="101"/>
      <c r="R1039" s="65"/>
      <c r="S1039" s="65"/>
      <c r="T1039" s="65"/>
      <c r="U1039" s="65"/>
      <c r="V1039" s="65"/>
      <c r="W1039" s="65"/>
      <c r="X1039" s="65"/>
      <c r="Y1039" s="65"/>
      <c r="Z1039" s="65"/>
      <c r="AA1039" s="65"/>
      <c r="AB1039" s="65"/>
      <c r="AC1039" s="65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  <c r="BH1039" s="65"/>
      <c r="BI1039" s="65"/>
      <c r="BJ1039" s="65"/>
      <c r="BK1039" s="65"/>
      <c r="BL1039" s="65"/>
      <c r="BM1039" s="65"/>
      <c r="BN1039" s="65"/>
      <c r="BO1039" s="65"/>
      <c r="BP1039" s="65"/>
      <c r="BQ1039" s="65"/>
      <c r="BR1039" s="65"/>
      <c r="BS1039" s="65"/>
      <c r="BT1039" s="65"/>
      <c r="BU1039" s="65"/>
      <c r="BV1039" s="65"/>
    </row>
    <row r="1040" spans="1:74" s="66" customFormat="1" ht="42.75" x14ac:dyDescent="0.2">
      <c r="A1040" s="72" t="s">
        <v>1805</v>
      </c>
      <c r="B1040" s="73" t="s">
        <v>1806</v>
      </c>
      <c r="C1040" s="127"/>
      <c r="D1040" s="127"/>
      <c r="E1040" s="127"/>
      <c r="F1040" s="127"/>
      <c r="G1040" s="127">
        <v>1050628298</v>
      </c>
      <c r="H1040" s="127"/>
      <c r="I1040" s="127"/>
      <c r="J1040" s="127"/>
      <c r="K1040" s="127"/>
      <c r="L1040" s="127"/>
      <c r="M1040" s="127"/>
      <c r="N1040" s="127"/>
      <c r="O1040" s="89">
        <f t="shared" si="417"/>
        <v>1050628298</v>
      </c>
      <c r="P1040" s="65"/>
      <c r="Q1040" s="101"/>
      <c r="R1040" s="65"/>
      <c r="S1040" s="65"/>
      <c r="T1040" s="65"/>
      <c r="U1040" s="65"/>
      <c r="V1040" s="65"/>
      <c r="W1040" s="65"/>
      <c r="X1040" s="65"/>
      <c r="Y1040" s="65"/>
      <c r="Z1040" s="65"/>
      <c r="AA1040" s="65"/>
      <c r="AB1040" s="65"/>
      <c r="AC1040" s="65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/>
      <c r="BI1040" s="65"/>
      <c r="BJ1040" s="65"/>
      <c r="BK1040" s="65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  <c r="BV1040" s="65"/>
    </row>
    <row r="1041" spans="1:74" s="66" customFormat="1" ht="42.75" x14ac:dyDescent="0.2">
      <c r="A1041" s="72" t="s">
        <v>1805</v>
      </c>
      <c r="B1041" s="73" t="s">
        <v>1806</v>
      </c>
      <c r="C1041" s="127"/>
      <c r="D1041" s="127"/>
      <c r="E1041" s="127"/>
      <c r="F1041" s="127"/>
      <c r="G1041" s="127">
        <v>326231624</v>
      </c>
      <c r="H1041" s="127"/>
      <c r="I1041" s="127"/>
      <c r="J1041" s="127"/>
      <c r="K1041" s="127"/>
      <c r="L1041" s="127"/>
      <c r="M1041" s="127"/>
      <c r="N1041" s="127"/>
      <c r="O1041" s="89">
        <f t="shared" si="417"/>
        <v>326231624</v>
      </c>
      <c r="P1041" s="65"/>
      <c r="Q1041" s="101"/>
      <c r="R1041" s="65"/>
      <c r="S1041" s="65"/>
      <c r="T1041" s="65"/>
      <c r="U1041" s="65"/>
      <c r="V1041" s="65"/>
      <c r="W1041" s="65"/>
      <c r="X1041" s="65"/>
      <c r="Y1041" s="65"/>
      <c r="Z1041" s="65"/>
      <c r="AA1041" s="65"/>
      <c r="AB1041" s="65"/>
      <c r="AC1041" s="65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/>
      <c r="BI1041" s="65"/>
      <c r="BJ1041" s="65"/>
      <c r="BK1041" s="65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  <c r="BV1041" s="65"/>
    </row>
    <row r="1042" spans="1:74" s="66" customFormat="1" ht="42.75" x14ac:dyDescent="0.2">
      <c r="A1042" s="72" t="s">
        <v>1805</v>
      </c>
      <c r="B1042" s="73" t="s">
        <v>1806</v>
      </c>
      <c r="C1042" s="127"/>
      <c r="D1042" s="127"/>
      <c r="E1042" s="127"/>
      <c r="F1042" s="127"/>
      <c r="G1042" s="127">
        <v>217087307.66999999</v>
      </c>
      <c r="H1042" s="127"/>
      <c r="I1042" s="127"/>
      <c r="J1042" s="127"/>
      <c r="K1042" s="127"/>
      <c r="L1042" s="127"/>
      <c r="M1042" s="127"/>
      <c r="N1042" s="127"/>
      <c r="O1042" s="89">
        <f t="shared" si="417"/>
        <v>217087307.66999999</v>
      </c>
      <c r="P1042" s="65"/>
      <c r="Q1042" s="101"/>
      <c r="R1042" s="65"/>
      <c r="S1042" s="65"/>
      <c r="T1042" s="65"/>
      <c r="U1042" s="65"/>
      <c r="V1042" s="65"/>
      <c r="W1042" s="65"/>
      <c r="X1042" s="65"/>
      <c r="Y1042" s="65"/>
      <c r="Z1042" s="65"/>
      <c r="AA1042" s="65"/>
      <c r="AB1042" s="65"/>
      <c r="AC1042" s="65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</row>
    <row r="1043" spans="1:74" s="66" customFormat="1" ht="42.75" x14ac:dyDescent="0.2">
      <c r="A1043" s="72" t="s">
        <v>1805</v>
      </c>
      <c r="B1043" s="73" t="s">
        <v>1806</v>
      </c>
      <c r="C1043" s="127"/>
      <c r="D1043" s="127"/>
      <c r="E1043" s="127"/>
      <c r="F1043" s="127"/>
      <c r="G1043" s="127">
        <v>300000000</v>
      </c>
      <c r="H1043" s="127"/>
      <c r="I1043" s="127"/>
      <c r="J1043" s="127"/>
      <c r="K1043" s="127"/>
      <c r="L1043" s="127"/>
      <c r="M1043" s="127"/>
      <c r="N1043" s="127"/>
      <c r="O1043" s="89">
        <f t="shared" si="417"/>
        <v>300000000</v>
      </c>
      <c r="P1043" s="65"/>
      <c r="Q1043" s="101"/>
      <c r="R1043" s="65"/>
      <c r="S1043" s="65"/>
      <c r="T1043" s="65"/>
      <c r="U1043" s="65"/>
      <c r="V1043" s="65"/>
      <c r="W1043" s="65"/>
      <c r="X1043" s="65"/>
      <c r="Y1043" s="65"/>
      <c r="Z1043" s="65"/>
      <c r="AA1043" s="65"/>
      <c r="AB1043" s="65"/>
      <c r="AC1043" s="65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  <c r="BH1043" s="65"/>
      <c r="BI1043" s="65"/>
      <c r="BJ1043" s="65"/>
      <c r="BK1043" s="65"/>
      <c r="BL1043" s="65"/>
      <c r="BM1043" s="65"/>
      <c r="BN1043" s="65"/>
      <c r="BO1043" s="65"/>
      <c r="BP1043" s="65"/>
      <c r="BQ1043" s="65"/>
      <c r="BR1043" s="65"/>
      <c r="BS1043" s="65"/>
      <c r="BT1043" s="65"/>
      <c r="BU1043" s="65"/>
      <c r="BV1043" s="65"/>
    </row>
    <row r="1044" spans="1:74" s="66" customFormat="1" ht="42.75" x14ac:dyDescent="0.2">
      <c r="A1044" s="72" t="s">
        <v>1805</v>
      </c>
      <c r="B1044" s="73" t="s">
        <v>1806</v>
      </c>
      <c r="C1044" s="127"/>
      <c r="D1044" s="127"/>
      <c r="E1044" s="127"/>
      <c r="F1044" s="127"/>
      <c r="G1044" s="127">
        <v>112655921</v>
      </c>
      <c r="H1044" s="127"/>
      <c r="I1044" s="127"/>
      <c r="J1044" s="127"/>
      <c r="K1044" s="127"/>
      <c r="L1044" s="127"/>
      <c r="M1044" s="127"/>
      <c r="N1044" s="127"/>
      <c r="O1044" s="89">
        <f t="shared" si="417"/>
        <v>112655921</v>
      </c>
      <c r="P1044" s="65"/>
      <c r="Q1044" s="101"/>
      <c r="R1044" s="65"/>
      <c r="S1044" s="65"/>
      <c r="T1044" s="65"/>
      <c r="U1044" s="65"/>
      <c r="V1044" s="65"/>
      <c r="W1044" s="65"/>
      <c r="X1044" s="65"/>
      <c r="Y1044" s="65"/>
      <c r="Z1044" s="65"/>
      <c r="AA1044" s="65"/>
      <c r="AB1044" s="65"/>
      <c r="AC1044" s="65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/>
      <c r="BI1044" s="65"/>
      <c r="BJ1044" s="65"/>
      <c r="BK1044" s="65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  <c r="BV1044" s="65"/>
    </row>
    <row r="1045" spans="1:74" s="66" customFormat="1" ht="42.75" x14ac:dyDescent="0.2">
      <c r="A1045" s="72" t="s">
        <v>1805</v>
      </c>
      <c r="B1045" s="73" t="s">
        <v>1806</v>
      </c>
      <c r="C1045" s="127"/>
      <c r="D1045" s="127"/>
      <c r="E1045" s="127"/>
      <c r="F1045" s="127"/>
      <c r="G1045" s="127">
        <v>10937000</v>
      </c>
      <c r="H1045" s="127"/>
      <c r="I1045" s="127"/>
      <c r="J1045" s="127"/>
      <c r="K1045" s="127"/>
      <c r="L1045" s="127"/>
      <c r="M1045" s="127"/>
      <c r="N1045" s="127"/>
      <c r="O1045" s="89">
        <f t="shared" si="417"/>
        <v>10937000</v>
      </c>
      <c r="P1045" s="65"/>
      <c r="Q1045" s="101"/>
      <c r="R1045" s="65"/>
      <c r="S1045" s="65"/>
      <c r="T1045" s="65"/>
      <c r="U1045" s="65"/>
      <c r="V1045" s="65"/>
      <c r="W1045" s="65"/>
      <c r="X1045" s="65"/>
      <c r="Y1045" s="65"/>
      <c r="Z1045" s="65"/>
      <c r="AA1045" s="65"/>
      <c r="AB1045" s="65"/>
      <c r="AC1045" s="65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/>
      <c r="BI1045" s="65"/>
      <c r="BJ1045" s="65"/>
      <c r="BK1045" s="65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  <c r="BV1045" s="65"/>
    </row>
    <row r="1046" spans="1:74" s="66" customFormat="1" ht="42.75" x14ac:dyDescent="0.2">
      <c r="A1046" s="72" t="s">
        <v>1805</v>
      </c>
      <c r="B1046" s="73" t="s">
        <v>1806</v>
      </c>
      <c r="C1046" s="127"/>
      <c r="D1046" s="127"/>
      <c r="E1046" s="127"/>
      <c r="F1046" s="127"/>
      <c r="G1046" s="127">
        <v>1166036001</v>
      </c>
      <c r="H1046" s="127"/>
      <c r="I1046" s="127"/>
      <c r="J1046" s="127"/>
      <c r="K1046" s="127"/>
      <c r="L1046" s="127"/>
      <c r="M1046" s="127"/>
      <c r="N1046" s="127"/>
      <c r="O1046" s="89">
        <f t="shared" si="417"/>
        <v>1166036001</v>
      </c>
      <c r="P1046" s="65"/>
      <c r="Q1046" s="101"/>
      <c r="R1046" s="65"/>
      <c r="S1046" s="65"/>
      <c r="T1046" s="65"/>
      <c r="U1046" s="65"/>
      <c r="V1046" s="65"/>
      <c r="W1046" s="65"/>
      <c r="X1046" s="65"/>
      <c r="Y1046" s="65"/>
      <c r="Z1046" s="65"/>
      <c r="AA1046" s="65"/>
      <c r="AB1046" s="65"/>
      <c r="AC1046" s="65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  <c r="BH1046" s="65"/>
      <c r="BI1046" s="65"/>
      <c r="BJ1046" s="65"/>
      <c r="BK1046" s="65"/>
      <c r="BL1046" s="65"/>
      <c r="BM1046" s="65"/>
      <c r="BN1046" s="65"/>
      <c r="BO1046" s="65"/>
      <c r="BP1046" s="65"/>
      <c r="BQ1046" s="65"/>
      <c r="BR1046" s="65"/>
      <c r="BS1046" s="65"/>
      <c r="BT1046" s="65"/>
      <c r="BU1046" s="65"/>
      <c r="BV1046" s="65"/>
    </row>
    <row r="1047" spans="1:74" s="66" customFormat="1" ht="42.75" x14ac:dyDescent="0.2">
      <c r="A1047" s="72" t="s">
        <v>1805</v>
      </c>
      <c r="B1047" s="73" t="s">
        <v>1806</v>
      </c>
      <c r="C1047" s="127"/>
      <c r="D1047" s="127"/>
      <c r="E1047" s="127"/>
      <c r="F1047" s="127"/>
      <c r="G1047" s="127">
        <v>920162986.5</v>
      </c>
      <c r="H1047" s="127"/>
      <c r="I1047" s="127"/>
      <c r="J1047" s="127"/>
      <c r="K1047" s="127"/>
      <c r="L1047" s="127"/>
      <c r="M1047" s="127"/>
      <c r="N1047" s="127"/>
      <c r="O1047" s="89">
        <f t="shared" si="417"/>
        <v>920162986.5</v>
      </c>
      <c r="P1047" s="65"/>
      <c r="Q1047" s="101"/>
      <c r="R1047" s="65"/>
      <c r="S1047" s="65"/>
      <c r="T1047" s="65"/>
      <c r="U1047" s="65"/>
      <c r="V1047" s="65"/>
      <c r="W1047" s="65"/>
      <c r="X1047" s="65"/>
      <c r="Y1047" s="65"/>
      <c r="Z1047" s="65"/>
      <c r="AA1047" s="65"/>
      <c r="AB1047" s="65"/>
      <c r="AC1047" s="65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  <c r="BH1047" s="65"/>
      <c r="BI1047" s="65"/>
      <c r="BJ1047" s="65"/>
      <c r="BK1047" s="65"/>
      <c r="BL1047" s="65"/>
      <c r="BM1047" s="65"/>
      <c r="BN1047" s="65"/>
      <c r="BO1047" s="65"/>
      <c r="BP1047" s="65"/>
      <c r="BQ1047" s="65"/>
      <c r="BR1047" s="65"/>
      <c r="BS1047" s="65"/>
      <c r="BT1047" s="65"/>
      <c r="BU1047" s="65"/>
      <c r="BV1047" s="65"/>
    </row>
    <row r="1048" spans="1:74" s="66" customFormat="1" ht="28.5" x14ac:dyDescent="0.2">
      <c r="A1048" s="72" t="s">
        <v>1807</v>
      </c>
      <c r="B1048" s="73" t="s">
        <v>1808</v>
      </c>
      <c r="C1048" s="127"/>
      <c r="D1048" s="127"/>
      <c r="E1048" s="127"/>
      <c r="F1048" s="127"/>
      <c r="G1048" s="127">
        <v>2695161841.1199999</v>
      </c>
      <c r="H1048" s="127"/>
      <c r="I1048" s="127"/>
      <c r="J1048" s="127"/>
      <c r="K1048" s="127"/>
      <c r="L1048" s="127"/>
      <c r="M1048" s="127"/>
      <c r="N1048" s="127"/>
      <c r="O1048" s="171">
        <f t="shared" ref="O1048:O1095" si="427">SUM(C1048:N1048)</f>
        <v>2695161841.1199999</v>
      </c>
      <c r="P1048" s="65"/>
      <c r="Q1048" s="101"/>
      <c r="R1048" s="65"/>
      <c r="S1048" s="65"/>
      <c r="T1048" s="65"/>
      <c r="U1048" s="65"/>
      <c r="V1048" s="65"/>
      <c r="W1048" s="65"/>
      <c r="X1048" s="65"/>
      <c r="Y1048" s="65"/>
      <c r="Z1048" s="65"/>
      <c r="AA1048" s="65"/>
      <c r="AB1048" s="65"/>
      <c r="AC1048" s="65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  <c r="BH1048" s="65"/>
      <c r="BI1048" s="65"/>
      <c r="BJ1048" s="65"/>
      <c r="BK1048" s="65"/>
      <c r="BL1048" s="65"/>
      <c r="BM1048" s="65"/>
      <c r="BN1048" s="65"/>
      <c r="BO1048" s="65"/>
      <c r="BP1048" s="65"/>
      <c r="BQ1048" s="65"/>
      <c r="BR1048" s="65"/>
      <c r="BS1048" s="65"/>
      <c r="BT1048" s="65"/>
      <c r="BU1048" s="65"/>
      <c r="BV1048" s="65"/>
    </row>
    <row r="1049" spans="1:74" s="66" customFormat="1" ht="28.5" x14ac:dyDescent="0.2">
      <c r="A1049" s="72" t="s">
        <v>1807</v>
      </c>
      <c r="B1049" s="73" t="s">
        <v>1808</v>
      </c>
      <c r="C1049" s="127"/>
      <c r="D1049" s="127"/>
      <c r="E1049" s="127"/>
      <c r="F1049" s="127"/>
      <c r="G1049" s="127">
        <v>13635000</v>
      </c>
      <c r="H1049" s="127"/>
      <c r="I1049" s="127"/>
      <c r="J1049" s="127"/>
      <c r="K1049" s="127"/>
      <c r="L1049" s="127"/>
      <c r="M1049" s="127"/>
      <c r="N1049" s="127"/>
      <c r="O1049" s="171">
        <f t="shared" si="427"/>
        <v>13635000</v>
      </c>
      <c r="P1049" s="65"/>
      <c r="Q1049" s="101"/>
      <c r="R1049" s="65"/>
      <c r="S1049" s="65"/>
      <c r="T1049" s="65"/>
      <c r="U1049" s="65"/>
      <c r="V1049" s="65"/>
      <c r="W1049" s="65"/>
      <c r="X1049" s="65"/>
      <c r="Y1049" s="65"/>
      <c r="Z1049" s="65"/>
      <c r="AA1049" s="65"/>
      <c r="AB1049" s="65"/>
      <c r="AC1049" s="65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/>
      <c r="BI1049" s="65"/>
      <c r="BJ1049" s="65"/>
      <c r="BK1049" s="65"/>
      <c r="BL1049" s="65"/>
      <c r="BM1049" s="65"/>
      <c r="BN1049" s="65"/>
      <c r="BO1049" s="65"/>
      <c r="BP1049" s="65"/>
      <c r="BQ1049" s="65"/>
      <c r="BR1049" s="65"/>
      <c r="BS1049" s="65"/>
      <c r="BT1049" s="65"/>
      <c r="BU1049" s="65"/>
      <c r="BV1049" s="65"/>
    </row>
    <row r="1050" spans="1:74" s="66" customFormat="1" ht="28.5" x14ac:dyDescent="0.2">
      <c r="A1050" s="72" t="s">
        <v>1807</v>
      </c>
      <c r="B1050" s="73" t="s">
        <v>1808</v>
      </c>
      <c r="C1050" s="127"/>
      <c r="D1050" s="127"/>
      <c r="E1050" s="127"/>
      <c r="F1050" s="127"/>
      <c r="G1050" s="127">
        <v>407273.67</v>
      </c>
      <c r="H1050" s="127"/>
      <c r="I1050" s="127"/>
      <c r="J1050" s="127"/>
      <c r="K1050" s="127"/>
      <c r="L1050" s="127"/>
      <c r="M1050" s="127"/>
      <c r="N1050" s="127"/>
      <c r="O1050" s="171">
        <f t="shared" si="427"/>
        <v>407273.67</v>
      </c>
      <c r="P1050" s="65"/>
      <c r="Q1050" s="101"/>
      <c r="R1050" s="65"/>
      <c r="S1050" s="65"/>
      <c r="T1050" s="65"/>
      <c r="U1050" s="65"/>
      <c r="V1050" s="65"/>
      <c r="W1050" s="65"/>
      <c r="X1050" s="65"/>
      <c r="Y1050" s="65"/>
      <c r="Z1050" s="65"/>
      <c r="AA1050" s="65"/>
      <c r="AB1050" s="65"/>
      <c r="AC1050" s="65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/>
      <c r="BI1050" s="65"/>
      <c r="BJ1050" s="65"/>
      <c r="BK1050" s="65"/>
      <c r="BL1050" s="65"/>
      <c r="BM1050" s="65"/>
      <c r="BN1050" s="65"/>
      <c r="BO1050" s="65"/>
      <c r="BP1050" s="65"/>
      <c r="BQ1050" s="65"/>
      <c r="BR1050" s="65"/>
      <c r="BS1050" s="65"/>
      <c r="BT1050" s="65"/>
      <c r="BU1050" s="65"/>
      <c r="BV1050" s="65"/>
    </row>
    <row r="1051" spans="1:74" s="66" customFormat="1" ht="28.5" x14ac:dyDescent="0.2">
      <c r="A1051" s="72" t="s">
        <v>1807</v>
      </c>
      <c r="B1051" s="73" t="s">
        <v>1808</v>
      </c>
      <c r="C1051" s="127"/>
      <c r="D1051" s="127"/>
      <c r="E1051" s="127"/>
      <c r="F1051" s="127"/>
      <c r="G1051" s="127">
        <v>73280168</v>
      </c>
      <c r="H1051" s="127"/>
      <c r="I1051" s="127"/>
      <c r="J1051" s="127"/>
      <c r="K1051" s="127"/>
      <c r="L1051" s="127"/>
      <c r="M1051" s="127"/>
      <c r="N1051" s="127"/>
      <c r="O1051" s="171">
        <f t="shared" si="427"/>
        <v>73280168</v>
      </c>
      <c r="P1051" s="65"/>
      <c r="Q1051" s="101"/>
      <c r="R1051" s="65"/>
      <c r="S1051" s="65"/>
      <c r="T1051" s="65"/>
      <c r="U1051" s="65"/>
      <c r="V1051" s="65"/>
      <c r="W1051" s="65"/>
      <c r="X1051" s="65"/>
      <c r="Y1051" s="65"/>
      <c r="Z1051" s="65"/>
      <c r="AA1051" s="65"/>
      <c r="AB1051" s="65"/>
      <c r="AC1051" s="65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/>
      <c r="BI1051" s="65"/>
      <c r="BJ1051" s="65"/>
      <c r="BK1051" s="65"/>
      <c r="BL1051" s="65"/>
      <c r="BM1051" s="65"/>
      <c r="BN1051" s="65"/>
      <c r="BO1051" s="65"/>
      <c r="BP1051" s="65"/>
      <c r="BQ1051" s="65"/>
      <c r="BR1051" s="65"/>
      <c r="BS1051" s="65"/>
      <c r="BT1051" s="65"/>
      <c r="BU1051" s="65"/>
      <c r="BV1051" s="65"/>
    </row>
    <row r="1052" spans="1:74" s="66" customFormat="1" ht="28.5" x14ac:dyDescent="0.2">
      <c r="A1052" s="72" t="s">
        <v>1807</v>
      </c>
      <c r="B1052" s="73" t="s">
        <v>1808</v>
      </c>
      <c r="C1052" s="127"/>
      <c r="D1052" s="127"/>
      <c r="E1052" s="127"/>
      <c r="F1052" s="127"/>
      <c r="G1052" s="127">
        <v>450200</v>
      </c>
      <c r="H1052" s="127"/>
      <c r="I1052" s="127"/>
      <c r="J1052" s="127"/>
      <c r="K1052" s="127"/>
      <c r="L1052" s="127"/>
      <c r="M1052" s="127"/>
      <c r="N1052" s="127"/>
      <c r="O1052" s="171">
        <f t="shared" si="427"/>
        <v>450200</v>
      </c>
      <c r="P1052" s="65"/>
      <c r="Q1052" s="101"/>
      <c r="R1052" s="65"/>
      <c r="S1052" s="65"/>
      <c r="T1052" s="65"/>
      <c r="U1052" s="65"/>
      <c r="V1052" s="65"/>
      <c r="W1052" s="65"/>
      <c r="X1052" s="65"/>
      <c r="Y1052" s="65"/>
      <c r="Z1052" s="65"/>
      <c r="AA1052" s="65"/>
      <c r="AB1052" s="65"/>
      <c r="AC1052" s="65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</row>
    <row r="1053" spans="1:74" s="66" customFormat="1" ht="28.5" x14ac:dyDescent="0.2">
      <c r="A1053" s="72" t="s">
        <v>1807</v>
      </c>
      <c r="B1053" s="73" t="s">
        <v>1808</v>
      </c>
      <c r="C1053" s="127"/>
      <c r="D1053" s="127"/>
      <c r="E1053" s="127"/>
      <c r="F1053" s="127"/>
      <c r="G1053" s="127">
        <v>153428321.09999999</v>
      </c>
      <c r="H1053" s="127"/>
      <c r="I1053" s="127"/>
      <c r="J1053" s="127"/>
      <c r="K1053" s="127"/>
      <c r="L1053" s="127"/>
      <c r="M1053" s="127"/>
      <c r="N1053" s="127"/>
      <c r="O1053" s="171">
        <f t="shared" si="427"/>
        <v>153428321.09999999</v>
      </c>
      <c r="P1053" s="65"/>
      <c r="Q1053" s="101"/>
      <c r="R1053" s="65"/>
      <c r="S1053" s="65"/>
      <c r="T1053" s="65"/>
      <c r="U1053" s="65"/>
      <c r="V1053" s="65"/>
      <c r="W1053" s="65"/>
      <c r="X1053" s="65"/>
      <c r="Y1053" s="65"/>
      <c r="Z1053" s="65"/>
      <c r="AA1053" s="65"/>
      <c r="AB1053" s="65"/>
      <c r="AC1053" s="65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</row>
    <row r="1054" spans="1:74" s="66" customFormat="1" ht="28.5" x14ac:dyDescent="0.2">
      <c r="A1054" s="72" t="s">
        <v>1807</v>
      </c>
      <c r="B1054" s="73" t="s">
        <v>1808</v>
      </c>
      <c r="C1054" s="127"/>
      <c r="D1054" s="127"/>
      <c r="E1054" s="127"/>
      <c r="F1054" s="127"/>
      <c r="G1054" s="127">
        <v>19900000</v>
      </c>
      <c r="H1054" s="127"/>
      <c r="I1054" s="127"/>
      <c r="J1054" s="127"/>
      <c r="K1054" s="127"/>
      <c r="L1054" s="127"/>
      <c r="M1054" s="127"/>
      <c r="N1054" s="127"/>
      <c r="O1054" s="171">
        <f t="shared" si="427"/>
        <v>19900000</v>
      </c>
      <c r="P1054" s="65"/>
      <c r="Q1054" s="101"/>
      <c r="R1054" s="65"/>
      <c r="S1054" s="65"/>
      <c r="T1054" s="65"/>
      <c r="U1054" s="65"/>
      <c r="V1054" s="65"/>
      <c r="W1054" s="65"/>
      <c r="X1054" s="65"/>
      <c r="Y1054" s="65"/>
      <c r="Z1054" s="65"/>
      <c r="AA1054" s="65"/>
      <c r="AB1054" s="65"/>
      <c r="AC1054" s="65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</row>
    <row r="1055" spans="1:74" s="66" customFormat="1" ht="28.5" x14ac:dyDescent="0.2">
      <c r="A1055" s="72" t="s">
        <v>1807</v>
      </c>
      <c r="B1055" s="73" t="s">
        <v>1808</v>
      </c>
      <c r="C1055" s="127"/>
      <c r="D1055" s="127"/>
      <c r="E1055" s="127"/>
      <c r="F1055" s="127"/>
      <c r="G1055" s="127">
        <v>71223068</v>
      </c>
      <c r="H1055" s="127"/>
      <c r="I1055" s="127"/>
      <c r="J1055" s="127"/>
      <c r="K1055" s="127"/>
      <c r="L1055" s="127"/>
      <c r="M1055" s="127"/>
      <c r="N1055" s="127"/>
      <c r="O1055" s="171">
        <f t="shared" si="427"/>
        <v>71223068</v>
      </c>
      <c r="P1055" s="65"/>
      <c r="Q1055" s="101"/>
      <c r="R1055" s="65"/>
      <c r="S1055" s="65"/>
      <c r="T1055" s="65"/>
      <c r="U1055" s="65"/>
      <c r="V1055" s="65"/>
      <c r="W1055" s="65"/>
      <c r="X1055" s="65"/>
      <c r="Y1055" s="65"/>
      <c r="Z1055" s="65"/>
      <c r="AA1055" s="65"/>
      <c r="AB1055" s="65"/>
      <c r="AC1055" s="65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/>
      <c r="BI1055" s="65"/>
      <c r="BJ1055" s="65"/>
      <c r="BK1055" s="65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</row>
    <row r="1056" spans="1:74" s="66" customFormat="1" ht="28.5" x14ac:dyDescent="0.2">
      <c r="A1056" s="72" t="s">
        <v>1807</v>
      </c>
      <c r="B1056" s="73" t="s">
        <v>1808</v>
      </c>
      <c r="C1056" s="127"/>
      <c r="D1056" s="127"/>
      <c r="E1056" s="127"/>
      <c r="F1056" s="127"/>
      <c r="G1056" s="127">
        <v>400000</v>
      </c>
      <c r="H1056" s="127"/>
      <c r="I1056" s="127"/>
      <c r="J1056" s="127"/>
      <c r="K1056" s="127"/>
      <c r="L1056" s="127"/>
      <c r="M1056" s="127"/>
      <c r="N1056" s="127"/>
      <c r="O1056" s="171">
        <f t="shared" si="427"/>
        <v>400000</v>
      </c>
      <c r="P1056" s="65"/>
      <c r="Q1056" s="101"/>
      <c r="R1056" s="65"/>
      <c r="S1056" s="65"/>
      <c r="T1056" s="65"/>
      <c r="U1056" s="65"/>
      <c r="V1056" s="65"/>
      <c r="W1056" s="65"/>
      <c r="X1056" s="65"/>
      <c r="Y1056" s="65"/>
      <c r="Z1056" s="65"/>
      <c r="AA1056" s="65"/>
      <c r="AB1056" s="65"/>
      <c r="AC1056" s="65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</row>
    <row r="1057" spans="1:74" s="66" customFormat="1" ht="28.5" x14ac:dyDescent="0.2">
      <c r="A1057" s="72" t="s">
        <v>1807</v>
      </c>
      <c r="B1057" s="73" t="s">
        <v>1808</v>
      </c>
      <c r="C1057" s="127"/>
      <c r="D1057" s="127"/>
      <c r="E1057" s="127"/>
      <c r="F1057" s="127"/>
      <c r="G1057" s="127">
        <v>476922002</v>
      </c>
      <c r="H1057" s="127"/>
      <c r="I1057" s="127"/>
      <c r="J1057" s="127"/>
      <c r="K1057" s="127"/>
      <c r="L1057" s="127"/>
      <c r="M1057" s="127"/>
      <c r="N1057" s="127"/>
      <c r="O1057" s="171">
        <f t="shared" si="427"/>
        <v>476922002</v>
      </c>
      <c r="P1057" s="65"/>
      <c r="Q1057" s="101"/>
      <c r="R1057" s="65"/>
      <c r="S1057" s="65"/>
      <c r="T1057" s="65"/>
      <c r="U1057" s="65"/>
      <c r="V1057" s="65"/>
      <c r="W1057" s="65"/>
      <c r="X1057" s="65"/>
      <c r="Y1057" s="65"/>
      <c r="Z1057" s="65"/>
      <c r="AA1057" s="65"/>
      <c r="AB1057" s="65"/>
      <c r="AC1057" s="65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  <c r="BH1057" s="65"/>
      <c r="BI1057" s="65"/>
      <c r="BJ1057" s="65"/>
      <c r="BK1057" s="65"/>
      <c r="BL1057" s="65"/>
      <c r="BM1057" s="65"/>
      <c r="BN1057" s="65"/>
      <c r="BO1057" s="65"/>
      <c r="BP1057" s="65"/>
      <c r="BQ1057" s="65"/>
      <c r="BR1057" s="65"/>
      <c r="BS1057" s="65"/>
      <c r="BT1057" s="65"/>
      <c r="BU1057" s="65"/>
      <c r="BV1057" s="65"/>
    </row>
    <row r="1058" spans="1:74" s="66" customFormat="1" ht="28.5" x14ac:dyDescent="0.2">
      <c r="A1058" s="72" t="s">
        <v>1807</v>
      </c>
      <c r="B1058" s="73" t="s">
        <v>1808</v>
      </c>
      <c r="C1058" s="127"/>
      <c r="D1058" s="127"/>
      <c r="E1058" s="127"/>
      <c r="F1058" s="127"/>
      <c r="G1058" s="127">
        <v>158465735.84</v>
      </c>
      <c r="H1058" s="127"/>
      <c r="I1058" s="127"/>
      <c r="J1058" s="127"/>
      <c r="K1058" s="127"/>
      <c r="L1058" s="127"/>
      <c r="M1058" s="127"/>
      <c r="N1058" s="127"/>
      <c r="O1058" s="171">
        <f t="shared" si="427"/>
        <v>158465735.84</v>
      </c>
      <c r="P1058" s="65"/>
      <c r="Q1058" s="101"/>
      <c r="R1058" s="65"/>
      <c r="S1058" s="65"/>
      <c r="T1058" s="65"/>
      <c r="U1058" s="65"/>
      <c r="V1058" s="65"/>
      <c r="W1058" s="65"/>
      <c r="X1058" s="65"/>
      <c r="Y1058" s="65"/>
      <c r="Z1058" s="65"/>
      <c r="AA1058" s="65"/>
      <c r="AB1058" s="65"/>
      <c r="AC1058" s="65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  <c r="BH1058" s="65"/>
      <c r="BI1058" s="65"/>
      <c r="BJ1058" s="65"/>
      <c r="BK1058" s="65"/>
      <c r="BL1058" s="65"/>
      <c r="BM1058" s="65"/>
      <c r="BN1058" s="65"/>
      <c r="BO1058" s="65"/>
      <c r="BP1058" s="65"/>
      <c r="BQ1058" s="65"/>
      <c r="BR1058" s="65"/>
      <c r="BS1058" s="65"/>
      <c r="BT1058" s="65"/>
      <c r="BU1058" s="65"/>
      <c r="BV1058" s="65"/>
    </row>
    <row r="1059" spans="1:74" s="66" customFormat="1" ht="28.5" x14ac:dyDescent="0.2">
      <c r="A1059" s="72" t="s">
        <v>1807</v>
      </c>
      <c r="B1059" s="73" t="s">
        <v>1808</v>
      </c>
      <c r="C1059" s="127"/>
      <c r="D1059" s="127"/>
      <c r="E1059" s="127"/>
      <c r="F1059" s="127"/>
      <c r="G1059" s="127">
        <v>567785.43999999994</v>
      </c>
      <c r="H1059" s="127"/>
      <c r="I1059" s="127"/>
      <c r="J1059" s="127"/>
      <c r="K1059" s="127"/>
      <c r="L1059" s="127"/>
      <c r="M1059" s="127"/>
      <c r="N1059" s="127"/>
      <c r="O1059" s="171">
        <f t="shared" si="427"/>
        <v>567785.43999999994</v>
      </c>
      <c r="P1059" s="65"/>
      <c r="Q1059" s="101"/>
      <c r="R1059" s="65"/>
      <c r="S1059" s="65"/>
      <c r="T1059" s="65"/>
      <c r="U1059" s="65"/>
      <c r="V1059" s="65"/>
      <c r="W1059" s="65"/>
      <c r="X1059" s="65"/>
      <c r="Y1059" s="65"/>
      <c r="Z1059" s="65"/>
      <c r="AA1059" s="65"/>
      <c r="AB1059" s="65"/>
      <c r="AC1059" s="65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</row>
    <row r="1060" spans="1:74" s="66" customFormat="1" ht="28.5" x14ac:dyDescent="0.2">
      <c r="A1060" s="72" t="s">
        <v>1807</v>
      </c>
      <c r="B1060" s="73" t="s">
        <v>1808</v>
      </c>
      <c r="C1060" s="127"/>
      <c r="D1060" s="127"/>
      <c r="E1060" s="127"/>
      <c r="F1060" s="127"/>
      <c r="G1060" s="127">
        <v>3921720000</v>
      </c>
      <c r="H1060" s="127"/>
      <c r="I1060" s="127"/>
      <c r="J1060" s="127"/>
      <c r="K1060" s="127"/>
      <c r="L1060" s="127"/>
      <c r="M1060" s="127"/>
      <c r="N1060" s="127"/>
      <c r="O1060" s="171">
        <f t="shared" si="427"/>
        <v>3921720000</v>
      </c>
      <c r="P1060" s="65"/>
      <c r="Q1060" s="101"/>
      <c r="R1060" s="65"/>
      <c r="S1060" s="65"/>
      <c r="T1060" s="65"/>
      <c r="U1060" s="65"/>
      <c r="V1060" s="65"/>
      <c r="W1060" s="65"/>
      <c r="X1060" s="65"/>
      <c r="Y1060" s="65"/>
      <c r="Z1060" s="65"/>
      <c r="AA1060" s="65"/>
      <c r="AB1060" s="65"/>
      <c r="AC1060" s="65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</row>
    <row r="1061" spans="1:74" s="66" customFormat="1" ht="28.5" x14ac:dyDescent="0.2">
      <c r="A1061" s="72" t="s">
        <v>1807</v>
      </c>
      <c r="B1061" s="73" t="s">
        <v>1808</v>
      </c>
      <c r="C1061" s="127"/>
      <c r="D1061" s="127"/>
      <c r="E1061" s="127"/>
      <c r="F1061" s="127"/>
      <c r="G1061" s="127">
        <v>12250741.050000001</v>
      </c>
      <c r="H1061" s="127"/>
      <c r="I1061" s="127"/>
      <c r="J1061" s="127"/>
      <c r="K1061" s="127"/>
      <c r="L1061" s="127"/>
      <c r="M1061" s="127"/>
      <c r="N1061" s="127"/>
      <c r="O1061" s="171">
        <f t="shared" si="427"/>
        <v>12250741.050000001</v>
      </c>
      <c r="P1061" s="65"/>
      <c r="Q1061" s="101"/>
      <c r="R1061" s="65"/>
      <c r="S1061" s="65"/>
      <c r="T1061" s="65"/>
      <c r="U1061" s="65"/>
      <c r="V1061" s="65"/>
      <c r="W1061" s="65"/>
      <c r="X1061" s="65"/>
      <c r="Y1061" s="65"/>
      <c r="Z1061" s="65"/>
      <c r="AA1061" s="65"/>
      <c r="AB1061" s="65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</row>
    <row r="1062" spans="1:74" s="66" customFormat="1" ht="28.5" x14ac:dyDescent="0.2">
      <c r="A1062" s="72" t="s">
        <v>1807</v>
      </c>
      <c r="B1062" s="73" t="s">
        <v>1808</v>
      </c>
      <c r="C1062" s="127"/>
      <c r="D1062" s="127"/>
      <c r="E1062" s="127"/>
      <c r="F1062" s="127"/>
      <c r="G1062" s="127">
        <v>19934058.309999999</v>
      </c>
      <c r="H1062" s="127"/>
      <c r="I1062" s="127"/>
      <c r="J1062" s="127"/>
      <c r="K1062" s="127"/>
      <c r="L1062" s="127"/>
      <c r="M1062" s="127"/>
      <c r="N1062" s="127"/>
      <c r="O1062" s="171">
        <f t="shared" si="427"/>
        <v>19934058.309999999</v>
      </c>
      <c r="P1062" s="65"/>
      <c r="Q1062" s="101"/>
      <c r="R1062" s="65"/>
      <c r="S1062" s="65"/>
      <c r="T1062" s="65"/>
      <c r="U1062" s="65"/>
      <c r="V1062" s="65"/>
      <c r="W1062" s="65"/>
      <c r="X1062" s="65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</row>
    <row r="1063" spans="1:74" s="66" customFormat="1" ht="28.5" x14ac:dyDescent="0.2">
      <c r="A1063" s="72" t="s">
        <v>1809</v>
      </c>
      <c r="B1063" s="73" t="s">
        <v>1810</v>
      </c>
      <c r="C1063" s="127"/>
      <c r="D1063" s="127"/>
      <c r="E1063" s="127"/>
      <c r="F1063" s="127"/>
      <c r="G1063" s="127">
        <v>19854946.030000001</v>
      </c>
      <c r="H1063" s="127"/>
      <c r="I1063" s="127"/>
      <c r="J1063" s="127"/>
      <c r="K1063" s="127"/>
      <c r="L1063" s="127"/>
      <c r="M1063" s="127"/>
      <c r="N1063" s="127"/>
      <c r="O1063" s="171">
        <f t="shared" si="427"/>
        <v>19854946.030000001</v>
      </c>
      <c r="P1063" s="65"/>
      <c r="Q1063" s="101"/>
      <c r="R1063" s="65"/>
      <c r="S1063" s="65"/>
      <c r="T1063" s="65"/>
      <c r="U1063" s="65"/>
      <c r="V1063" s="65"/>
      <c r="W1063" s="65"/>
      <c r="X1063" s="65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</row>
    <row r="1064" spans="1:74" s="66" customFormat="1" ht="28.5" x14ac:dyDescent="0.2">
      <c r="A1064" s="72" t="s">
        <v>1809</v>
      </c>
      <c r="B1064" s="73" t="s">
        <v>1810</v>
      </c>
      <c r="C1064" s="127"/>
      <c r="D1064" s="127"/>
      <c r="E1064" s="127"/>
      <c r="F1064" s="127"/>
      <c r="G1064" s="127">
        <v>2072892085.22</v>
      </c>
      <c r="H1064" s="127"/>
      <c r="I1064" s="127"/>
      <c r="J1064" s="127"/>
      <c r="K1064" s="127"/>
      <c r="L1064" s="127"/>
      <c r="M1064" s="127"/>
      <c r="N1064" s="127"/>
      <c r="O1064" s="171">
        <f t="shared" si="427"/>
        <v>2072892085.22</v>
      </c>
      <c r="P1064" s="65"/>
      <c r="Q1064" s="101"/>
      <c r="R1064" s="65"/>
      <c r="S1064" s="65"/>
      <c r="T1064" s="65"/>
      <c r="U1064" s="65"/>
      <c r="V1064" s="65"/>
      <c r="W1064" s="65"/>
      <c r="X1064" s="65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</row>
    <row r="1065" spans="1:74" s="66" customFormat="1" ht="28.5" x14ac:dyDescent="0.2">
      <c r="A1065" s="72" t="s">
        <v>1809</v>
      </c>
      <c r="B1065" s="73" t="s">
        <v>1810</v>
      </c>
      <c r="C1065" s="127"/>
      <c r="D1065" s="127"/>
      <c r="E1065" s="127"/>
      <c r="F1065" s="127"/>
      <c r="G1065" s="127">
        <v>5674288</v>
      </c>
      <c r="H1065" s="127"/>
      <c r="I1065" s="127"/>
      <c r="J1065" s="127"/>
      <c r="K1065" s="127"/>
      <c r="L1065" s="127"/>
      <c r="M1065" s="127"/>
      <c r="N1065" s="127"/>
      <c r="O1065" s="171">
        <f t="shared" si="427"/>
        <v>5674288</v>
      </c>
      <c r="P1065" s="65"/>
      <c r="Q1065" s="101"/>
      <c r="R1065" s="65"/>
      <c r="S1065" s="65"/>
      <c r="T1065" s="65"/>
      <c r="U1065" s="65"/>
      <c r="V1065" s="65"/>
      <c r="W1065" s="65"/>
      <c r="X1065" s="65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</row>
    <row r="1066" spans="1:74" s="66" customFormat="1" ht="28.5" x14ac:dyDescent="0.2">
      <c r="A1066" s="72" t="s">
        <v>1809</v>
      </c>
      <c r="B1066" s="73" t="s">
        <v>1810</v>
      </c>
      <c r="C1066" s="127"/>
      <c r="D1066" s="127"/>
      <c r="E1066" s="127"/>
      <c r="F1066" s="127"/>
      <c r="G1066" s="127">
        <v>16782910.140000001</v>
      </c>
      <c r="H1066" s="127"/>
      <c r="I1066" s="127"/>
      <c r="J1066" s="127"/>
      <c r="K1066" s="127"/>
      <c r="L1066" s="127"/>
      <c r="M1066" s="127"/>
      <c r="N1066" s="127"/>
      <c r="O1066" s="171">
        <f t="shared" si="427"/>
        <v>16782910.140000001</v>
      </c>
      <c r="P1066" s="65"/>
      <c r="Q1066" s="101"/>
      <c r="R1066" s="65"/>
      <c r="S1066" s="65"/>
      <c r="T1066" s="65"/>
      <c r="U1066" s="65"/>
      <c r="V1066" s="65"/>
      <c r="W1066" s="65"/>
      <c r="X1066" s="65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</row>
    <row r="1067" spans="1:74" s="66" customFormat="1" ht="28.5" x14ac:dyDescent="0.2">
      <c r="A1067" s="72" t="s">
        <v>1809</v>
      </c>
      <c r="B1067" s="73" t="s">
        <v>1810</v>
      </c>
      <c r="C1067" s="127"/>
      <c r="D1067" s="127"/>
      <c r="E1067" s="127"/>
      <c r="F1067" s="127"/>
      <c r="G1067" s="127">
        <v>11551551.130000001</v>
      </c>
      <c r="H1067" s="127"/>
      <c r="I1067" s="127"/>
      <c r="J1067" s="127"/>
      <c r="K1067" s="127"/>
      <c r="L1067" s="127"/>
      <c r="M1067" s="127"/>
      <c r="N1067" s="127"/>
      <c r="O1067" s="171">
        <f t="shared" si="427"/>
        <v>11551551.130000001</v>
      </c>
      <c r="P1067" s="65"/>
      <c r="Q1067" s="101"/>
      <c r="R1067" s="65"/>
      <c r="S1067" s="65"/>
      <c r="T1067" s="65"/>
      <c r="U1067" s="65"/>
      <c r="V1067" s="65"/>
      <c r="W1067" s="65"/>
      <c r="X1067" s="65"/>
      <c r="Y1067" s="65"/>
      <c r="Z1067" s="65"/>
      <c r="AA1067" s="65"/>
      <c r="AB1067" s="65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</row>
    <row r="1068" spans="1:74" s="66" customFormat="1" ht="28.5" x14ac:dyDescent="0.2">
      <c r="A1068" s="72" t="s">
        <v>1809</v>
      </c>
      <c r="B1068" s="73" t="s">
        <v>1810</v>
      </c>
      <c r="C1068" s="127"/>
      <c r="D1068" s="127"/>
      <c r="E1068" s="127"/>
      <c r="F1068" s="127"/>
      <c r="G1068" s="127">
        <v>62000000</v>
      </c>
      <c r="H1068" s="127"/>
      <c r="I1068" s="127"/>
      <c r="J1068" s="127"/>
      <c r="K1068" s="127"/>
      <c r="L1068" s="127"/>
      <c r="M1068" s="127"/>
      <c r="N1068" s="127"/>
      <c r="O1068" s="171">
        <f t="shared" si="427"/>
        <v>62000000</v>
      </c>
      <c r="P1068" s="65"/>
      <c r="Q1068" s="101"/>
      <c r="R1068" s="65"/>
      <c r="S1068" s="65"/>
      <c r="T1068" s="65"/>
      <c r="U1068" s="65"/>
      <c r="V1068" s="65"/>
      <c r="W1068" s="65"/>
      <c r="X1068" s="65"/>
      <c r="Y1068" s="65"/>
      <c r="Z1068" s="65"/>
      <c r="AA1068" s="65"/>
      <c r="AB1068" s="65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</row>
    <row r="1069" spans="1:74" s="66" customFormat="1" ht="28.5" x14ac:dyDescent="0.2">
      <c r="A1069" s="72" t="s">
        <v>1809</v>
      </c>
      <c r="B1069" s="73" t="s">
        <v>1810</v>
      </c>
      <c r="C1069" s="127"/>
      <c r="D1069" s="127"/>
      <c r="E1069" s="127"/>
      <c r="F1069" s="127"/>
      <c r="G1069" s="127">
        <v>1128419167.9200001</v>
      </c>
      <c r="H1069" s="127"/>
      <c r="I1069" s="127"/>
      <c r="J1069" s="127"/>
      <c r="K1069" s="127"/>
      <c r="L1069" s="127"/>
      <c r="M1069" s="127"/>
      <c r="N1069" s="127"/>
      <c r="O1069" s="171">
        <f t="shared" si="427"/>
        <v>1128419167.9200001</v>
      </c>
      <c r="P1069" s="65"/>
      <c r="Q1069" s="101"/>
      <c r="R1069" s="65"/>
      <c r="S1069" s="65"/>
      <c r="T1069" s="65"/>
      <c r="U1069" s="65"/>
      <c r="V1069" s="65"/>
      <c r="W1069" s="65"/>
      <c r="X1069" s="65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</row>
    <row r="1070" spans="1:74" s="66" customFormat="1" ht="28.5" x14ac:dyDescent="0.2">
      <c r="A1070" s="72" t="s">
        <v>1809</v>
      </c>
      <c r="B1070" s="73" t="s">
        <v>1810</v>
      </c>
      <c r="C1070" s="127"/>
      <c r="D1070" s="127"/>
      <c r="E1070" s="127"/>
      <c r="F1070" s="127"/>
      <c r="G1070" s="127">
        <v>43017705</v>
      </c>
      <c r="H1070" s="127"/>
      <c r="I1070" s="127"/>
      <c r="J1070" s="127"/>
      <c r="K1070" s="127"/>
      <c r="L1070" s="127"/>
      <c r="M1070" s="127"/>
      <c r="N1070" s="127"/>
      <c r="O1070" s="171">
        <f t="shared" si="427"/>
        <v>43017705</v>
      </c>
      <c r="P1070" s="65"/>
      <c r="Q1070" s="101"/>
      <c r="R1070" s="65"/>
      <c r="S1070" s="65"/>
      <c r="T1070" s="65"/>
      <c r="U1070" s="65"/>
      <c r="V1070" s="65"/>
      <c r="W1070" s="65"/>
      <c r="X1070" s="65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</row>
    <row r="1071" spans="1:74" s="66" customFormat="1" ht="28.5" x14ac:dyDescent="0.2">
      <c r="A1071" s="72" t="s">
        <v>1809</v>
      </c>
      <c r="B1071" s="73" t="s">
        <v>1810</v>
      </c>
      <c r="C1071" s="127"/>
      <c r="D1071" s="127"/>
      <c r="E1071" s="127"/>
      <c r="F1071" s="127"/>
      <c r="G1071" s="127">
        <v>18902012.960000001</v>
      </c>
      <c r="H1071" s="127"/>
      <c r="I1071" s="127"/>
      <c r="J1071" s="127"/>
      <c r="K1071" s="127"/>
      <c r="L1071" s="127"/>
      <c r="M1071" s="127"/>
      <c r="N1071" s="127"/>
      <c r="O1071" s="171">
        <f t="shared" si="427"/>
        <v>18902012.960000001</v>
      </c>
      <c r="P1071" s="65"/>
      <c r="Q1071" s="101"/>
      <c r="R1071" s="65"/>
      <c r="S1071" s="65"/>
      <c r="T1071" s="65"/>
      <c r="U1071" s="65"/>
      <c r="V1071" s="65"/>
      <c r="W1071" s="65"/>
      <c r="X1071" s="65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</row>
    <row r="1072" spans="1:74" s="66" customFormat="1" ht="28.5" x14ac:dyDescent="0.2">
      <c r="A1072" s="72" t="s">
        <v>1809</v>
      </c>
      <c r="B1072" s="73" t="s">
        <v>1810</v>
      </c>
      <c r="C1072" s="127"/>
      <c r="D1072" s="127"/>
      <c r="E1072" s="127"/>
      <c r="F1072" s="127"/>
      <c r="G1072" s="127">
        <v>1120007430.79</v>
      </c>
      <c r="H1072" s="127"/>
      <c r="I1072" s="127"/>
      <c r="J1072" s="127"/>
      <c r="K1072" s="127"/>
      <c r="L1072" s="127"/>
      <c r="M1072" s="127"/>
      <c r="N1072" s="127"/>
      <c r="O1072" s="171">
        <f t="shared" si="427"/>
        <v>1120007430.79</v>
      </c>
      <c r="P1072" s="65"/>
      <c r="Q1072" s="101"/>
      <c r="R1072" s="65"/>
      <c r="S1072" s="65"/>
      <c r="T1072" s="65"/>
      <c r="U1072" s="65"/>
      <c r="V1072" s="65"/>
      <c r="W1072" s="65"/>
      <c r="X1072" s="65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</row>
    <row r="1073" spans="1:74" s="66" customFormat="1" ht="28.5" x14ac:dyDescent="0.2">
      <c r="A1073" s="72" t="s">
        <v>1809</v>
      </c>
      <c r="B1073" s="73" t="s">
        <v>1810</v>
      </c>
      <c r="C1073" s="127"/>
      <c r="D1073" s="127"/>
      <c r="E1073" s="127"/>
      <c r="F1073" s="127"/>
      <c r="G1073" s="127">
        <v>132530138.45999999</v>
      </c>
      <c r="H1073" s="127"/>
      <c r="I1073" s="127"/>
      <c r="J1073" s="127"/>
      <c r="K1073" s="127"/>
      <c r="L1073" s="127"/>
      <c r="M1073" s="127"/>
      <c r="N1073" s="127"/>
      <c r="O1073" s="171">
        <f t="shared" si="427"/>
        <v>132530138.45999999</v>
      </c>
      <c r="P1073" s="65"/>
      <c r="Q1073" s="101"/>
      <c r="R1073" s="65"/>
      <c r="S1073" s="65"/>
      <c r="T1073" s="65"/>
      <c r="U1073" s="65"/>
      <c r="V1073" s="65"/>
      <c r="W1073" s="65"/>
      <c r="X1073" s="65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</row>
    <row r="1074" spans="1:74" s="66" customFormat="1" ht="28.5" x14ac:dyDescent="0.2">
      <c r="A1074" s="72" t="s">
        <v>1809</v>
      </c>
      <c r="B1074" s="73" t="s">
        <v>1810</v>
      </c>
      <c r="C1074" s="127"/>
      <c r="D1074" s="127"/>
      <c r="E1074" s="127"/>
      <c r="F1074" s="127"/>
      <c r="G1074" s="127">
        <v>8035590</v>
      </c>
      <c r="H1074" s="127"/>
      <c r="I1074" s="127"/>
      <c r="J1074" s="127"/>
      <c r="K1074" s="127"/>
      <c r="L1074" s="127"/>
      <c r="M1074" s="127"/>
      <c r="N1074" s="127"/>
      <c r="O1074" s="171">
        <f t="shared" si="427"/>
        <v>8035590</v>
      </c>
      <c r="P1074" s="65"/>
      <c r="Q1074" s="101"/>
      <c r="R1074" s="65"/>
      <c r="S1074" s="65"/>
      <c r="T1074" s="65"/>
      <c r="U1074" s="65"/>
      <c r="V1074" s="65"/>
      <c r="W1074" s="65"/>
      <c r="X1074" s="65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</row>
    <row r="1075" spans="1:74" s="66" customFormat="1" ht="28.5" x14ac:dyDescent="0.2">
      <c r="A1075" s="72" t="s">
        <v>1809</v>
      </c>
      <c r="B1075" s="73" t="s">
        <v>1810</v>
      </c>
      <c r="C1075" s="127"/>
      <c r="D1075" s="127"/>
      <c r="E1075" s="127"/>
      <c r="F1075" s="127"/>
      <c r="G1075" s="127">
        <v>8933370</v>
      </c>
      <c r="H1075" s="127"/>
      <c r="I1075" s="127"/>
      <c r="J1075" s="127"/>
      <c r="K1075" s="127"/>
      <c r="L1075" s="127"/>
      <c r="M1075" s="127"/>
      <c r="N1075" s="127"/>
      <c r="O1075" s="171">
        <f t="shared" si="427"/>
        <v>8933370</v>
      </c>
      <c r="P1075" s="65"/>
      <c r="Q1075" s="101"/>
      <c r="R1075" s="65"/>
      <c r="S1075" s="65"/>
      <c r="T1075" s="65"/>
      <c r="U1075" s="65"/>
      <c r="V1075" s="65"/>
      <c r="W1075" s="65"/>
      <c r="X1075" s="65"/>
      <c r="Y1075" s="65"/>
      <c r="Z1075" s="65"/>
      <c r="AA1075" s="65"/>
      <c r="AB1075" s="65"/>
      <c r="AC1075" s="65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/>
      <c r="BI1075" s="65"/>
      <c r="BJ1075" s="65"/>
      <c r="BK1075" s="65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</row>
    <row r="1076" spans="1:74" s="66" customFormat="1" ht="28.5" x14ac:dyDescent="0.2">
      <c r="A1076" s="72" t="s">
        <v>1809</v>
      </c>
      <c r="B1076" s="73" t="s">
        <v>1810</v>
      </c>
      <c r="C1076" s="127"/>
      <c r="D1076" s="127"/>
      <c r="E1076" s="127"/>
      <c r="F1076" s="127"/>
      <c r="G1076" s="127">
        <v>10453972</v>
      </c>
      <c r="H1076" s="127"/>
      <c r="I1076" s="127"/>
      <c r="J1076" s="127"/>
      <c r="K1076" s="127"/>
      <c r="L1076" s="127"/>
      <c r="M1076" s="127"/>
      <c r="N1076" s="127"/>
      <c r="O1076" s="171">
        <f t="shared" si="427"/>
        <v>10453972</v>
      </c>
      <c r="P1076" s="65"/>
      <c r="Q1076" s="101"/>
      <c r="R1076" s="65"/>
      <c r="S1076" s="65"/>
      <c r="T1076" s="65"/>
      <c r="U1076" s="65"/>
      <c r="V1076" s="65"/>
      <c r="W1076" s="65"/>
      <c r="X1076" s="65"/>
      <c r="Y1076" s="65"/>
      <c r="Z1076" s="65"/>
      <c r="AA1076" s="65"/>
      <c r="AB1076" s="65"/>
      <c r="AC1076" s="65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  <c r="BH1076" s="65"/>
      <c r="BI1076" s="65"/>
      <c r="BJ1076" s="65"/>
      <c r="BK1076" s="65"/>
      <c r="BL1076" s="65"/>
      <c r="BM1076" s="65"/>
      <c r="BN1076" s="65"/>
      <c r="BO1076" s="65"/>
      <c r="BP1076" s="65"/>
      <c r="BQ1076" s="65"/>
      <c r="BR1076" s="65"/>
      <c r="BS1076" s="65"/>
      <c r="BT1076" s="65"/>
      <c r="BU1076" s="65"/>
      <c r="BV1076" s="65"/>
    </row>
    <row r="1077" spans="1:74" s="66" customFormat="1" ht="28.5" x14ac:dyDescent="0.2">
      <c r="A1077" s="72" t="s">
        <v>1809</v>
      </c>
      <c r="B1077" s="73" t="s">
        <v>1810</v>
      </c>
      <c r="C1077" s="127"/>
      <c r="D1077" s="127"/>
      <c r="E1077" s="127"/>
      <c r="F1077" s="127"/>
      <c r="G1077" s="127">
        <v>637773</v>
      </c>
      <c r="H1077" s="127"/>
      <c r="I1077" s="127"/>
      <c r="J1077" s="127"/>
      <c r="K1077" s="127"/>
      <c r="L1077" s="127"/>
      <c r="M1077" s="127"/>
      <c r="N1077" s="127"/>
      <c r="O1077" s="171">
        <f t="shared" si="427"/>
        <v>637773</v>
      </c>
      <c r="P1077" s="65"/>
      <c r="Q1077" s="101"/>
      <c r="R1077" s="65"/>
      <c r="S1077" s="65"/>
      <c r="T1077" s="65"/>
      <c r="U1077" s="65"/>
      <c r="V1077" s="65"/>
      <c r="W1077" s="65"/>
      <c r="X1077" s="65"/>
      <c r="Y1077" s="65"/>
      <c r="Z1077" s="65"/>
      <c r="AA1077" s="65"/>
      <c r="AB1077" s="65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</row>
    <row r="1078" spans="1:74" s="108" customFormat="1" ht="31.5" x14ac:dyDescent="0.2">
      <c r="A1078" s="77" t="s">
        <v>849</v>
      </c>
      <c r="B1078" s="75" t="s">
        <v>1811</v>
      </c>
      <c r="C1078" s="126">
        <f>+C1080+C1079</f>
        <v>0</v>
      </c>
      <c r="D1078" s="126">
        <f t="shared" ref="D1078:N1078" si="428">+D1080+D1079</f>
        <v>0</v>
      </c>
      <c r="E1078" s="126">
        <f t="shared" si="428"/>
        <v>0</v>
      </c>
      <c r="F1078" s="126">
        <f t="shared" si="428"/>
        <v>0</v>
      </c>
      <c r="G1078" s="126">
        <f t="shared" si="428"/>
        <v>0</v>
      </c>
      <c r="H1078" s="126">
        <f t="shared" si="428"/>
        <v>0</v>
      </c>
      <c r="I1078" s="126">
        <f t="shared" si="428"/>
        <v>0</v>
      </c>
      <c r="J1078" s="126">
        <f t="shared" si="428"/>
        <v>0</v>
      </c>
      <c r="K1078" s="126">
        <f t="shared" si="428"/>
        <v>0</v>
      </c>
      <c r="L1078" s="126">
        <f t="shared" si="428"/>
        <v>0</v>
      </c>
      <c r="M1078" s="126">
        <f t="shared" si="428"/>
        <v>0</v>
      </c>
      <c r="N1078" s="126">
        <f t="shared" si="428"/>
        <v>0</v>
      </c>
      <c r="O1078" s="89">
        <f t="shared" si="427"/>
        <v>0</v>
      </c>
      <c r="P1078" s="107"/>
      <c r="Q1078" s="61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</row>
    <row r="1079" spans="1:74" s="108" customFormat="1" ht="15.75" x14ac:dyDescent="0.2">
      <c r="A1079" s="72" t="s">
        <v>1125</v>
      </c>
      <c r="B1079" s="73" t="s">
        <v>1126</v>
      </c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89">
        <f t="shared" si="427"/>
        <v>0</v>
      </c>
      <c r="P1079" s="107"/>
      <c r="Q1079" s="61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</row>
    <row r="1080" spans="1:74" s="66" customFormat="1" ht="15" x14ac:dyDescent="0.2">
      <c r="A1080" s="72" t="s">
        <v>1125</v>
      </c>
      <c r="B1080" s="73" t="s">
        <v>1126</v>
      </c>
      <c r="C1080" s="127"/>
      <c r="D1080" s="127"/>
      <c r="E1080" s="127"/>
      <c r="F1080" s="127"/>
      <c r="G1080" s="127"/>
      <c r="H1080" s="127"/>
      <c r="I1080" s="127"/>
      <c r="J1080" s="127"/>
      <c r="K1080" s="127"/>
      <c r="L1080" s="127"/>
      <c r="M1080" s="127"/>
      <c r="N1080" s="127"/>
      <c r="O1080" s="89">
        <f t="shared" si="427"/>
        <v>0</v>
      </c>
      <c r="P1080" s="65"/>
      <c r="Q1080" s="101"/>
      <c r="R1080" s="65"/>
      <c r="S1080" s="65"/>
      <c r="T1080" s="65"/>
      <c r="U1080" s="65"/>
      <c r="V1080" s="65"/>
      <c r="W1080" s="65"/>
      <c r="X1080" s="65"/>
      <c r="Y1080" s="65"/>
      <c r="Z1080" s="65"/>
      <c r="AA1080" s="65"/>
      <c r="AB1080" s="65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</row>
    <row r="1081" spans="1:74" s="108" customFormat="1" ht="15.75" x14ac:dyDescent="0.2">
      <c r="A1081" s="77" t="s">
        <v>1812</v>
      </c>
      <c r="B1081" s="75" t="s">
        <v>1813</v>
      </c>
      <c r="C1081" s="126">
        <f>+C1082</f>
        <v>0</v>
      </c>
      <c r="D1081" s="126">
        <f t="shared" ref="D1081:N1083" si="429">+D1082</f>
        <v>0</v>
      </c>
      <c r="E1081" s="126">
        <f t="shared" si="429"/>
        <v>0</v>
      </c>
      <c r="F1081" s="126">
        <f t="shared" si="429"/>
        <v>0</v>
      </c>
      <c r="G1081" s="126">
        <f t="shared" si="429"/>
        <v>26740484269.560001</v>
      </c>
      <c r="H1081" s="126">
        <f t="shared" si="429"/>
        <v>0</v>
      </c>
      <c r="I1081" s="126">
        <f t="shared" si="429"/>
        <v>0</v>
      </c>
      <c r="J1081" s="126">
        <f t="shared" si="429"/>
        <v>0</v>
      </c>
      <c r="K1081" s="126">
        <f t="shared" si="429"/>
        <v>0</v>
      </c>
      <c r="L1081" s="126">
        <f t="shared" si="429"/>
        <v>0</v>
      </c>
      <c r="M1081" s="126">
        <f t="shared" si="429"/>
        <v>0</v>
      </c>
      <c r="N1081" s="126">
        <f t="shared" si="429"/>
        <v>0</v>
      </c>
      <c r="O1081" s="171">
        <f t="shared" si="427"/>
        <v>26740484269.560001</v>
      </c>
      <c r="P1081" s="107"/>
      <c r="Q1081" s="61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</row>
    <row r="1082" spans="1:74" s="108" customFormat="1" ht="15.75" x14ac:dyDescent="0.2">
      <c r="A1082" s="77" t="s">
        <v>1616</v>
      </c>
      <c r="B1082" s="75" t="s">
        <v>1617</v>
      </c>
      <c r="C1082" s="126">
        <f>+C1083</f>
        <v>0</v>
      </c>
      <c r="D1082" s="126">
        <f t="shared" si="429"/>
        <v>0</v>
      </c>
      <c r="E1082" s="126">
        <f t="shared" si="429"/>
        <v>0</v>
      </c>
      <c r="F1082" s="126">
        <f t="shared" si="429"/>
        <v>0</v>
      </c>
      <c r="G1082" s="126">
        <f t="shared" si="429"/>
        <v>26740484269.560001</v>
      </c>
      <c r="H1082" s="126">
        <f t="shared" si="429"/>
        <v>0</v>
      </c>
      <c r="I1082" s="126">
        <f t="shared" si="429"/>
        <v>0</v>
      </c>
      <c r="J1082" s="126">
        <f t="shared" si="429"/>
        <v>0</v>
      </c>
      <c r="K1082" s="126">
        <f t="shared" si="429"/>
        <v>0</v>
      </c>
      <c r="L1082" s="126">
        <f t="shared" si="429"/>
        <v>0</v>
      </c>
      <c r="M1082" s="126">
        <f t="shared" si="429"/>
        <v>0</v>
      </c>
      <c r="N1082" s="126">
        <f t="shared" si="429"/>
        <v>0</v>
      </c>
      <c r="O1082" s="171">
        <f t="shared" si="427"/>
        <v>26740484269.560001</v>
      </c>
      <c r="P1082" s="107"/>
      <c r="Q1082" s="61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</row>
    <row r="1083" spans="1:74" s="108" customFormat="1" ht="15.75" x14ac:dyDescent="0.2">
      <c r="A1083" s="77" t="s">
        <v>1618</v>
      </c>
      <c r="B1083" s="75" t="s">
        <v>1619</v>
      </c>
      <c r="C1083" s="126">
        <f>+C1084</f>
        <v>0</v>
      </c>
      <c r="D1083" s="126">
        <f t="shared" si="429"/>
        <v>0</v>
      </c>
      <c r="E1083" s="126">
        <f t="shared" si="429"/>
        <v>0</v>
      </c>
      <c r="F1083" s="126">
        <f t="shared" si="429"/>
        <v>0</v>
      </c>
      <c r="G1083" s="126">
        <f t="shared" si="429"/>
        <v>26740484269.560001</v>
      </c>
      <c r="H1083" s="126">
        <f t="shared" si="429"/>
        <v>0</v>
      </c>
      <c r="I1083" s="126">
        <f t="shared" si="429"/>
        <v>0</v>
      </c>
      <c r="J1083" s="126">
        <f t="shared" si="429"/>
        <v>0</v>
      </c>
      <c r="K1083" s="126">
        <f t="shared" si="429"/>
        <v>0</v>
      </c>
      <c r="L1083" s="126">
        <f t="shared" si="429"/>
        <v>0</v>
      </c>
      <c r="M1083" s="126">
        <f t="shared" si="429"/>
        <v>0</v>
      </c>
      <c r="N1083" s="126">
        <f t="shared" si="429"/>
        <v>0</v>
      </c>
      <c r="O1083" s="171">
        <f t="shared" si="427"/>
        <v>26740484269.560001</v>
      </c>
      <c r="P1083" s="107"/>
      <c r="Q1083" s="61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</row>
    <row r="1084" spans="1:74" s="108" customFormat="1" ht="31.5" x14ac:dyDescent="0.2">
      <c r="A1084" s="77" t="s">
        <v>1620</v>
      </c>
      <c r="B1084" s="75" t="s">
        <v>1621</v>
      </c>
      <c r="C1084" s="126">
        <f>SUM(C1085:C1103)</f>
        <v>0</v>
      </c>
      <c r="D1084" s="126">
        <f t="shared" ref="D1084:N1084" si="430">SUM(D1085:D1103)</f>
        <v>0</v>
      </c>
      <c r="E1084" s="126">
        <f t="shared" si="430"/>
        <v>0</v>
      </c>
      <c r="F1084" s="126">
        <f t="shared" si="430"/>
        <v>0</v>
      </c>
      <c r="G1084" s="126">
        <f t="shared" si="430"/>
        <v>26740484269.560001</v>
      </c>
      <c r="H1084" s="126">
        <f t="shared" si="430"/>
        <v>0</v>
      </c>
      <c r="I1084" s="126">
        <f t="shared" si="430"/>
        <v>0</v>
      </c>
      <c r="J1084" s="126">
        <f t="shared" si="430"/>
        <v>0</v>
      </c>
      <c r="K1084" s="126">
        <f t="shared" si="430"/>
        <v>0</v>
      </c>
      <c r="L1084" s="126">
        <f t="shared" si="430"/>
        <v>0</v>
      </c>
      <c r="M1084" s="126">
        <f t="shared" si="430"/>
        <v>0</v>
      </c>
      <c r="N1084" s="126">
        <f t="shared" si="430"/>
        <v>0</v>
      </c>
      <c r="O1084" s="171">
        <f t="shared" si="427"/>
        <v>26740484269.560001</v>
      </c>
      <c r="P1084" s="107"/>
      <c r="Q1084" s="61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</row>
    <row r="1085" spans="1:74" s="66" customFormat="1" ht="14.25" x14ac:dyDescent="0.2">
      <c r="A1085" s="72" t="s">
        <v>1814</v>
      </c>
      <c r="B1085" s="73" t="s">
        <v>1815</v>
      </c>
      <c r="C1085" s="127"/>
      <c r="D1085" s="127"/>
      <c r="E1085" s="127"/>
      <c r="F1085" s="127"/>
      <c r="G1085" s="127">
        <v>233441300</v>
      </c>
      <c r="H1085" s="127"/>
      <c r="I1085" s="127"/>
      <c r="J1085" s="127"/>
      <c r="K1085" s="127"/>
      <c r="L1085" s="127"/>
      <c r="M1085" s="127"/>
      <c r="N1085" s="127"/>
      <c r="O1085" s="171">
        <f t="shared" si="427"/>
        <v>233441300</v>
      </c>
      <c r="P1085" s="65"/>
      <c r="Q1085" s="101"/>
      <c r="R1085" s="65"/>
      <c r="S1085" s="65"/>
      <c r="T1085" s="65"/>
      <c r="U1085" s="65"/>
      <c r="V1085" s="65"/>
      <c r="W1085" s="65"/>
      <c r="X1085" s="65"/>
      <c r="Y1085" s="65"/>
      <c r="Z1085" s="65"/>
      <c r="AA1085" s="65"/>
      <c r="AB1085" s="65"/>
      <c r="AC1085" s="65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  <c r="BH1085" s="65"/>
      <c r="BI1085" s="65"/>
      <c r="BJ1085" s="65"/>
      <c r="BK1085" s="65"/>
      <c r="BL1085" s="65"/>
      <c r="BM1085" s="65"/>
      <c r="BN1085" s="65"/>
      <c r="BO1085" s="65"/>
      <c r="BP1085" s="65"/>
      <c r="BQ1085" s="65"/>
      <c r="BR1085" s="65"/>
      <c r="BS1085" s="65"/>
      <c r="BT1085" s="65"/>
      <c r="BU1085" s="65"/>
      <c r="BV1085" s="65"/>
    </row>
    <row r="1086" spans="1:74" s="66" customFormat="1" ht="42.75" x14ac:dyDescent="0.2">
      <c r="A1086" s="72" t="s">
        <v>1816</v>
      </c>
      <c r="B1086" s="73" t="s">
        <v>1817</v>
      </c>
      <c r="C1086" s="127"/>
      <c r="D1086" s="127"/>
      <c r="E1086" s="127"/>
      <c r="F1086" s="127"/>
      <c r="G1086" s="127">
        <v>1434077627</v>
      </c>
      <c r="H1086" s="127"/>
      <c r="I1086" s="127"/>
      <c r="J1086" s="127"/>
      <c r="K1086" s="127"/>
      <c r="L1086" s="127"/>
      <c r="M1086" s="127"/>
      <c r="N1086" s="127"/>
      <c r="O1086" s="171">
        <f t="shared" si="427"/>
        <v>1434077627</v>
      </c>
      <c r="P1086" s="65"/>
      <c r="Q1086" s="101"/>
      <c r="R1086" s="65"/>
      <c r="S1086" s="65"/>
      <c r="T1086" s="65"/>
      <c r="U1086" s="65"/>
      <c r="V1086" s="65"/>
      <c r="W1086" s="65"/>
      <c r="X1086" s="65"/>
      <c r="Y1086" s="65"/>
      <c r="Z1086" s="65"/>
      <c r="AA1086" s="65"/>
      <c r="AB1086" s="65"/>
      <c r="AC1086" s="65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  <c r="BH1086" s="65"/>
      <c r="BI1086" s="65"/>
      <c r="BJ1086" s="65"/>
      <c r="BK1086" s="65"/>
      <c r="BL1086" s="65"/>
      <c r="BM1086" s="65"/>
      <c r="BN1086" s="65"/>
      <c r="BO1086" s="65"/>
      <c r="BP1086" s="65"/>
      <c r="BQ1086" s="65"/>
      <c r="BR1086" s="65"/>
      <c r="BS1086" s="65"/>
      <c r="BT1086" s="65"/>
      <c r="BU1086" s="65"/>
      <c r="BV1086" s="65"/>
    </row>
    <row r="1087" spans="1:74" s="66" customFormat="1" ht="42.75" x14ac:dyDescent="0.2">
      <c r="A1087" s="72" t="s">
        <v>1816</v>
      </c>
      <c r="B1087" s="73" t="s">
        <v>1817</v>
      </c>
      <c r="C1087" s="127"/>
      <c r="D1087" s="127"/>
      <c r="E1087" s="127"/>
      <c r="F1087" s="127"/>
      <c r="G1087" s="127">
        <v>1867033692</v>
      </c>
      <c r="H1087" s="127"/>
      <c r="I1087" s="127"/>
      <c r="J1087" s="127"/>
      <c r="K1087" s="127"/>
      <c r="L1087" s="127"/>
      <c r="M1087" s="127"/>
      <c r="N1087" s="127"/>
      <c r="O1087" s="171">
        <f t="shared" si="427"/>
        <v>1867033692</v>
      </c>
      <c r="P1087" s="65"/>
      <c r="Q1087" s="101"/>
      <c r="R1087" s="65"/>
      <c r="S1087" s="65"/>
      <c r="T1087" s="65"/>
      <c r="U1087" s="65"/>
      <c r="V1087" s="65"/>
      <c r="W1087" s="65"/>
      <c r="X1087" s="65"/>
      <c r="Y1087" s="65"/>
      <c r="Z1087" s="65"/>
      <c r="AA1087" s="65"/>
      <c r="AB1087" s="65"/>
      <c r="AC1087" s="65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  <c r="BH1087" s="65"/>
      <c r="BI1087" s="65"/>
      <c r="BJ1087" s="65"/>
      <c r="BK1087" s="65"/>
      <c r="BL1087" s="65"/>
      <c r="BM1087" s="65"/>
      <c r="BN1087" s="65"/>
      <c r="BO1087" s="65"/>
      <c r="BP1087" s="65"/>
      <c r="BQ1087" s="65"/>
      <c r="BR1087" s="65"/>
      <c r="BS1087" s="65"/>
      <c r="BT1087" s="65"/>
      <c r="BU1087" s="65"/>
      <c r="BV1087" s="65"/>
    </row>
    <row r="1088" spans="1:74" s="66" customFormat="1" ht="28.5" x14ac:dyDescent="0.2">
      <c r="A1088" s="72" t="s">
        <v>1818</v>
      </c>
      <c r="B1088" s="73" t="s">
        <v>1819</v>
      </c>
      <c r="C1088" s="127"/>
      <c r="D1088" s="127"/>
      <c r="E1088" s="127"/>
      <c r="F1088" s="127"/>
      <c r="G1088" s="127">
        <v>8254716.1600000001</v>
      </c>
      <c r="H1088" s="127"/>
      <c r="I1088" s="127"/>
      <c r="J1088" s="127"/>
      <c r="K1088" s="127"/>
      <c r="L1088" s="127"/>
      <c r="M1088" s="127"/>
      <c r="N1088" s="127"/>
      <c r="O1088" s="171">
        <f t="shared" si="427"/>
        <v>8254716.1600000001</v>
      </c>
      <c r="P1088" s="65"/>
      <c r="Q1088" s="101"/>
      <c r="R1088" s="65"/>
      <c r="S1088" s="65"/>
      <c r="T1088" s="65"/>
      <c r="U1088" s="65"/>
      <c r="V1088" s="65"/>
      <c r="W1088" s="65"/>
      <c r="X1088" s="65"/>
      <c r="Y1088" s="65"/>
      <c r="Z1088" s="65"/>
      <c r="AA1088" s="65"/>
      <c r="AB1088" s="65"/>
      <c r="AC1088" s="65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  <c r="BH1088" s="65"/>
      <c r="BI1088" s="65"/>
      <c r="BJ1088" s="65"/>
      <c r="BK1088" s="65"/>
      <c r="BL1088" s="65"/>
      <c r="BM1088" s="65"/>
      <c r="BN1088" s="65"/>
      <c r="BO1088" s="65"/>
      <c r="BP1088" s="65"/>
      <c r="BQ1088" s="65"/>
      <c r="BR1088" s="65"/>
      <c r="BS1088" s="65"/>
      <c r="BT1088" s="65"/>
      <c r="BU1088" s="65"/>
      <c r="BV1088" s="65"/>
    </row>
    <row r="1089" spans="1:74" s="66" customFormat="1" ht="28.5" x14ac:dyDescent="0.2">
      <c r="A1089" s="72" t="s">
        <v>1818</v>
      </c>
      <c r="B1089" s="73" t="s">
        <v>1819</v>
      </c>
      <c r="C1089" s="127"/>
      <c r="D1089" s="127"/>
      <c r="E1089" s="127"/>
      <c r="F1089" s="127"/>
      <c r="G1089" s="127">
        <v>79999980</v>
      </c>
      <c r="H1089" s="127"/>
      <c r="I1089" s="127"/>
      <c r="J1089" s="127"/>
      <c r="K1089" s="127"/>
      <c r="L1089" s="127"/>
      <c r="M1089" s="127"/>
      <c r="N1089" s="127"/>
      <c r="O1089" s="171">
        <f t="shared" si="427"/>
        <v>79999980</v>
      </c>
      <c r="P1089" s="65"/>
      <c r="Q1089" s="101"/>
      <c r="R1089" s="65"/>
      <c r="S1089" s="65"/>
      <c r="T1089" s="65"/>
      <c r="U1089" s="65"/>
      <c r="V1089" s="65"/>
      <c r="W1089" s="65"/>
      <c r="X1089" s="65"/>
      <c r="Y1089" s="65"/>
      <c r="Z1089" s="65"/>
      <c r="AA1089" s="65"/>
      <c r="AB1089" s="65"/>
      <c r="AC1089" s="65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BH1089" s="65"/>
      <c r="BI1089" s="65"/>
      <c r="BJ1089" s="65"/>
      <c r="BK1089" s="65"/>
      <c r="BL1089" s="65"/>
      <c r="BM1089" s="65"/>
      <c r="BN1089" s="65"/>
      <c r="BO1089" s="65"/>
      <c r="BP1089" s="65"/>
      <c r="BQ1089" s="65"/>
      <c r="BR1089" s="65"/>
      <c r="BS1089" s="65"/>
      <c r="BT1089" s="65"/>
      <c r="BU1089" s="65"/>
      <c r="BV1089" s="65"/>
    </row>
    <row r="1090" spans="1:74" s="66" customFormat="1" ht="28.5" x14ac:dyDescent="0.2">
      <c r="A1090" s="72" t="s">
        <v>1818</v>
      </c>
      <c r="B1090" s="73" t="s">
        <v>1819</v>
      </c>
      <c r="C1090" s="127"/>
      <c r="D1090" s="127"/>
      <c r="E1090" s="127"/>
      <c r="F1090" s="127"/>
      <c r="G1090" s="127">
        <v>6354037655.6199999</v>
      </c>
      <c r="H1090" s="127"/>
      <c r="I1090" s="127"/>
      <c r="J1090" s="127"/>
      <c r="K1090" s="127"/>
      <c r="L1090" s="127"/>
      <c r="M1090" s="127"/>
      <c r="N1090" s="127"/>
      <c r="O1090" s="171">
        <f t="shared" si="427"/>
        <v>6354037655.6199999</v>
      </c>
      <c r="P1090" s="65"/>
      <c r="Q1090" s="101"/>
      <c r="R1090" s="65"/>
      <c r="S1090" s="65"/>
      <c r="T1090" s="65"/>
      <c r="U1090" s="65"/>
      <c r="V1090" s="65"/>
      <c r="W1090" s="65"/>
      <c r="X1090" s="65"/>
      <c r="Y1090" s="65"/>
      <c r="Z1090" s="65"/>
      <c r="AA1090" s="65"/>
      <c r="AB1090" s="65"/>
      <c r="AC1090" s="65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  <c r="BH1090" s="65"/>
      <c r="BI1090" s="65"/>
      <c r="BJ1090" s="65"/>
      <c r="BK1090" s="65"/>
      <c r="BL1090" s="65"/>
      <c r="BM1090" s="65"/>
      <c r="BN1090" s="65"/>
      <c r="BO1090" s="65"/>
      <c r="BP1090" s="65"/>
      <c r="BQ1090" s="65"/>
      <c r="BR1090" s="65"/>
      <c r="BS1090" s="65"/>
      <c r="BT1090" s="65"/>
      <c r="BU1090" s="65"/>
      <c r="BV1090" s="65"/>
    </row>
    <row r="1091" spans="1:74" s="66" customFormat="1" ht="28.5" x14ac:dyDescent="0.2">
      <c r="A1091" s="72" t="s">
        <v>1818</v>
      </c>
      <c r="B1091" s="73" t="s">
        <v>1819</v>
      </c>
      <c r="C1091" s="127"/>
      <c r="D1091" s="127"/>
      <c r="E1091" s="127"/>
      <c r="F1091" s="127"/>
      <c r="G1091" s="127">
        <v>5410499.25</v>
      </c>
      <c r="H1091" s="127"/>
      <c r="I1091" s="127"/>
      <c r="J1091" s="127"/>
      <c r="K1091" s="127"/>
      <c r="L1091" s="127"/>
      <c r="M1091" s="127"/>
      <c r="N1091" s="127"/>
      <c r="O1091" s="171">
        <f t="shared" si="427"/>
        <v>5410499.25</v>
      </c>
      <c r="P1091" s="65"/>
      <c r="Q1091" s="101"/>
      <c r="R1091" s="65"/>
      <c r="S1091" s="65"/>
      <c r="T1091" s="65"/>
      <c r="U1091" s="65"/>
      <c r="V1091" s="65"/>
      <c r="W1091" s="65"/>
      <c r="X1091" s="65"/>
      <c r="Y1091" s="65"/>
      <c r="Z1091" s="65"/>
      <c r="AA1091" s="65"/>
      <c r="AB1091" s="65"/>
      <c r="AC1091" s="65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/>
      <c r="BI1091" s="65"/>
      <c r="BJ1091" s="65"/>
      <c r="BK1091" s="65"/>
      <c r="BL1091" s="65"/>
      <c r="BM1091" s="65"/>
      <c r="BN1091" s="65"/>
      <c r="BO1091" s="65"/>
      <c r="BP1091" s="65"/>
      <c r="BQ1091" s="65"/>
      <c r="BR1091" s="65"/>
      <c r="BS1091" s="65"/>
      <c r="BT1091" s="65"/>
      <c r="BU1091" s="65"/>
      <c r="BV1091" s="65"/>
    </row>
    <row r="1092" spans="1:74" s="66" customFormat="1" ht="28.5" x14ac:dyDescent="0.2">
      <c r="A1092" s="72" t="s">
        <v>1818</v>
      </c>
      <c r="B1092" s="73" t="s">
        <v>1819</v>
      </c>
      <c r="C1092" s="127"/>
      <c r="D1092" s="127"/>
      <c r="E1092" s="127"/>
      <c r="F1092" s="127"/>
      <c r="G1092" s="127">
        <v>233334</v>
      </c>
      <c r="H1092" s="127"/>
      <c r="I1092" s="127"/>
      <c r="J1092" s="127"/>
      <c r="K1092" s="127"/>
      <c r="L1092" s="127"/>
      <c r="M1092" s="127"/>
      <c r="N1092" s="127"/>
      <c r="O1092" s="171">
        <f t="shared" si="427"/>
        <v>233334</v>
      </c>
      <c r="P1092" s="65"/>
      <c r="Q1092" s="101"/>
      <c r="R1092" s="65"/>
      <c r="S1092" s="65"/>
      <c r="T1092" s="65"/>
      <c r="U1092" s="65"/>
      <c r="V1092" s="65"/>
      <c r="W1092" s="65"/>
      <c r="X1092" s="65"/>
      <c r="Y1092" s="65"/>
      <c r="Z1092" s="65"/>
      <c r="AA1092" s="65"/>
      <c r="AB1092" s="65"/>
      <c r="AC1092" s="65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  <c r="BH1092" s="65"/>
      <c r="BI1092" s="65"/>
      <c r="BJ1092" s="65"/>
      <c r="BK1092" s="65"/>
      <c r="BL1092" s="65"/>
      <c r="BM1092" s="65"/>
      <c r="BN1092" s="65"/>
      <c r="BO1092" s="65"/>
      <c r="BP1092" s="65"/>
      <c r="BQ1092" s="65"/>
      <c r="BR1092" s="65"/>
      <c r="BS1092" s="65"/>
      <c r="BT1092" s="65"/>
      <c r="BU1092" s="65"/>
      <c r="BV1092" s="65"/>
    </row>
    <row r="1093" spans="1:74" s="66" customFormat="1" ht="28.5" x14ac:dyDescent="0.2">
      <c r="A1093" s="72" t="s">
        <v>1818</v>
      </c>
      <c r="B1093" s="73" t="s">
        <v>1819</v>
      </c>
      <c r="C1093" s="127"/>
      <c r="D1093" s="127"/>
      <c r="E1093" s="127"/>
      <c r="F1093" s="127"/>
      <c r="G1093" s="127">
        <v>573503224</v>
      </c>
      <c r="H1093" s="127"/>
      <c r="I1093" s="127"/>
      <c r="J1093" s="127"/>
      <c r="K1093" s="127"/>
      <c r="L1093" s="127"/>
      <c r="M1093" s="127"/>
      <c r="N1093" s="127"/>
      <c r="O1093" s="171">
        <f t="shared" si="427"/>
        <v>573503224</v>
      </c>
      <c r="P1093" s="65"/>
      <c r="Q1093" s="101"/>
      <c r="R1093" s="65"/>
      <c r="S1093" s="65"/>
      <c r="T1093" s="65"/>
      <c r="U1093" s="65"/>
      <c r="V1093" s="65"/>
      <c r="W1093" s="65"/>
      <c r="X1093" s="65"/>
      <c r="Y1093" s="65"/>
      <c r="Z1093" s="65"/>
      <c r="AA1093" s="65"/>
      <c r="AB1093" s="65"/>
      <c r="AC1093" s="65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/>
      <c r="BI1093" s="65"/>
      <c r="BJ1093" s="65"/>
      <c r="BK1093" s="65"/>
      <c r="BL1093" s="65"/>
      <c r="BM1093" s="65"/>
      <c r="BN1093" s="65"/>
      <c r="BO1093" s="65"/>
      <c r="BP1093" s="65"/>
      <c r="BQ1093" s="65"/>
      <c r="BR1093" s="65"/>
      <c r="BS1093" s="65"/>
      <c r="BT1093" s="65"/>
      <c r="BU1093" s="65"/>
      <c r="BV1093" s="65"/>
    </row>
    <row r="1094" spans="1:74" s="66" customFormat="1" ht="28.5" x14ac:dyDescent="0.2">
      <c r="A1094" s="72" t="s">
        <v>1818</v>
      </c>
      <c r="B1094" s="73" t="s">
        <v>1819</v>
      </c>
      <c r="C1094" s="127"/>
      <c r="D1094" s="127"/>
      <c r="E1094" s="127"/>
      <c r="F1094" s="127"/>
      <c r="G1094" s="127">
        <v>158246.32999999999</v>
      </c>
      <c r="H1094" s="127"/>
      <c r="I1094" s="127"/>
      <c r="J1094" s="127"/>
      <c r="K1094" s="127"/>
      <c r="L1094" s="127"/>
      <c r="M1094" s="127"/>
      <c r="N1094" s="127"/>
      <c r="O1094" s="171">
        <f t="shared" si="427"/>
        <v>158246.32999999999</v>
      </c>
      <c r="P1094" s="65"/>
      <c r="Q1094" s="101"/>
      <c r="R1094" s="65"/>
      <c r="S1094" s="65"/>
      <c r="T1094" s="65"/>
      <c r="U1094" s="65"/>
      <c r="V1094" s="65"/>
      <c r="W1094" s="65"/>
      <c r="X1094" s="65"/>
      <c r="Y1094" s="65"/>
      <c r="Z1094" s="65"/>
      <c r="AA1094" s="65"/>
      <c r="AB1094" s="65"/>
      <c r="AC1094" s="65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  <c r="BH1094" s="65"/>
      <c r="BI1094" s="65"/>
      <c r="BJ1094" s="65"/>
      <c r="BK1094" s="65"/>
      <c r="BL1094" s="65"/>
      <c r="BM1094" s="65"/>
      <c r="BN1094" s="65"/>
      <c r="BO1094" s="65"/>
      <c r="BP1094" s="65"/>
      <c r="BQ1094" s="65"/>
      <c r="BR1094" s="65"/>
      <c r="BS1094" s="65"/>
      <c r="BT1094" s="65"/>
      <c r="BU1094" s="65"/>
      <c r="BV1094" s="65"/>
    </row>
    <row r="1095" spans="1:74" s="66" customFormat="1" ht="28.5" x14ac:dyDescent="0.2">
      <c r="A1095" s="72" t="s">
        <v>1818</v>
      </c>
      <c r="B1095" s="73" t="s">
        <v>1819</v>
      </c>
      <c r="C1095" s="127"/>
      <c r="D1095" s="127"/>
      <c r="E1095" s="127"/>
      <c r="F1095" s="127"/>
      <c r="G1095" s="127">
        <v>3387051.02</v>
      </c>
      <c r="H1095" s="127"/>
      <c r="I1095" s="127"/>
      <c r="J1095" s="127"/>
      <c r="K1095" s="127"/>
      <c r="L1095" s="127"/>
      <c r="M1095" s="127"/>
      <c r="N1095" s="127"/>
      <c r="O1095" s="171">
        <f t="shared" si="427"/>
        <v>3387051.02</v>
      </c>
      <c r="P1095" s="65"/>
      <c r="Q1095" s="101"/>
      <c r="R1095" s="65"/>
      <c r="S1095" s="65"/>
      <c r="T1095" s="65"/>
      <c r="U1095" s="65"/>
      <c r="V1095" s="65"/>
      <c r="W1095" s="65"/>
      <c r="X1095" s="65"/>
      <c r="Y1095" s="65"/>
      <c r="Z1095" s="65"/>
      <c r="AA1095" s="65"/>
      <c r="AB1095" s="65"/>
      <c r="AC1095" s="65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/>
      <c r="BI1095" s="65"/>
      <c r="BJ1095" s="65"/>
      <c r="BK1095" s="65"/>
      <c r="BL1095" s="65"/>
      <c r="BM1095" s="65"/>
      <c r="BN1095" s="65"/>
      <c r="BO1095" s="65"/>
      <c r="BP1095" s="65"/>
      <c r="BQ1095" s="65"/>
      <c r="BR1095" s="65"/>
      <c r="BS1095" s="65"/>
      <c r="BT1095" s="65"/>
      <c r="BU1095" s="65"/>
      <c r="BV1095" s="65"/>
    </row>
    <row r="1096" spans="1:74" s="66" customFormat="1" ht="28.5" x14ac:dyDescent="0.2">
      <c r="A1096" s="72" t="s">
        <v>1818</v>
      </c>
      <c r="B1096" s="73" t="s">
        <v>1819</v>
      </c>
      <c r="C1096" s="127"/>
      <c r="D1096" s="127"/>
      <c r="E1096" s="127"/>
      <c r="F1096" s="127"/>
      <c r="G1096" s="127">
        <v>1058927</v>
      </c>
      <c r="H1096" s="127"/>
      <c r="I1096" s="127"/>
      <c r="J1096" s="127"/>
      <c r="K1096" s="127"/>
      <c r="L1096" s="127"/>
      <c r="M1096" s="127"/>
      <c r="N1096" s="127"/>
      <c r="O1096" s="171">
        <f t="shared" ref="O1096:O1103" si="431">SUM(C1096:N1096)</f>
        <v>1058927</v>
      </c>
      <c r="P1096" s="65"/>
      <c r="Q1096" s="101"/>
      <c r="R1096" s="65"/>
      <c r="S1096" s="65"/>
      <c r="T1096" s="65"/>
      <c r="U1096" s="65"/>
      <c r="V1096" s="65"/>
      <c r="W1096" s="65"/>
      <c r="X1096" s="65"/>
      <c r="Y1096" s="65"/>
      <c r="Z1096" s="65"/>
      <c r="AA1096" s="65"/>
      <c r="AB1096" s="65"/>
      <c r="AC1096" s="65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/>
      <c r="BI1096" s="65"/>
      <c r="BJ1096" s="65"/>
      <c r="BK1096" s="65"/>
      <c r="BL1096" s="65"/>
      <c r="BM1096" s="65"/>
      <c r="BN1096" s="65"/>
      <c r="BO1096" s="65"/>
      <c r="BP1096" s="65"/>
      <c r="BQ1096" s="65"/>
      <c r="BR1096" s="65"/>
      <c r="BS1096" s="65"/>
      <c r="BT1096" s="65"/>
      <c r="BU1096" s="65"/>
      <c r="BV1096" s="65"/>
    </row>
    <row r="1097" spans="1:74" s="66" customFormat="1" ht="28.5" x14ac:dyDescent="0.2">
      <c r="A1097" s="72" t="s">
        <v>1818</v>
      </c>
      <c r="B1097" s="73" t="s">
        <v>1819</v>
      </c>
      <c r="C1097" s="127"/>
      <c r="D1097" s="127"/>
      <c r="E1097" s="127"/>
      <c r="F1097" s="127"/>
      <c r="G1097" s="127">
        <v>2435496.7799999998</v>
      </c>
      <c r="H1097" s="127"/>
      <c r="I1097" s="127"/>
      <c r="J1097" s="127"/>
      <c r="K1097" s="127"/>
      <c r="L1097" s="127"/>
      <c r="M1097" s="127"/>
      <c r="N1097" s="127"/>
      <c r="O1097" s="171">
        <f t="shared" si="431"/>
        <v>2435496.7799999998</v>
      </c>
      <c r="P1097" s="65"/>
      <c r="Q1097" s="101"/>
      <c r="R1097" s="65"/>
      <c r="S1097" s="65"/>
      <c r="T1097" s="65"/>
      <c r="U1097" s="65"/>
      <c r="V1097" s="65"/>
      <c r="W1097" s="65"/>
      <c r="X1097" s="65"/>
      <c r="Y1097" s="65"/>
      <c r="Z1097" s="65"/>
      <c r="AA1097" s="65"/>
      <c r="AB1097" s="65"/>
      <c r="AC1097" s="65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/>
      <c r="BI1097" s="65"/>
      <c r="BJ1097" s="65"/>
      <c r="BK1097" s="65"/>
      <c r="BL1097" s="65"/>
      <c r="BM1097" s="65"/>
      <c r="BN1097" s="65"/>
      <c r="BO1097" s="65"/>
      <c r="BP1097" s="65"/>
      <c r="BQ1097" s="65"/>
      <c r="BR1097" s="65"/>
      <c r="BS1097" s="65"/>
      <c r="BT1097" s="65"/>
      <c r="BU1097" s="65"/>
      <c r="BV1097" s="65"/>
    </row>
    <row r="1098" spans="1:74" s="66" customFormat="1" ht="28.5" x14ac:dyDescent="0.2">
      <c r="A1098" s="72" t="s">
        <v>1818</v>
      </c>
      <c r="B1098" s="73" t="s">
        <v>1819</v>
      </c>
      <c r="C1098" s="127"/>
      <c r="D1098" s="127"/>
      <c r="E1098" s="127"/>
      <c r="F1098" s="127"/>
      <c r="G1098" s="127">
        <v>50100000</v>
      </c>
      <c r="H1098" s="127"/>
      <c r="I1098" s="127"/>
      <c r="J1098" s="127"/>
      <c r="K1098" s="127"/>
      <c r="L1098" s="127"/>
      <c r="M1098" s="127"/>
      <c r="N1098" s="127"/>
      <c r="O1098" s="171">
        <f t="shared" si="431"/>
        <v>50100000</v>
      </c>
      <c r="P1098" s="65"/>
      <c r="Q1098" s="101"/>
      <c r="R1098" s="65"/>
      <c r="S1098" s="65"/>
      <c r="T1098" s="65"/>
      <c r="U1098" s="65"/>
      <c r="V1098" s="65"/>
      <c r="W1098" s="65"/>
      <c r="X1098" s="65"/>
      <c r="Y1098" s="65"/>
      <c r="Z1098" s="65"/>
      <c r="AA1098" s="65"/>
      <c r="AB1098" s="65"/>
      <c r="AC1098" s="65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/>
      <c r="BI1098" s="65"/>
      <c r="BJ1098" s="65"/>
      <c r="BK1098" s="65"/>
      <c r="BL1098" s="65"/>
      <c r="BM1098" s="65"/>
      <c r="BN1098" s="65"/>
      <c r="BO1098" s="65"/>
      <c r="BP1098" s="65"/>
      <c r="BQ1098" s="65"/>
      <c r="BR1098" s="65"/>
      <c r="BS1098" s="65"/>
      <c r="BT1098" s="65"/>
      <c r="BU1098" s="65"/>
      <c r="BV1098" s="65"/>
    </row>
    <row r="1099" spans="1:74" s="66" customFormat="1" ht="28.5" x14ac:dyDescent="0.2">
      <c r="A1099" s="72" t="s">
        <v>1818</v>
      </c>
      <c r="B1099" s="73" t="s">
        <v>1819</v>
      </c>
      <c r="C1099" s="127"/>
      <c r="D1099" s="127"/>
      <c r="E1099" s="127"/>
      <c r="F1099" s="127"/>
      <c r="G1099" s="127">
        <v>16500000</v>
      </c>
      <c r="H1099" s="127"/>
      <c r="I1099" s="127"/>
      <c r="J1099" s="127"/>
      <c r="K1099" s="127"/>
      <c r="L1099" s="127"/>
      <c r="M1099" s="127"/>
      <c r="N1099" s="127"/>
      <c r="O1099" s="171">
        <f t="shared" si="431"/>
        <v>16500000</v>
      </c>
      <c r="P1099" s="65"/>
      <c r="Q1099" s="101"/>
      <c r="R1099" s="65"/>
      <c r="S1099" s="65"/>
      <c r="T1099" s="65"/>
      <c r="U1099" s="65"/>
      <c r="V1099" s="65"/>
      <c r="W1099" s="65"/>
      <c r="X1099" s="65"/>
      <c r="Y1099" s="65"/>
      <c r="Z1099" s="65"/>
      <c r="AA1099" s="65"/>
      <c r="AB1099" s="65"/>
      <c r="AC1099" s="65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  <c r="BH1099" s="65"/>
      <c r="BI1099" s="65"/>
      <c r="BJ1099" s="65"/>
      <c r="BK1099" s="65"/>
      <c r="BL1099" s="65"/>
      <c r="BM1099" s="65"/>
      <c r="BN1099" s="65"/>
      <c r="BO1099" s="65"/>
      <c r="BP1099" s="65"/>
      <c r="BQ1099" s="65"/>
      <c r="BR1099" s="65"/>
      <c r="BS1099" s="65"/>
      <c r="BT1099" s="65"/>
      <c r="BU1099" s="65"/>
      <c r="BV1099" s="65"/>
    </row>
    <row r="1100" spans="1:74" s="66" customFormat="1" ht="28.5" x14ac:dyDescent="0.2">
      <c r="A1100" s="72" t="s">
        <v>1818</v>
      </c>
      <c r="B1100" s="73" t="s">
        <v>1819</v>
      </c>
      <c r="C1100" s="127"/>
      <c r="D1100" s="127"/>
      <c r="E1100" s="127"/>
      <c r="F1100" s="127"/>
      <c r="G1100" s="127">
        <v>4132604</v>
      </c>
      <c r="H1100" s="127"/>
      <c r="I1100" s="127"/>
      <c r="J1100" s="127"/>
      <c r="K1100" s="127"/>
      <c r="L1100" s="127"/>
      <c r="M1100" s="127"/>
      <c r="N1100" s="127"/>
      <c r="O1100" s="171">
        <f t="shared" si="431"/>
        <v>4132604</v>
      </c>
      <c r="P1100" s="65"/>
      <c r="Q1100" s="101"/>
      <c r="R1100" s="65"/>
      <c r="S1100" s="65"/>
      <c r="T1100" s="65"/>
      <c r="U1100" s="65"/>
      <c r="V1100" s="65"/>
      <c r="W1100" s="65"/>
      <c r="X1100" s="65"/>
      <c r="Y1100" s="65"/>
      <c r="Z1100" s="65"/>
      <c r="AA1100" s="65"/>
      <c r="AB1100" s="65"/>
      <c r="AC1100" s="65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  <c r="BH1100" s="65"/>
      <c r="BI1100" s="65"/>
      <c r="BJ1100" s="65"/>
      <c r="BK1100" s="65"/>
      <c r="BL1100" s="65"/>
      <c r="BM1100" s="65"/>
      <c r="BN1100" s="65"/>
      <c r="BO1100" s="65"/>
      <c r="BP1100" s="65"/>
      <c r="BQ1100" s="65"/>
      <c r="BR1100" s="65"/>
      <c r="BS1100" s="65"/>
      <c r="BT1100" s="65"/>
      <c r="BU1100" s="65"/>
      <c r="BV1100" s="65"/>
    </row>
    <row r="1101" spans="1:74" s="66" customFormat="1" ht="28.5" x14ac:dyDescent="0.2">
      <c r="A1101" s="72" t="s">
        <v>1818</v>
      </c>
      <c r="B1101" s="73" t="s">
        <v>1819</v>
      </c>
      <c r="C1101" s="127"/>
      <c r="D1101" s="127"/>
      <c r="E1101" s="127"/>
      <c r="F1101" s="127"/>
      <c r="G1101" s="127">
        <v>499616810.38999999</v>
      </c>
      <c r="H1101" s="127"/>
      <c r="I1101" s="127"/>
      <c r="J1101" s="127"/>
      <c r="K1101" s="127"/>
      <c r="L1101" s="127"/>
      <c r="M1101" s="127"/>
      <c r="N1101" s="127"/>
      <c r="O1101" s="171">
        <f t="shared" si="431"/>
        <v>499616810.38999999</v>
      </c>
      <c r="P1101" s="65"/>
      <c r="Q1101" s="101"/>
      <c r="R1101" s="65"/>
      <c r="S1101" s="65"/>
      <c r="T1101" s="65"/>
      <c r="U1101" s="65"/>
      <c r="V1101" s="65"/>
      <c r="W1101" s="65"/>
      <c r="X1101" s="65"/>
      <c r="Y1101" s="65"/>
      <c r="Z1101" s="65"/>
      <c r="AA1101" s="65"/>
      <c r="AB1101" s="65"/>
      <c r="AC1101" s="65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  <c r="BH1101" s="65"/>
      <c r="BI1101" s="65"/>
      <c r="BJ1101" s="65"/>
      <c r="BK1101" s="65"/>
      <c r="BL1101" s="65"/>
      <c r="BM1101" s="65"/>
      <c r="BN1101" s="65"/>
      <c r="BO1101" s="65"/>
      <c r="BP1101" s="65"/>
      <c r="BQ1101" s="65"/>
      <c r="BR1101" s="65"/>
      <c r="BS1101" s="65"/>
      <c r="BT1101" s="65"/>
      <c r="BU1101" s="65"/>
      <c r="BV1101" s="65"/>
    </row>
    <row r="1102" spans="1:74" s="66" customFormat="1" ht="28.5" x14ac:dyDescent="0.2">
      <c r="A1102" s="72" t="s">
        <v>1818</v>
      </c>
      <c r="B1102" s="73" t="s">
        <v>1819</v>
      </c>
      <c r="C1102" s="127"/>
      <c r="D1102" s="127"/>
      <c r="E1102" s="127"/>
      <c r="F1102" s="127"/>
      <c r="G1102" s="127">
        <v>6056617823.2399998</v>
      </c>
      <c r="H1102" s="127"/>
      <c r="I1102" s="127"/>
      <c r="J1102" s="127"/>
      <c r="K1102" s="127"/>
      <c r="L1102" s="127"/>
      <c r="M1102" s="127"/>
      <c r="N1102" s="127"/>
      <c r="O1102" s="171">
        <f t="shared" si="431"/>
        <v>6056617823.2399998</v>
      </c>
      <c r="P1102" s="65"/>
      <c r="Q1102" s="101"/>
      <c r="R1102" s="65"/>
      <c r="S1102" s="65"/>
      <c r="T1102" s="65"/>
      <c r="U1102" s="65"/>
      <c r="V1102" s="65"/>
      <c r="W1102" s="65"/>
      <c r="X1102" s="65"/>
      <c r="Y1102" s="65"/>
      <c r="Z1102" s="65"/>
      <c r="AA1102" s="65"/>
      <c r="AB1102" s="65"/>
      <c r="AC1102" s="65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  <c r="BH1102" s="65"/>
      <c r="BI1102" s="65"/>
      <c r="BJ1102" s="65"/>
      <c r="BK1102" s="65"/>
      <c r="BL1102" s="65"/>
      <c r="BM1102" s="65"/>
      <c r="BN1102" s="65"/>
      <c r="BO1102" s="65"/>
      <c r="BP1102" s="65"/>
      <c r="BQ1102" s="65"/>
      <c r="BR1102" s="65"/>
      <c r="BS1102" s="65"/>
      <c r="BT1102" s="65"/>
      <c r="BU1102" s="65"/>
      <c r="BV1102" s="65"/>
    </row>
    <row r="1103" spans="1:74" s="66" customFormat="1" ht="29.25" thickBot="1" x14ac:dyDescent="0.25">
      <c r="A1103" s="148" t="s">
        <v>1818</v>
      </c>
      <c r="B1103" s="192" t="s">
        <v>1819</v>
      </c>
      <c r="C1103" s="232"/>
      <c r="D1103" s="232"/>
      <c r="E1103" s="232"/>
      <c r="F1103" s="232"/>
      <c r="G1103" s="232">
        <v>9550485282.7700005</v>
      </c>
      <c r="H1103" s="232"/>
      <c r="I1103" s="232"/>
      <c r="J1103" s="232"/>
      <c r="K1103" s="232"/>
      <c r="L1103" s="232"/>
      <c r="M1103" s="232"/>
      <c r="N1103" s="232"/>
      <c r="O1103" s="261">
        <f t="shared" si="431"/>
        <v>9550485282.7700005</v>
      </c>
      <c r="P1103" s="65"/>
      <c r="Q1103" s="101"/>
      <c r="R1103" s="65"/>
      <c r="S1103" s="65"/>
      <c r="T1103" s="65"/>
      <c r="U1103" s="65"/>
      <c r="V1103" s="65"/>
      <c r="W1103" s="65"/>
      <c r="X1103" s="65"/>
      <c r="Y1103" s="65"/>
      <c r="Z1103" s="65"/>
      <c r="AA1103" s="65"/>
      <c r="AB1103" s="65"/>
      <c r="AC1103" s="65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  <c r="BH1103" s="65"/>
      <c r="BI1103" s="65"/>
      <c r="BJ1103" s="65"/>
      <c r="BK1103" s="65"/>
      <c r="BL1103" s="65"/>
      <c r="BM1103" s="65"/>
      <c r="BN1103" s="65"/>
      <c r="BO1103" s="65"/>
      <c r="BP1103" s="65"/>
      <c r="BQ1103" s="65"/>
      <c r="BR1103" s="65"/>
      <c r="BS1103" s="65"/>
      <c r="BT1103" s="65"/>
      <c r="BU1103" s="65"/>
      <c r="BV1103" s="65"/>
    </row>
    <row r="1104" spans="1:74" s="111" customFormat="1" ht="33" customHeight="1" thickBot="1" x14ac:dyDescent="0.25">
      <c r="A1104" s="445" t="s">
        <v>22</v>
      </c>
      <c r="B1104" s="446"/>
      <c r="C1104" s="262">
        <f t="shared" ref="C1104:O1104" si="432">+C820+C1081</f>
        <v>0</v>
      </c>
      <c r="D1104" s="262">
        <f t="shared" si="432"/>
        <v>0</v>
      </c>
      <c r="E1104" s="262">
        <f t="shared" si="432"/>
        <v>288000000</v>
      </c>
      <c r="F1104" s="262">
        <f t="shared" si="432"/>
        <v>13935863889.029999</v>
      </c>
      <c r="G1104" s="262">
        <f t="shared" si="432"/>
        <v>49610414749.880005</v>
      </c>
      <c r="H1104" s="262">
        <f t="shared" si="432"/>
        <v>11584539610.870001</v>
      </c>
      <c r="I1104" s="262">
        <f t="shared" si="432"/>
        <v>0</v>
      </c>
      <c r="J1104" s="262">
        <f t="shared" si="432"/>
        <v>0</v>
      </c>
      <c r="K1104" s="262">
        <f t="shared" si="432"/>
        <v>17471346367</v>
      </c>
      <c r="L1104" s="262">
        <f t="shared" si="432"/>
        <v>0</v>
      </c>
      <c r="M1104" s="262">
        <f t="shared" si="432"/>
        <v>0</v>
      </c>
      <c r="N1104" s="262">
        <f t="shared" si="432"/>
        <v>47877664452</v>
      </c>
      <c r="O1104" s="262">
        <f t="shared" si="432"/>
        <v>140767829068.78</v>
      </c>
      <c r="P1104" s="110"/>
      <c r="Q1104" s="104"/>
      <c r="R1104" s="110"/>
      <c r="S1104" s="110"/>
      <c r="T1104" s="110"/>
      <c r="U1104" s="110"/>
      <c r="V1104" s="110"/>
      <c r="W1104" s="110"/>
      <c r="X1104" s="110"/>
      <c r="Y1104" s="110"/>
      <c r="Z1104" s="110"/>
      <c r="AA1104" s="110"/>
      <c r="AB1104" s="110"/>
      <c r="AC1104" s="110"/>
      <c r="AD1104" s="110"/>
      <c r="AE1104" s="110"/>
      <c r="AF1104" s="110"/>
      <c r="AG1104" s="110"/>
      <c r="AH1104" s="110"/>
      <c r="AI1104" s="110"/>
      <c r="AJ1104" s="110"/>
      <c r="AK1104" s="110"/>
      <c r="AL1104" s="110"/>
      <c r="AM1104" s="110"/>
      <c r="AN1104" s="110"/>
      <c r="AO1104" s="110"/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  <c r="BA1104" s="110"/>
      <c r="BB1104" s="110"/>
      <c r="BC1104" s="110"/>
      <c r="BD1104" s="110"/>
      <c r="BE1104" s="110"/>
      <c r="BF1104" s="110"/>
      <c r="BG1104" s="110"/>
      <c r="BH1104" s="110"/>
      <c r="BI1104" s="110"/>
      <c r="BJ1104" s="110"/>
      <c r="BK1104" s="110"/>
      <c r="BL1104" s="110"/>
      <c r="BM1104" s="110"/>
      <c r="BN1104" s="110"/>
      <c r="BO1104" s="110"/>
      <c r="BP1104" s="110"/>
      <c r="BQ1104" s="110"/>
      <c r="BR1104" s="110"/>
      <c r="BS1104" s="110"/>
      <c r="BT1104" s="110"/>
      <c r="BU1104" s="110"/>
      <c r="BV1104" s="110"/>
    </row>
    <row r="1105" spans="1:74" s="83" customFormat="1" x14ac:dyDescent="0.2">
      <c r="A1105" s="116"/>
      <c r="B1105" s="117"/>
      <c r="C1105" s="118"/>
      <c r="D1105" s="118"/>
      <c r="E1105" s="118"/>
      <c r="F1105" s="118"/>
      <c r="G1105" s="119"/>
      <c r="H1105" s="118"/>
      <c r="I1105" s="118"/>
      <c r="J1105" s="118"/>
      <c r="K1105" s="118"/>
      <c r="L1105" s="118"/>
      <c r="M1105" s="118"/>
      <c r="N1105" s="118"/>
      <c r="O1105" s="98"/>
      <c r="P1105" s="82"/>
      <c r="Q1105" s="82"/>
      <c r="R1105" s="82"/>
      <c r="S1105" s="82"/>
      <c r="T1105" s="82"/>
      <c r="U1105" s="82"/>
      <c r="V1105" s="82"/>
      <c r="W1105" s="82"/>
      <c r="X1105" s="82"/>
      <c r="Y1105" s="82"/>
      <c r="Z1105" s="82"/>
      <c r="AA1105" s="82"/>
      <c r="AB1105" s="82"/>
      <c r="AC1105" s="82"/>
      <c r="AD1105" s="82"/>
      <c r="AE1105" s="82"/>
      <c r="AF1105" s="82"/>
      <c r="AG1105" s="82"/>
      <c r="AH1105" s="82"/>
      <c r="AI1105" s="82"/>
      <c r="AJ1105" s="82"/>
      <c r="AK1105" s="82"/>
      <c r="AL1105" s="82"/>
      <c r="AM1105" s="82"/>
      <c r="AN1105" s="82"/>
      <c r="AO1105" s="82"/>
      <c r="AP1105" s="82"/>
      <c r="AQ1105" s="82"/>
      <c r="AR1105" s="82"/>
      <c r="AS1105" s="82"/>
      <c r="AT1105" s="82"/>
      <c r="AU1105" s="82"/>
      <c r="AV1105" s="82"/>
      <c r="AW1105" s="82"/>
      <c r="AX1105" s="82"/>
      <c r="AY1105" s="82"/>
      <c r="AZ1105" s="82"/>
      <c r="BA1105" s="82"/>
      <c r="BB1105" s="82"/>
      <c r="BC1105" s="82"/>
      <c r="BD1105" s="82"/>
      <c r="BE1105" s="82"/>
      <c r="BF1105" s="82"/>
      <c r="BG1105" s="82"/>
      <c r="BH1105" s="82"/>
      <c r="BI1105" s="82"/>
      <c r="BJ1105" s="82"/>
      <c r="BK1105" s="82"/>
      <c r="BL1105" s="82"/>
      <c r="BM1105" s="82"/>
      <c r="BN1105" s="82"/>
      <c r="BO1105" s="82"/>
      <c r="BP1105" s="82"/>
      <c r="BQ1105" s="82"/>
      <c r="BR1105" s="82"/>
      <c r="BS1105" s="82"/>
      <c r="BT1105" s="82"/>
      <c r="BU1105" s="82"/>
      <c r="BV1105" s="82"/>
    </row>
    <row r="1106" spans="1:74" s="83" customFormat="1" ht="19.5" x14ac:dyDescent="0.2">
      <c r="A1106" s="439" t="s">
        <v>263</v>
      </c>
      <c r="B1106" s="440"/>
      <c r="C1106" s="70"/>
      <c r="D1106" s="70"/>
      <c r="E1106" s="70"/>
      <c r="F1106" s="70"/>
      <c r="G1106" s="134"/>
      <c r="H1106" s="70"/>
      <c r="I1106" s="70"/>
      <c r="J1106" s="70"/>
      <c r="K1106" s="70"/>
      <c r="L1106" s="70"/>
      <c r="M1106" s="70"/>
      <c r="N1106" s="70"/>
      <c r="O1106" s="84"/>
      <c r="P1106" s="82"/>
      <c r="Q1106" s="82"/>
      <c r="R1106" s="82"/>
      <c r="S1106" s="82"/>
      <c r="T1106" s="82"/>
      <c r="U1106" s="82"/>
      <c r="V1106" s="82"/>
      <c r="W1106" s="82"/>
      <c r="X1106" s="82"/>
      <c r="Y1106" s="82"/>
      <c r="Z1106" s="82"/>
      <c r="AA1106" s="82"/>
      <c r="AB1106" s="82"/>
      <c r="AC1106" s="82"/>
      <c r="AD1106" s="82"/>
      <c r="AE1106" s="82"/>
      <c r="AF1106" s="82"/>
      <c r="AG1106" s="82"/>
      <c r="AH1106" s="82"/>
      <c r="AI1106" s="82"/>
      <c r="AJ1106" s="82"/>
      <c r="AK1106" s="82"/>
      <c r="AL1106" s="82"/>
      <c r="AM1106" s="82"/>
      <c r="AN1106" s="82"/>
      <c r="AO1106" s="82"/>
      <c r="AP1106" s="82"/>
      <c r="AQ1106" s="82"/>
      <c r="AR1106" s="82"/>
      <c r="AS1106" s="82"/>
      <c r="AT1106" s="82"/>
      <c r="AU1106" s="82"/>
      <c r="AV1106" s="82"/>
      <c r="AW1106" s="82"/>
      <c r="AX1106" s="82"/>
      <c r="AY1106" s="82"/>
      <c r="AZ1106" s="82"/>
      <c r="BA1106" s="82"/>
      <c r="BB1106" s="82"/>
      <c r="BC1106" s="82"/>
      <c r="BD1106" s="82"/>
      <c r="BE1106" s="82"/>
      <c r="BF1106" s="82"/>
      <c r="BG1106" s="82"/>
      <c r="BH1106" s="82"/>
      <c r="BI1106" s="82"/>
      <c r="BJ1106" s="82"/>
      <c r="BK1106" s="82"/>
      <c r="BL1106" s="82"/>
      <c r="BM1106" s="82"/>
      <c r="BN1106" s="82"/>
      <c r="BO1106" s="82"/>
      <c r="BP1106" s="82"/>
      <c r="BQ1106" s="82"/>
      <c r="BR1106" s="82"/>
      <c r="BS1106" s="82"/>
      <c r="BT1106" s="82"/>
      <c r="BU1106" s="82"/>
      <c r="BV1106" s="82"/>
    </row>
    <row r="1107" spans="1:74" s="83" customFormat="1" ht="34.5" thickBot="1" x14ac:dyDescent="0.25">
      <c r="A1107" s="133"/>
      <c r="B1107" s="135" t="s">
        <v>265</v>
      </c>
      <c r="C1107" s="70"/>
      <c r="D1107" s="200">
        <v>5270880557.3299999</v>
      </c>
      <c r="E1107" s="134"/>
      <c r="F1107" s="70"/>
      <c r="G1107" s="134"/>
      <c r="H1107" s="70"/>
      <c r="I1107" s="70"/>
      <c r="J1107" s="70"/>
      <c r="K1107" s="175"/>
      <c r="L1107" s="70"/>
      <c r="M1107" s="70"/>
      <c r="N1107" s="70"/>
      <c r="O1107" s="84">
        <f t="shared" ref="O1107" si="433">SUM(C1107:N1107)</f>
        <v>5270880557.3299999</v>
      </c>
      <c r="P1107" s="82"/>
      <c r="Q1107" s="82"/>
      <c r="R1107" s="82"/>
      <c r="S1107" s="82"/>
      <c r="T1107" s="82"/>
      <c r="U1107" s="82"/>
      <c r="V1107" s="82"/>
      <c r="W1107" s="82"/>
      <c r="X1107" s="82"/>
      <c r="Y1107" s="82"/>
      <c r="Z1107" s="82"/>
      <c r="AA1107" s="82"/>
      <c r="AB1107" s="82"/>
      <c r="AC1107" s="82"/>
      <c r="AD1107" s="82"/>
      <c r="AE1107" s="82"/>
      <c r="AF1107" s="82"/>
      <c r="AG1107" s="82"/>
      <c r="AH1107" s="82"/>
      <c r="AI1107" s="82"/>
      <c r="AJ1107" s="82"/>
      <c r="AK1107" s="82"/>
      <c r="AL1107" s="82"/>
      <c r="AM1107" s="82"/>
      <c r="AN1107" s="82"/>
      <c r="AO1107" s="82"/>
      <c r="AP1107" s="82"/>
      <c r="AQ1107" s="82"/>
      <c r="AR1107" s="82"/>
      <c r="AS1107" s="82"/>
      <c r="AT1107" s="82"/>
      <c r="AU1107" s="82"/>
      <c r="AV1107" s="82"/>
      <c r="AW1107" s="82"/>
      <c r="AX1107" s="82"/>
      <c r="AY1107" s="82"/>
      <c r="AZ1107" s="82"/>
      <c r="BA1107" s="82"/>
      <c r="BB1107" s="82"/>
      <c r="BC1107" s="82"/>
      <c r="BD1107" s="82"/>
      <c r="BE1107" s="82"/>
      <c r="BF1107" s="82"/>
      <c r="BG1107" s="82"/>
      <c r="BH1107" s="82"/>
      <c r="BI1107" s="82"/>
      <c r="BJ1107" s="82"/>
      <c r="BK1107" s="82"/>
      <c r="BL1107" s="82"/>
      <c r="BM1107" s="82"/>
      <c r="BN1107" s="82"/>
      <c r="BO1107" s="82"/>
      <c r="BP1107" s="82"/>
      <c r="BQ1107" s="82"/>
      <c r="BR1107" s="82"/>
      <c r="BS1107" s="82"/>
      <c r="BT1107" s="82"/>
      <c r="BU1107" s="82"/>
      <c r="BV1107" s="82"/>
    </row>
    <row r="1108" spans="1:74" s="83" customFormat="1" ht="20.25" thickBot="1" x14ac:dyDescent="0.25">
      <c r="A1108" s="443" t="s">
        <v>264</v>
      </c>
      <c r="B1108" s="444"/>
      <c r="C1108" s="109">
        <f>+C1107</f>
        <v>0</v>
      </c>
      <c r="D1108" s="109">
        <f t="shared" ref="D1108:N1108" si="434">+D1107</f>
        <v>5270880557.3299999</v>
      </c>
      <c r="E1108" s="109">
        <f t="shared" si="434"/>
        <v>0</v>
      </c>
      <c r="F1108" s="109">
        <f t="shared" si="434"/>
        <v>0</v>
      </c>
      <c r="G1108" s="109">
        <f t="shared" si="434"/>
        <v>0</v>
      </c>
      <c r="H1108" s="109">
        <f t="shared" si="434"/>
        <v>0</v>
      </c>
      <c r="I1108" s="109">
        <f t="shared" si="434"/>
        <v>0</v>
      </c>
      <c r="J1108" s="109">
        <f t="shared" si="434"/>
        <v>0</v>
      </c>
      <c r="K1108" s="109">
        <f t="shared" si="434"/>
        <v>0</v>
      </c>
      <c r="L1108" s="109">
        <f t="shared" si="434"/>
        <v>0</v>
      </c>
      <c r="M1108" s="109">
        <f t="shared" si="434"/>
        <v>0</v>
      </c>
      <c r="N1108" s="109">
        <f t="shared" si="434"/>
        <v>0</v>
      </c>
      <c r="O1108" s="114">
        <f>SUM(C1108:N1108)</f>
        <v>5270880557.3299999</v>
      </c>
      <c r="P1108" s="82"/>
      <c r="Q1108" s="82"/>
      <c r="R1108" s="82"/>
      <c r="S1108" s="82"/>
      <c r="T1108" s="82"/>
      <c r="U1108" s="82"/>
      <c r="V1108" s="82"/>
      <c r="W1108" s="82"/>
      <c r="X1108" s="82"/>
      <c r="Y1108" s="82"/>
      <c r="Z1108" s="82"/>
      <c r="AA1108" s="82"/>
      <c r="AB1108" s="82"/>
      <c r="AC1108" s="82"/>
      <c r="AD1108" s="82"/>
      <c r="AE1108" s="82"/>
      <c r="AF1108" s="82"/>
      <c r="AG1108" s="82"/>
      <c r="AH1108" s="82"/>
      <c r="AI1108" s="82"/>
      <c r="AJ1108" s="82"/>
      <c r="AK1108" s="82"/>
      <c r="AL1108" s="82"/>
      <c r="AM1108" s="82"/>
      <c r="AN1108" s="82"/>
      <c r="AO1108" s="82"/>
      <c r="AP1108" s="82"/>
      <c r="AQ1108" s="82"/>
      <c r="AR1108" s="82"/>
      <c r="AS1108" s="82"/>
      <c r="AT1108" s="82"/>
      <c r="AU1108" s="82"/>
      <c r="AV1108" s="82"/>
      <c r="AW1108" s="82"/>
      <c r="AX1108" s="82"/>
      <c r="AY1108" s="82"/>
      <c r="AZ1108" s="82"/>
      <c r="BA1108" s="82"/>
      <c r="BB1108" s="82"/>
      <c r="BC1108" s="82"/>
      <c r="BD1108" s="82"/>
      <c r="BE1108" s="82"/>
      <c r="BF1108" s="82"/>
      <c r="BG1108" s="82"/>
      <c r="BH1108" s="82"/>
      <c r="BI1108" s="82"/>
      <c r="BJ1108" s="82"/>
      <c r="BK1108" s="82"/>
      <c r="BL1108" s="82"/>
      <c r="BM1108" s="82"/>
      <c r="BN1108" s="82"/>
      <c r="BO1108" s="82"/>
      <c r="BP1108" s="82"/>
      <c r="BQ1108" s="82"/>
      <c r="BR1108" s="82"/>
      <c r="BS1108" s="82"/>
      <c r="BT1108" s="82"/>
      <c r="BU1108" s="82"/>
      <c r="BV1108" s="82"/>
    </row>
    <row r="1109" spans="1:74" s="83" customFormat="1" x14ac:dyDescent="0.2">
      <c r="A1109" s="116"/>
      <c r="B1109" s="117"/>
      <c r="C1109" s="118"/>
      <c r="D1109" s="118"/>
      <c r="E1109" s="118"/>
      <c r="F1109" s="118"/>
      <c r="G1109" s="119"/>
      <c r="H1109" s="118"/>
      <c r="I1109" s="118"/>
      <c r="J1109" s="118"/>
      <c r="K1109" s="118"/>
      <c r="L1109" s="118"/>
      <c r="M1109" s="118"/>
      <c r="N1109" s="118"/>
      <c r="O1109" s="98"/>
      <c r="P1109" s="82"/>
      <c r="Q1109" s="82"/>
      <c r="R1109" s="82"/>
      <c r="S1109" s="82"/>
      <c r="T1109" s="82"/>
      <c r="U1109" s="82"/>
      <c r="V1109" s="82"/>
      <c r="W1109" s="82"/>
      <c r="X1109" s="82"/>
      <c r="Y1109" s="82"/>
      <c r="Z1109" s="82"/>
      <c r="AA1109" s="82"/>
      <c r="AB1109" s="82"/>
      <c r="AC1109" s="82"/>
      <c r="AD1109" s="82"/>
      <c r="AE1109" s="82"/>
      <c r="AF1109" s="82"/>
      <c r="AG1109" s="82"/>
      <c r="AH1109" s="82"/>
      <c r="AI1109" s="82"/>
      <c r="AJ1109" s="82"/>
      <c r="AK1109" s="82"/>
      <c r="AL1109" s="82"/>
      <c r="AM1109" s="82"/>
      <c r="AN1109" s="82"/>
      <c r="AO1109" s="82"/>
      <c r="AP1109" s="82"/>
      <c r="AQ1109" s="82"/>
      <c r="AR1109" s="82"/>
      <c r="AS1109" s="82"/>
      <c r="AT1109" s="82"/>
      <c r="AU1109" s="82"/>
      <c r="AV1109" s="82"/>
      <c r="AW1109" s="82"/>
      <c r="AX1109" s="82"/>
      <c r="AY1109" s="82"/>
      <c r="AZ1109" s="82"/>
      <c r="BA1109" s="82"/>
      <c r="BB1109" s="82"/>
      <c r="BC1109" s="82"/>
      <c r="BD1109" s="82"/>
      <c r="BE1109" s="82"/>
      <c r="BF1109" s="82"/>
      <c r="BG1109" s="82"/>
      <c r="BH1109" s="82"/>
      <c r="BI1109" s="82"/>
      <c r="BJ1109" s="82"/>
      <c r="BK1109" s="82"/>
      <c r="BL1109" s="82"/>
      <c r="BM1109" s="82"/>
      <c r="BN1109" s="82"/>
      <c r="BO1109" s="82"/>
      <c r="BP1109" s="82"/>
      <c r="BQ1109" s="82"/>
      <c r="BR1109" s="82"/>
      <c r="BS1109" s="82"/>
      <c r="BT1109" s="82"/>
      <c r="BU1109" s="82"/>
      <c r="BV1109" s="82"/>
    </row>
    <row r="1110" spans="1:74" s="106" customFormat="1" ht="15.75" x14ac:dyDescent="0.2">
      <c r="A1110" s="477" t="s">
        <v>31</v>
      </c>
      <c r="B1110" s="478"/>
      <c r="C1110" s="115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89">
        <f>SUM(C1110:N1110)</f>
        <v>0</v>
      </c>
      <c r="P1110" s="105"/>
      <c r="Q1110" s="105"/>
      <c r="R1110" s="105"/>
      <c r="S1110" s="105"/>
      <c r="T1110" s="105"/>
      <c r="U1110" s="105"/>
      <c r="V1110" s="105"/>
      <c r="W1110" s="105"/>
      <c r="X1110" s="105"/>
      <c r="Y1110" s="105"/>
      <c r="Z1110" s="105"/>
      <c r="AA1110" s="105"/>
      <c r="AB1110" s="105"/>
      <c r="AC1110" s="105"/>
      <c r="AD1110" s="105"/>
      <c r="AE1110" s="105"/>
      <c r="AF1110" s="105"/>
      <c r="AG1110" s="105"/>
      <c r="AH1110" s="105"/>
      <c r="AI1110" s="105"/>
      <c r="AJ1110" s="105"/>
      <c r="AK1110" s="105"/>
      <c r="AL1110" s="105"/>
      <c r="AM1110" s="105"/>
      <c r="AN1110" s="105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</row>
    <row r="1111" spans="1:74" s="106" customFormat="1" ht="19.5" x14ac:dyDescent="0.2">
      <c r="A1111" s="156" t="s">
        <v>381</v>
      </c>
      <c r="B1111" s="157" t="s">
        <v>1109</v>
      </c>
      <c r="C1111" s="158">
        <f t="shared" ref="C1111:N1111" si="435">+C1112+C1120</f>
        <v>0</v>
      </c>
      <c r="D1111" s="158">
        <f t="shared" si="435"/>
        <v>0</v>
      </c>
      <c r="E1111" s="158">
        <f t="shared" si="435"/>
        <v>0</v>
      </c>
      <c r="F1111" s="158">
        <f t="shared" si="435"/>
        <v>0</v>
      </c>
      <c r="G1111" s="158">
        <f t="shared" si="435"/>
        <v>0</v>
      </c>
      <c r="H1111" s="158">
        <f t="shared" si="435"/>
        <v>0</v>
      </c>
      <c r="I1111" s="158">
        <f t="shared" si="435"/>
        <v>0</v>
      </c>
      <c r="J1111" s="158">
        <f t="shared" si="435"/>
        <v>2782944810</v>
      </c>
      <c r="K1111" s="158">
        <f t="shared" si="435"/>
        <v>0</v>
      </c>
      <c r="L1111" s="158">
        <f t="shared" si="435"/>
        <v>0</v>
      </c>
      <c r="M1111" s="158">
        <f t="shared" si="435"/>
        <v>0</v>
      </c>
      <c r="N1111" s="158">
        <f t="shared" si="435"/>
        <v>1786296711.4200001</v>
      </c>
      <c r="O1111" s="89">
        <f t="shared" ref="O1111:O1134" si="436">SUM(C1111:N1111)</f>
        <v>4569241521.4200001</v>
      </c>
      <c r="P1111" s="105"/>
      <c r="Q1111" s="105"/>
      <c r="R1111" s="105"/>
      <c r="S1111" s="105"/>
      <c r="T1111" s="105"/>
      <c r="U1111" s="105"/>
      <c r="V1111" s="105"/>
      <c r="W1111" s="105"/>
      <c r="X1111" s="105"/>
      <c r="Y1111" s="105"/>
      <c r="Z1111" s="105"/>
      <c r="AA1111" s="105"/>
      <c r="AB1111" s="105"/>
      <c r="AC1111" s="105"/>
      <c r="AD1111" s="105"/>
      <c r="AE1111" s="105"/>
      <c r="AF1111" s="105"/>
      <c r="AG1111" s="105"/>
      <c r="AH1111" s="105"/>
      <c r="AI1111" s="105"/>
      <c r="AJ1111" s="105"/>
      <c r="AK1111" s="105"/>
      <c r="AL1111" s="105"/>
      <c r="AM1111" s="105"/>
      <c r="AN1111" s="105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</row>
    <row r="1112" spans="1:74" s="106" customFormat="1" ht="19.5" x14ac:dyDescent="0.2">
      <c r="A1112" s="156" t="s">
        <v>382</v>
      </c>
      <c r="B1112" s="157" t="s">
        <v>1110</v>
      </c>
      <c r="C1112" s="158">
        <f t="shared" ref="C1112:N1115" si="437">+C1113</f>
        <v>0</v>
      </c>
      <c r="D1112" s="158">
        <f t="shared" si="437"/>
        <v>0</v>
      </c>
      <c r="E1112" s="158">
        <f t="shared" si="437"/>
        <v>0</v>
      </c>
      <c r="F1112" s="158">
        <f t="shared" si="437"/>
        <v>0</v>
      </c>
      <c r="G1112" s="158">
        <f t="shared" si="437"/>
        <v>0</v>
      </c>
      <c r="H1112" s="158">
        <f t="shared" si="437"/>
        <v>0</v>
      </c>
      <c r="I1112" s="158">
        <f t="shared" si="437"/>
        <v>0</v>
      </c>
      <c r="J1112" s="158">
        <f t="shared" si="437"/>
        <v>0</v>
      </c>
      <c r="K1112" s="158">
        <f t="shared" si="437"/>
        <v>0</v>
      </c>
      <c r="L1112" s="158">
        <f t="shared" si="437"/>
        <v>0</v>
      </c>
      <c r="M1112" s="158">
        <f t="shared" si="437"/>
        <v>0</v>
      </c>
      <c r="N1112" s="158">
        <f t="shared" si="437"/>
        <v>0</v>
      </c>
      <c r="O1112" s="89">
        <f t="shared" si="436"/>
        <v>0</v>
      </c>
      <c r="P1112" s="105"/>
      <c r="Q1112" s="105"/>
      <c r="R1112" s="105"/>
      <c r="S1112" s="105"/>
      <c r="T1112" s="105"/>
      <c r="U1112" s="105"/>
      <c r="V1112" s="105"/>
      <c r="W1112" s="105"/>
      <c r="X1112" s="105"/>
      <c r="Y1112" s="105"/>
      <c r="Z1112" s="105"/>
      <c r="AA1112" s="105"/>
      <c r="AB1112" s="105"/>
      <c r="AC1112" s="105"/>
      <c r="AD1112" s="105"/>
      <c r="AE1112" s="105"/>
      <c r="AF1112" s="105"/>
      <c r="AG1112" s="105"/>
      <c r="AH1112" s="105"/>
      <c r="AI1112" s="105"/>
      <c r="AJ1112" s="105"/>
      <c r="AK1112" s="105"/>
      <c r="AL1112" s="105"/>
      <c r="AM1112" s="105"/>
      <c r="AN1112" s="105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</row>
    <row r="1113" spans="1:74" s="106" customFormat="1" ht="19.5" x14ac:dyDescent="0.2">
      <c r="A1113" s="156" t="s">
        <v>534</v>
      </c>
      <c r="B1113" s="157" t="s">
        <v>1111</v>
      </c>
      <c r="C1113" s="158">
        <f t="shared" si="437"/>
        <v>0</v>
      </c>
      <c r="D1113" s="158">
        <f t="shared" si="437"/>
        <v>0</v>
      </c>
      <c r="E1113" s="158">
        <f t="shared" si="437"/>
        <v>0</v>
      </c>
      <c r="F1113" s="158">
        <f t="shared" si="437"/>
        <v>0</v>
      </c>
      <c r="G1113" s="158">
        <f t="shared" si="437"/>
        <v>0</v>
      </c>
      <c r="H1113" s="158">
        <f t="shared" si="437"/>
        <v>0</v>
      </c>
      <c r="I1113" s="158">
        <f t="shared" si="437"/>
        <v>0</v>
      </c>
      <c r="J1113" s="158">
        <f t="shared" si="437"/>
        <v>0</v>
      </c>
      <c r="K1113" s="158">
        <f t="shared" si="437"/>
        <v>0</v>
      </c>
      <c r="L1113" s="158">
        <f t="shared" si="437"/>
        <v>0</v>
      </c>
      <c r="M1113" s="158">
        <f t="shared" si="437"/>
        <v>0</v>
      </c>
      <c r="N1113" s="158">
        <f t="shared" si="437"/>
        <v>0</v>
      </c>
      <c r="O1113" s="89">
        <f t="shared" si="436"/>
        <v>0</v>
      </c>
      <c r="P1113" s="105"/>
      <c r="Q1113" s="105"/>
      <c r="R1113" s="105"/>
      <c r="S1113" s="105"/>
      <c r="T1113" s="105"/>
      <c r="U1113" s="105"/>
      <c r="V1113" s="105"/>
      <c r="W1113" s="105"/>
      <c r="X1113" s="105"/>
      <c r="Y1113" s="105"/>
      <c r="Z1113" s="105"/>
      <c r="AA1113" s="105"/>
      <c r="AB1113" s="105"/>
      <c r="AC1113" s="105"/>
      <c r="AD1113" s="105"/>
      <c r="AE1113" s="105"/>
      <c r="AF1113" s="105"/>
      <c r="AG1113" s="105"/>
      <c r="AH1113" s="105"/>
      <c r="AI1113" s="105"/>
      <c r="AJ1113" s="105"/>
      <c r="AK1113" s="105"/>
      <c r="AL1113" s="105"/>
      <c r="AM1113" s="105"/>
      <c r="AN1113" s="105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</row>
    <row r="1114" spans="1:74" s="106" customFormat="1" ht="19.5" x14ac:dyDescent="0.2">
      <c r="A1114" s="156" t="s">
        <v>607</v>
      </c>
      <c r="B1114" s="157" t="s">
        <v>608</v>
      </c>
      <c r="C1114" s="158">
        <f t="shared" si="437"/>
        <v>0</v>
      </c>
      <c r="D1114" s="158">
        <f t="shared" si="437"/>
        <v>0</v>
      </c>
      <c r="E1114" s="158">
        <f t="shared" si="437"/>
        <v>0</v>
      </c>
      <c r="F1114" s="158">
        <f t="shared" si="437"/>
        <v>0</v>
      </c>
      <c r="G1114" s="158">
        <f t="shared" si="437"/>
        <v>0</v>
      </c>
      <c r="H1114" s="158">
        <f t="shared" si="437"/>
        <v>0</v>
      </c>
      <c r="I1114" s="158">
        <f t="shared" si="437"/>
        <v>0</v>
      </c>
      <c r="J1114" s="158">
        <f t="shared" si="437"/>
        <v>0</v>
      </c>
      <c r="K1114" s="158">
        <f t="shared" si="437"/>
        <v>0</v>
      </c>
      <c r="L1114" s="158">
        <f t="shared" si="437"/>
        <v>0</v>
      </c>
      <c r="M1114" s="158">
        <f t="shared" si="437"/>
        <v>0</v>
      </c>
      <c r="N1114" s="158">
        <f t="shared" si="437"/>
        <v>0</v>
      </c>
      <c r="O1114" s="89">
        <f t="shared" si="436"/>
        <v>0</v>
      </c>
      <c r="P1114" s="105"/>
      <c r="Q1114" s="105"/>
      <c r="R1114" s="105"/>
      <c r="S1114" s="105"/>
      <c r="T1114" s="105"/>
      <c r="U1114" s="105"/>
      <c r="V1114" s="105"/>
      <c r="W1114" s="105"/>
      <c r="X1114" s="105"/>
      <c r="Y1114" s="105"/>
      <c r="Z1114" s="105"/>
      <c r="AA1114" s="105"/>
      <c r="AB1114" s="105"/>
      <c r="AC1114" s="105"/>
      <c r="AD1114" s="105"/>
      <c r="AE1114" s="105"/>
      <c r="AF1114" s="105"/>
      <c r="AG1114" s="105"/>
      <c r="AH1114" s="105"/>
      <c r="AI1114" s="105"/>
      <c r="AJ1114" s="105"/>
      <c r="AK1114" s="105"/>
      <c r="AL1114" s="105"/>
      <c r="AM1114" s="105"/>
      <c r="AN1114" s="105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</row>
    <row r="1115" spans="1:74" s="106" customFormat="1" ht="31.5" x14ac:dyDescent="0.2">
      <c r="A1115" s="85" t="s">
        <v>609</v>
      </c>
      <c r="B1115" s="88" t="s">
        <v>610</v>
      </c>
      <c r="C1115" s="129">
        <f t="shared" si="437"/>
        <v>0</v>
      </c>
      <c r="D1115" s="129">
        <f t="shared" si="437"/>
        <v>0</v>
      </c>
      <c r="E1115" s="129">
        <f t="shared" si="437"/>
        <v>0</v>
      </c>
      <c r="F1115" s="129">
        <f t="shared" si="437"/>
        <v>0</v>
      </c>
      <c r="G1115" s="129">
        <f t="shared" si="437"/>
        <v>0</v>
      </c>
      <c r="H1115" s="129">
        <f t="shared" si="437"/>
        <v>0</v>
      </c>
      <c r="I1115" s="129">
        <f t="shared" si="437"/>
        <v>0</v>
      </c>
      <c r="J1115" s="129">
        <f t="shared" si="437"/>
        <v>0</v>
      </c>
      <c r="K1115" s="129">
        <f t="shared" si="437"/>
        <v>0</v>
      </c>
      <c r="L1115" s="129">
        <f t="shared" si="437"/>
        <v>0</v>
      </c>
      <c r="M1115" s="129">
        <f t="shared" si="437"/>
        <v>0</v>
      </c>
      <c r="N1115" s="129">
        <f t="shared" si="437"/>
        <v>0</v>
      </c>
      <c r="O1115" s="89">
        <f t="shared" si="436"/>
        <v>0</v>
      </c>
      <c r="P1115" s="105"/>
      <c r="Q1115" s="105"/>
      <c r="R1115" s="105"/>
      <c r="S1115" s="105"/>
      <c r="T1115" s="105"/>
      <c r="U1115" s="105"/>
      <c r="V1115" s="105"/>
      <c r="W1115" s="105"/>
      <c r="X1115" s="105"/>
      <c r="Y1115" s="105"/>
      <c r="Z1115" s="105"/>
      <c r="AA1115" s="105"/>
      <c r="AB1115" s="105"/>
      <c r="AC1115" s="105"/>
      <c r="AD1115" s="105"/>
      <c r="AE1115" s="105"/>
      <c r="AF1115" s="105"/>
      <c r="AG1115" s="105"/>
      <c r="AH1115" s="105"/>
      <c r="AI1115" s="105"/>
      <c r="AJ1115" s="105"/>
      <c r="AK1115" s="105"/>
      <c r="AL1115" s="105"/>
      <c r="AM1115" s="105"/>
      <c r="AN1115" s="105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</row>
    <row r="1116" spans="1:74" s="106" customFormat="1" ht="15.75" x14ac:dyDescent="0.2">
      <c r="A1116" s="85" t="s">
        <v>611</v>
      </c>
      <c r="B1116" s="88" t="s">
        <v>612</v>
      </c>
      <c r="C1116" s="129">
        <f t="shared" ref="C1116:N1116" si="438">+C1117+C1118</f>
        <v>0</v>
      </c>
      <c r="D1116" s="129">
        <f t="shared" si="438"/>
        <v>0</v>
      </c>
      <c r="E1116" s="129">
        <f t="shared" si="438"/>
        <v>0</v>
      </c>
      <c r="F1116" s="129">
        <f t="shared" si="438"/>
        <v>0</v>
      </c>
      <c r="G1116" s="129">
        <f t="shared" si="438"/>
        <v>0</v>
      </c>
      <c r="H1116" s="129">
        <f t="shared" si="438"/>
        <v>0</v>
      </c>
      <c r="I1116" s="129">
        <f t="shared" si="438"/>
        <v>0</v>
      </c>
      <c r="J1116" s="129">
        <f t="shared" si="438"/>
        <v>0</v>
      </c>
      <c r="K1116" s="129">
        <f t="shared" si="438"/>
        <v>0</v>
      </c>
      <c r="L1116" s="129">
        <f t="shared" si="438"/>
        <v>0</v>
      </c>
      <c r="M1116" s="129">
        <f t="shared" si="438"/>
        <v>0</v>
      </c>
      <c r="N1116" s="129">
        <f t="shared" si="438"/>
        <v>0</v>
      </c>
      <c r="O1116" s="89">
        <f t="shared" si="436"/>
        <v>0</v>
      </c>
      <c r="P1116" s="105"/>
      <c r="Q1116" s="105"/>
      <c r="R1116" s="105"/>
      <c r="S1116" s="105"/>
      <c r="T1116" s="105"/>
      <c r="U1116" s="105"/>
      <c r="V1116" s="105"/>
      <c r="W1116" s="105"/>
      <c r="X1116" s="105"/>
      <c r="Y1116" s="105"/>
      <c r="Z1116" s="105"/>
      <c r="AA1116" s="105"/>
      <c r="AB1116" s="105"/>
      <c r="AC1116" s="105"/>
      <c r="AD1116" s="105"/>
      <c r="AE1116" s="105"/>
      <c r="AF1116" s="105"/>
      <c r="AG1116" s="105"/>
      <c r="AH1116" s="105"/>
      <c r="AI1116" s="105"/>
      <c r="AJ1116" s="105"/>
      <c r="AK1116" s="105"/>
      <c r="AL1116" s="105"/>
      <c r="AM1116" s="105"/>
      <c r="AN1116" s="105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</row>
    <row r="1117" spans="1:74" s="106" customFormat="1" ht="15" x14ac:dyDescent="0.2">
      <c r="A1117" s="198" t="s">
        <v>1112</v>
      </c>
      <c r="B1117" s="199" t="s">
        <v>1113</v>
      </c>
      <c r="C1117" s="130"/>
      <c r="D1117" s="130"/>
      <c r="E1117" s="130"/>
      <c r="F1117" s="130"/>
      <c r="G1117" s="130"/>
      <c r="H1117" s="130"/>
      <c r="I1117" s="130"/>
      <c r="J1117" s="130"/>
      <c r="K1117" s="130"/>
      <c r="L1117" s="130"/>
      <c r="M1117" s="130"/>
      <c r="N1117" s="130"/>
      <c r="O1117" s="89">
        <f t="shared" si="436"/>
        <v>0</v>
      </c>
      <c r="P1117" s="105"/>
      <c r="Q1117" s="105"/>
      <c r="R1117" s="105"/>
      <c r="S1117" s="105"/>
      <c r="T1117" s="105"/>
      <c r="U1117" s="105"/>
      <c r="V1117" s="105"/>
      <c r="W1117" s="105"/>
      <c r="X1117" s="105"/>
      <c r="Y1117" s="105"/>
      <c r="Z1117" s="105"/>
      <c r="AA1117" s="105"/>
      <c r="AB1117" s="105"/>
      <c r="AC1117" s="105"/>
      <c r="AD1117" s="105"/>
      <c r="AE1117" s="105"/>
      <c r="AF1117" s="105"/>
      <c r="AG1117" s="105"/>
      <c r="AH1117" s="105"/>
      <c r="AI1117" s="105"/>
      <c r="AJ1117" s="105"/>
      <c r="AK1117" s="105"/>
      <c r="AL1117" s="105"/>
      <c r="AM1117" s="105"/>
      <c r="AN1117" s="105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</row>
    <row r="1118" spans="1:74" s="106" customFormat="1" ht="15.75" x14ac:dyDescent="0.2">
      <c r="A1118" s="85" t="s">
        <v>615</v>
      </c>
      <c r="B1118" s="88" t="s">
        <v>1114</v>
      </c>
      <c r="C1118" s="129">
        <f t="shared" ref="C1118:N1118" si="439">+C1119</f>
        <v>0</v>
      </c>
      <c r="D1118" s="129">
        <f t="shared" si="439"/>
        <v>0</v>
      </c>
      <c r="E1118" s="129">
        <f t="shared" si="439"/>
        <v>0</v>
      </c>
      <c r="F1118" s="129">
        <f t="shared" si="439"/>
        <v>0</v>
      </c>
      <c r="G1118" s="129">
        <f t="shared" si="439"/>
        <v>0</v>
      </c>
      <c r="H1118" s="129">
        <f t="shared" si="439"/>
        <v>0</v>
      </c>
      <c r="I1118" s="129">
        <f t="shared" si="439"/>
        <v>0</v>
      </c>
      <c r="J1118" s="129">
        <f t="shared" si="439"/>
        <v>0</v>
      </c>
      <c r="K1118" s="129">
        <f t="shared" si="439"/>
        <v>0</v>
      </c>
      <c r="L1118" s="129">
        <f t="shared" si="439"/>
        <v>0</v>
      </c>
      <c r="M1118" s="129">
        <f t="shared" si="439"/>
        <v>0</v>
      </c>
      <c r="N1118" s="129">
        <f t="shared" si="439"/>
        <v>0</v>
      </c>
      <c r="O1118" s="89">
        <f t="shared" si="436"/>
        <v>0</v>
      </c>
      <c r="P1118" s="105"/>
      <c r="Q1118" s="105"/>
      <c r="R1118" s="105"/>
      <c r="S1118" s="105"/>
      <c r="T1118" s="105"/>
      <c r="U1118" s="105"/>
      <c r="V1118" s="105"/>
      <c r="W1118" s="105"/>
      <c r="X1118" s="105"/>
      <c r="Y1118" s="105"/>
      <c r="Z1118" s="105"/>
      <c r="AA1118" s="105"/>
      <c r="AB1118" s="105"/>
      <c r="AC1118" s="105"/>
      <c r="AD1118" s="105"/>
      <c r="AE1118" s="105"/>
      <c r="AF1118" s="105"/>
      <c r="AG1118" s="105"/>
      <c r="AH1118" s="105"/>
      <c r="AI1118" s="105"/>
      <c r="AJ1118" s="105"/>
      <c r="AK1118" s="105"/>
      <c r="AL1118" s="105"/>
      <c r="AM1118" s="105"/>
      <c r="AN1118" s="105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</row>
    <row r="1119" spans="1:74" s="106" customFormat="1" ht="15" x14ac:dyDescent="0.2">
      <c r="A1119" s="86" t="s">
        <v>1115</v>
      </c>
      <c r="B1119" s="87" t="s">
        <v>1116</v>
      </c>
      <c r="C1119" s="130"/>
      <c r="D1119" s="130"/>
      <c r="E1119" s="130"/>
      <c r="F1119" s="130"/>
      <c r="G1119" s="130"/>
      <c r="H1119" s="130"/>
      <c r="I1119" s="130"/>
      <c r="J1119" s="130"/>
      <c r="K1119" s="130"/>
      <c r="L1119" s="130"/>
      <c r="M1119" s="130"/>
      <c r="N1119" s="130"/>
      <c r="O1119" s="89">
        <f t="shared" si="436"/>
        <v>0</v>
      </c>
      <c r="P1119" s="105"/>
      <c r="Q1119" s="105"/>
      <c r="R1119" s="105"/>
      <c r="S1119" s="105"/>
      <c r="T1119" s="105"/>
      <c r="U1119" s="105"/>
      <c r="V1119" s="105"/>
      <c r="W1119" s="105"/>
      <c r="X1119" s="105"/>
      <c r="Y1119" s="105"/>
      <c r="Z1119" s="105"/>
      <c r="AA1119" s="105"/>
      <c r="AB1119" s="105"/>
      <c r="AC1119" s="105"/>
      <c r="AD1119" s="105"/>
      <c r="AE1119" s="105"/>
      <c r="AF1119" s="105"/>
      <c r="AG1119" s="105"/>
      <c r="AH1119" s="105"/>
      <c r="AI1119" s="105"/>
      <c r="AJ1119" s="105"/>
      <c r="AK1119" s="105"/>
      <c r="AL1119" s="105"/>
      <c r="AM1119" s="105"/>
      <c r="AN1119" s="105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</row>
    <row r="1120" spans="1:74" s="106" customFormat="1" ht="15.75" x14ac:dyDescent="0.2">
      <c r="A1120" s="85" t="s">
        <v>697</v>
      </c>
      <c r="B1120" s="88" t="s">
        <v>1117</v>
      </c>
      <c r="C1120" s="129">
        <f t="shared" ref="C1120:N1120" si="440">+C1121+C1125+C1132</f>
        <v>0</v>
      </c>
      <c r="D1120" s="129">
        <f t="shared" si="440"/>
        <v>0</v>
      </c>
      <c r="E1120" s="129">
        <f t="shared" si="440"/>
        <v>0</v>
      </c>
      <c r="F1120" s="129">
        <f t="shared" si="440"/>
        <v>0</v>
      </c>
      <c r="G1120" s="129">
        <f t="shared" si="440"/>
        <v>0</v>
      </c>
      <c r="H1120" s="129">
        <f t="shared" si="440"/>
        <v>0</v>
      </c>
      <c r="I1120" s="129">
        <f t="shared" si="440"/>
        <v>0</v>
      </c>
      <c r="J1120" s="129">
        <f t="shared" si="440"/>
        <v>2782944810</v>
      </c>
      <c r="K1120" s="129">
        <f t="shared" si="440"/>
        <v>0</v>
      </c>
      <c r="L1120" s="129">
        <f t="shared" si="440"/>
        <v>0</v>
      </c>
      <c r="M1120" s="129">
        <f t="shared" si="440"/>
        <v>0</v>
      </c>
      <c r="N1120" s="129">
        <f t="shared" si="440"/>
        <v>1786296711.4200001</v>
      </c>
      <c r="O1120" s="89">
        <f t="shared" si="436"/>
        <v>4569241521.4200001</v>
      </c>
      <c r="P1120" s="105"/>
      <c r="Q1120" s="105"/>
      <c r="R1120" s="105"/>
      <c r="S1120" s="105"/>
      <c r="T1120" s="105"/>
      <c r="U1120" s="105"/>
      <c r="V1120" s="105"/>
      <c r="W1120" s="105"/>
      <c r="X1120" s="105"/>
      <c r="Y1120" s="105"/>
      <c r="Z1120" s="105"/>
      <c r="AA1120" s="105"/>
      <c r="AB1120" s="105"/>
      <c r="AC1120" s="105"/>
      <c r="AD1120" s="105"/>
      <c r="AE1120" s="105"/>
      <c r="AF1120" s="105"/>
      <c r="AG1120" s="105"/>
      <c r="AH1120" s="105"/>
      <c r="AI1120" s="105"/>
      <c r="AJ1120" s="105"/>
      <c r="AK1120" s="105"/>
      <c r="AL1120" s="105"/>
      <c r="AM1120" s="105"/>
      <c r="AN1120" s="105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</row>
    <row r="1121" spans="1:74" s="106" customFormat="1" ht="15.75" x14ac:dyDescent="0.2">
      <c r="A1121" s="85" t="s">
        <v>1083</v>
      </c>
      <c r="B1121" s="88" t="s">
        <v>708</v>
      </c>
      <c r="C1121" s="129">
        <f t="shared" ref="C1121:N1123" si="441">+C1122</f>
        <v>0</v>
      </c>
      <c r="D1121" s="129">
        <f t="shared" si="441"/>
        <v>0</v>
      </c>
      <c r="E1121" s="129">
        <f t="shared" si="441"/>
        <v>0</v>
      </c>
      <c r="F1121" s="129">
        <f t="shared" si="441"/>
        <v>0</v>
      </c>
      <c r="G1121" s="129">
        <f t="shared" si="441"/>
        <v>0</v>
      </c>
      <c r="H1121" s="129">
        <f t="shared" si="441"/>
        <v>0</v>
      </c>
      <c r="I1121" s="129">
        <f t="shared" si="441"/>
        <v>0</v>
      </c>
      <c r="J1121" s="129">
        <f t="shared" si="441"/>
        <v>0</v>
      </c>
      <c r="K1121" s="129">
        <f t="shared" si="441"/>
        <v>0</v>
      </c>
      <c r="L1121" s="129">
        <f t="shared" si="441"/>
        <v>0</v>
      </c>
      <c r="M1121" s="129">
        <f t="shared" si="441"/>
        <v>0</v>
      </c>
      <c r="N1121" s="129">
        <f t="shared" si="441"/>
        <v>0</v>
      </c>
      <c r="O1121" s="89">
        <f t="shared" si="436"/>
        <v>0</v>
      </c>
      <c r="P1121" s="105"/>
      <c r="Q1121" s="105"/>
      <c r="R1121" s="105"/>
      <c r="S1121" s="105"/>
      <c r="T1121" s="105"/>
      <c r="U1121" s="105"/>
      <c r="V1121" s="105"/>
      <c r="W1121" s="105"/>
      <c r="X1121" s="105"/>
      <c r="Y1121" s="105"/>
      <c r="Z1121" s="105"/>
      <c r="AA1121" s="105"/>
      <c r="AB1121" s="105"/>
      <c r="AC1121" s="105"/>
      <c r="AD1121" s="105"/>
      <c r="AE1121" s="105"/>
      <c r="AF1121" s="105"/>
      <c r="AG1121" s="105"/>
      <c r="AH1121" s="105"/>
      <c r="AI1121" s="105"/>
      <c r="AJ1121" s="105"/>
      <c r="AK1121" s="105"/>
      <c r="AL1121" s="105"/>
      <c r="AM1121" s="105"/>
      <c r="AN1121" s="105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</row>
    <row r="1122" spans="1:74" s="106" customFormat="1" ht="15.75" x14ac:dyDescent="0.2">
      <c r="A1122" s="85" t="s">
        <v>709</v>
      </c>
      <c r="B1122" s="88" t="s">
        <v>1085</v>
      </c>
      <c r="C1122" s="129">
        <f t="shared" si="441"/>
        <v>0</v>
      </c>
      <c r="D1122" s="129">
        <f t="shared" si="441"/>
        <v>0</v>
      </c>
      <c r="E1122" s="129">
        <f t="shared" si="441"/>
        <v>0</v>
      </c>
      <c r="F1122" s="129">
        <f t="shared" si="441"/>
        <v>0</v>
      </c>
      <c r="G1122" s="129">
        <f t="shared" si="441"/>
        <v>0</v>
      </c>
      <c r="H1122" s="129">
        <f t="shared" si="441"/>
        <v>0</v>
      </c>
      <c r="I1122" s="129">
        <f t="shared" si="441"/>
        <v>0</v>
      </c>
      <c r="J1122" s="129">
        <f t="shared" si="441"/>
        <v>0</v>
      </c>
      <c r="K1122" s="129">
        <f t="shared" si="441"/>
        <v>0</v>
      </c>
      <c r="L1122" s="129">
        <f t="shared" si="441"/>
        <v>0</v>
      </c>
      <c r="M1122" s="129">
        <f t="shared" si="441"/>
        <v>0</v>
      </c>
      <c r="N1122" s="129">
        <f t="shared" si="441"/>
        <v>0</v>
      </c>
      <c r="O1122" s="89">
        <f t="shared" si="436"/>
        <v>0</v>
      </c>
      <c r="P1122" s="105"/>
      <c r="Q1122" s="105"/>
      <c r="R1122" s="105"/>
      <c r="S1122" s="105"/>
      <c r="T1122" s="105"/>
      <c r="U1122" s="105"/>
      <c r="V1122" s="105"/>
      <c r="W1122" s="105"/>
      <c r="X1122" s="105"/>
      <c r="Y1122" s="105"/>
      <c r="Z1122" s="105"/>
      <c r="AA1122" s="105"/>
      <c r="AB1122" s="105"/>
      <c r="AC1122" s="105"/>
      <c r="AD1122" s="105"/>
      <c r="AE1122" s="105"/>
      <c r="AF1122" s="105"/>
      <c r="AG1122" s="105"/>
      <c r="AH1122" s="105"/>
      <c r="AI1122" s="105"/>
      <c r="AJ1122" s="105"/>
      <c r="AK1122" s="105"/>
      <c r="AL1122" s="105"/>
      <c r="AM1122" s="105"/>
      <c r="AN1122" s="105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</row>
    <row r="1123" spans="1:74" s="106" customFormat="1" ht="31.5" x14ac:dyDescent="0.2">
      <c r="A1123" s="85" t="s">
        <v>711</v>
      </c>
      <c r="B1123" s="88" t="s">
        <v>610</v>
      </c>
      <c r="C1123" s="129">
        <f t="shared" si="441"/>
        <v>0</v>
      </c>
      <c r="D1123" s="129">
        <f t="shared" si="441"/>
        <v>0</v>
      </c>
      <c r="E1123" s="129">
        <f t="shared" si="441"/>
        <v>0</v>
      </c>
      <c r="F1123" s="129">
        <f t="shared" si="441"/>
        <v>0</v>
      </c>
      <c r="G1123" s="129">
        <f t="shared" si="441"/>
        <v>0</v>
      </c>
      <c r="H1123" s="129">
        <f t="shared" si="441"/>
        <v>0</v>
      </c>
      <c r="I1123" s="129">
        <f t="shared" si="441"/>
        <v>0</v>
      </c>
      <c r="J1123" s="129">
        <f t="shared" si="441"/>
        <v>0</v>
      </c>
      <c r="K1123" s="129">
        <f t="shared" si="441"/>
        <v>0</v>
      </c>
      <c r="L1123" s="129">
        <f t="shared" si="441"/>
        <v>0</v>
      </c>
      <c r="M1123" s="129">
        <f t="shared" si="441"/>
        <v>0</v>
      </c>
      <c r="N1123" s="129">
        <f t="shared" si="441"/>
        <v>0</v>
      </c>
      <c r="O1123" s="89">
        <f t="shared" si="436"/>
        <v>0</v>
      </c>
      <c r="P1123" s="105"/>
      <c r="Q1123" s="105"/>
      <c r="R1123" s="105"/>
      <c r="S1123" s="105"/>
      <c r="T1123" s="105"/>
      <c r="U1123" s="105"/>
      <c r="V1123" s="105"/>
      <c r="W1123" s="105"/>
      <c r="X1123" s="105"/>
      <c r="Y1123" s="105"/>
      <c r="Z1123" s="105"/>
      <c r="AA1123" s="105"/>
      <c r="AB1123" s="105"/>
      <c r="AC1123" s="105"/>
      <c r="AD1123" s="105"/>
      <c r="AE1123" s="105"/>
      <c r="AF1123" s="105"/>
      <c r="AG1123" s="105"/>
      <c r="AH1123" s="105"/>
      <c r="AI1123" s="105"/>
      <c r="AJ1123" s="105"/>
      <c r="AK1123" s="105"/>
      <c r="AL1123" s="105"/>
      <c r="AM1123" s="105"/>
      <c r="AN1123" s="105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</row>
    <row r="1124" spans="1:74" s="106" customFormat="1" ht="15" x14ac:dyDescent="0.2">
      <c r="A1124" s="198" t="s">
        <v>1087</v>
      </c>
      <c r="B1124" s="199" t="s">
        <v>1113</v>
      </c>
      <c r="C1124" s="130"/>
      <c r="D1124" s="130"/>
      <c r="E1124" s="130"/>
      <c r="F1124" s="130"/>
      <c r="G1124" s="130"/>
      <c r="H1124" s="130"/>
      <c r="I1124" s="130"/>
      <c r="J1124" s="130"/>
      <c r="K1124" s="130"/>
      <c r="L1124" s="130"/>
      <c r="M1124" s="130"/>
      <c r="N1124" s="130"/>
      <c r="O1124" s="89">
        <f t="shared" si="436"/>
        <v>0</v>
      </c>
      <c r="P1124" s="105"/>
      <c r="Q1124" s="105"/>
      <c r="R1124" s="105"/>
      <c r="S1124" s="105"/>
      <c r="T1124" s="105"/>
      <c r="U1124" s="105"/>
      <c r="V1124" s="105"/>
      <c r="W1124" s="105"/>
      <c r="X1124" s="105"/>
      <c r="Y1124" s="105"/>
      <c r="Z1124" s="105"/>
      <c r="AA1124" s="105"/>
      <c r="AB1124" s="105"/>
      <c r="AC1124" s="105"/>
      <c r="AD1124" s="105"/>
      <c r="AE1124" s="105"/>
      <c r="AF1124" s="105"/>
      <c r="AG1124" s="105"/>
      <c r="AH1124" s="105"/>
      <c r="AI1124" s="105"/>
      <c r="AJ1124" s="105"/>
      <c r="AK1124" s="105"/>
      <c r="AL1124" s="105"/>
      <c r="AM1124" s="105"/>
      <c r="AN1124" s="105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</row>
    <row r="1125" spans="1:74" s="106" customFormat="1" ht="15.75" x14ac:dyDescent="0.2">
      <c r="A1125" s="85" t="s">
        <v>821</v>
      </c>
      <c r="B1125" s="88" t="s">
        <v>1118</v>
      </c>
      <c r="C1125" s="129">
        <f t="shared" ref="C1125:N1125" si="442">+C1126+C1127</f>
        <v>0</v>
      </c>
      <c r="D1125" s="129">
        <f t="shared" si="442"/>
        <v>0</v>
      </c>
      <c r="E1125" s="129">
        <f t="shared" si="442"/>
        <v>0</v>
      </c>
      <c r="F1125" s="129">
        <f t="shared" si="442"/>
        <v>0</v>
      </c>
      <c r="G1125" s="129">
        <f t="shared" si="442"/>
        <v>0</v>
      </c>
      <c r="H1125" s="129">
        <f t="shared" si="442"/>
        <v>0</v>
      </c>
      <c r="I1125" s="129">
        <f t="shared" si="442"/>
        <v>0</v>
      </c>
      <c r="J1125" s="129">
        <f t="shared" si="442"/>
        <v>2782944810</v>
      </c>
      <c r="K1125" s="129">
        <f t="shared" si="442"/>
        <v>0</v>
      </c>
      <c r="L1125" s="129">
        <f t="shared" si="442"/>
        <v>0</v>
      </c>
      <c r="M1125" s="129">
        <f t="shared" si="442"/>
        <v>0</v>
      </c>
      <c r="N1125" s="129">
        <f t="shared" si="442"/>
        <v>619792882.42000008</v>
      </c>
      <c r="O1125" s="89">
        <f t="shared" si="436"/>
        <v>3402737692.4200001</v>
      </c>
      <c r="P1125" s="105"/>
      <c r="Q1125" s="105"/>
      <c r="R1125" s="105"/>
      <c r="S1125" s="105"/>
      <c r="T1125" s="105"/>
      <c r="U1125" s="105"/>
      <c r="V1125" s="105"/>
      <c r="W1125" s="105"/>
      <c r="X1125" s="105"/>
      <c r="Y1125" s="105"/>
      <c r="Z1125" s="105"/>
      <c r="AA1125" s="105"/>
      <c r="AB1125" s="105"/>
      <c r="AC1125" s="105"/>
      <c r="AD1125" s="105"/>
      <c r="AE1125" s="105"/>
      <c r="AF1125" s="105"/>
      <c r="AG1125" s="105"/>
      <c r="AH1125" s="105"/>
      <c r="AI1125" s="105"/>
      <c r="AJ1125" s="105"/>
      <c r="AK1125" s="105"/>
      <c r="AL1125" s="105"/>
      <c r="AM1125" s="105"/>
      <c r="AN1125" s="105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</row>
    <row r="1126" spans="1:74" s="106" customFormat="1" ht="15" x14ac:dyDescent="0.2">
      <c r="A1126" s="198" t="s">
        <v>1119</v>
      </c>
      <c r="B1126" s="199" t="s">
        <v>1120</v>
      </c>
      <c r="C1126" s="130"/>
      <c r="D1126" s="130"/>
      <c r="E1126" s="130"/>
      <c r="F1126" s="130"/>
      <c r="G1126" s="130"/>
      <c r="H1126" s="130"/>
      <c r="I1126" s="130"/>
      <c r="J1126" s="130"/>
      <c r="K1126" s="130"/>
      <c r="L1126" s="130"/>
      <c r="M1126" s="130"/>
      <c r="N1126" s="130"/>
      <c r="O1126" s="89">
        <f t="shared" si="436"/>
        <v>0</v>
      </c>
      <c r="P1126" s="105"/>
      <c r="Q1126" s="105"/>
      <c r="R1126" s="105"/>
      <c r="S1126" s="105"/>
      <c r="T1126" s="105"/>
      <c r="U1126" s="105"/>
      <c r="V1126" s="105"/>
      <c r="W1126" s="105"/>
      <c r="X1126" s="105"/>
      <c r="Y1126" s="105"/>
      <c r="Z1126" s="105"/>
      <c r="AA1126" s="105"/>
      <c r="AB1126" s="105"/>
      <c r="AC1126" s="105"/>
      <c r="AD1126" s="105"/>
      <c r="AE1126" s="105"/>
      <c r="AF1126" s="105"/>
      <c r="AG1126" s="105"/>
      <c r="AH1126" s="105"/>
      <c r="AI1126" s="105"/>
      <c r="AJ1126" s="105"/>
      <c r="AK1126" s="105"/>
      <c r="AL1126" s="105"/>
      <c r="AM1126" s="105"/>
      <c r="AN1126" s="105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</row>
    <row r="1127" spans="1:74" s="106" customFormat="1" ht="15.75" x14ac:dyDescent="0.2">
      <c r="A1127" s="85" t="s">
        <v>822</v>
      </c>
      <c r="B1127" s="88" t="s">
        <v>1121</v>
      </c>
      <c r="C1127" s="129">
        <f>SUM(C1128:C1131)</f>
        <v>0</v>
      </c>
      <c r="D1127" s="129">
        <f t="shared" ref="D1127:N1127" si="443">SUM(D1128:D1131)</f>
        <v>0</v>
      </c>
      <c r="E1127" s="129">
        <f t="shared" si="443"/>
        <v>0</v>
      </c>
      <c r="F1127" s="129">
        <f t="shared" si="443"/>
        <v>0</v>
      </c>
      <c r="G1127" s="129">
        <f t="shared" si="443"/>
        <v>0</v>
      </c>
      <c r="H1127" s="129">
        <f t="shared" si="443"/>
        <v>0</v>
      </c>
      <c r="I1127" s="129">
        <f t="shared" si="443"/>
        <v>0</v>
      </c>
      <c r="J1127" s="129">
        <f t="shared" si="443"/>
        <v>2782944810</v>
      </c>
      <c r="K1127" s="129">
        <f t="shared" si="443"/>
        <v>0</v>
      </c>
      <c r="L1127" s="129">
        <f t="shared" si="443"/>
        <v>0</v>
      </c>
      <c r="M1127" s="129">
        <f t="shared" si="443"/>
        <v>0</v>
      </c>
      <c r="N1127" s="129">
        <f t="shared" si="443"/>
        <v>619792882.42000008</v>
      </c>
      <c r="O1127" s="89">
        <f t="shared" si="436"/>
        <v>3402737692.4200001</v>
      </c>
      <c r="P1127" s="105"/>
      <c r="Q1127" s="105"/>
      <c r="R1127" s="105"/>
      <c r="S1127" s="105"/>
      <c r="T1127" s="105"/>
      <c r="U1127" s="105"/>
      <c r="V1127" s="105"/>
      <c r="W1127" s="105"/>
      <c r="X1127" s="105"/>
      <c r="Y1127" s="105"/>
      <c r="Z1127" s="105"/>
      <c r="AA1127" s="105"/>
      <c r="AB1127" s="105"/>
      <c r="AC1127" s="105"/>
      <c r="AD1127" s="105"/>
      <c r="AE1127" s="105"/>
      <c r="AF1127" s="105"/>
      <c r="AG1127" s="105"/>
      <c r="AH1127" s="105"/>
      <c r="AI1127" s="105"/>
      <c r="AJ1127" s="105"/>
      <c r="AK1127" s="105"/>
      <c r="AL1127" s="105"/>
      <c r="AM1127" s="105"/>
      <c r="AN1127" s="105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</row>
    <row r="1128" spans="1:74" s="106" customFormat="1" ht="30" x14ac:dyDescent="0.2">
      <c r="A1128" s="198" t="s">
        <v>1122</v>
      </c>
      <c r="B1128" s="199" t="s">
        <v>610</v>
      </c>
      <c r="C1128" s="130"/>
      <c r="D1128" s="130"/>
      <c r="E1128" s="130"/>
      <c r="F1128" s="130"/>
      <c r="G1128" s="130"/>
      <c r="H1128" s="130"/>
      <c r="I1128" s="130"/>
      <c r="J1128" s="130">
        <v>2431307046</v>
      </c>
      <c r="K1128" s="130"/>
      <c r="L1128" s="130"/>
      <c r="M1128" s="130"/>
      <c r="N1128" s="130">
        <v>619792882.42000008</v>
      </c>
      <c r="O1128" s="89">
        <f t="shared" si="436"/>
        <v>3051099928.4200001</v>
      </c>
      <c r="P1128" s="105"/>
      <c r="Q1128" s="105"/>
      <c r="R1128" s="105"/>
      <c r="S1128" s="105"/>
      <c r="T1128" s="105"/>
      <c r="U1128" s="105"/>
      <c r="V1128" s="105"/>
      <c r="W1128" s="105"/>
      <c r="X1128" s="105"/>
      <c r="Y1128" s="105"/>
      <c r="Z1128" s="105"/>
      <c r="AA1128" s="105"/>
      <c r="AB1128" s="105"/>
      <c r="AC1128" s="105"/>
      <c r="AD1128" s="105"/>
      <c r="AE1128" s="105"/>
      <c r="AF1128" s="105"/>
      <c r="AG1128" s="105"/>
      <c r="AH1128" s="105"/>
      <c r="AI1128" s="105"/>
      <c r="AJ1128" s="105"/>
      <c r="AK1128" s="105"/>
      <c r="AL1128" s="105"/>
      <c r="AM1128" s="105"/>
      <c r="AN1128" s="105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</row>
    <row r="1129" spans="1:74" s="106" customFormat="1" ht="30" x14ac:dyDescent="0.2">
      <c r="A1129" s="198" t="s">
        <v>1122</v>
      </c>
      <c r="B1129" s="199" t="s">
        <v>610</v>
      </c>
      <c r="C1129" s="130"/>
      <c r="D1129" s="130"/>
      <c r="E1129" s="130"/>
      <c r="F1129" s="130"/>
      <c r="G1129" s="130"/>
      <c r="H1129" s="130"/>
      <c r="I1129" s="130"/>
      <c r="J1129" s="130"/>
      <c r="K1129" s="130"/>
      <c r="L1129" s="130"/>
      <c r="M1129" s="130"/>
      <c r="N1129" s="130"/>
      <c r="O1129" s="89">
        <f t="shared" si="436"/>
        <v>0</v>
      </c>
      <c r="P1129" s="105"/>
      <c r="Q1129" s="105"/>
      <c r="R1129" s="105"/>
      <c r="S1129" s="105"/>
      <c r="T1129" s="105"/>
      <c r="U1129" s="105"/>
      <c r="V1129" s="105"/>
      <c r="W1129" s="105"/>
      <c r="X1129" s="105"/>
      <c r="Y1129" s="105"/>
      <c r="Z1129" s="105"/>
      <c r="AA1129" s="105"/>
      <c r="AB1129" s="105"/>
      <c r="AC1129" s="105"/>
      <c r="AD1129" s="105"/>
      <c r="AE1129" s="105"/>
      <c r="AF1129" s="105"/>
      <c r="AG1129" s="105"/>
      <c r="AH1129" s="105"/>
      <c r="AI1129" s="105"/>
      <c r="AJ1129" s="105"/>
      <c r="AK1129" s="105"/>
      <c r="AL1129" s="105"/>
      <c r="AM1129" s="105"/>
      <c r="AN1129" s="105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</row>
    <row r="1130" spans="1:74" s="106" customFormat="1" ht="15" x14ac:dyDescent="0.2">
      <c r="A1130" s="198" t="s">
        <v>1123</v>
      </c>
      <c r="B1130" s="199" t="s">
        <v>1124</v>
      </c>
      <c r="C1130" s="130"/>
      <c r="D1130" s="130"/>
      <c r="E1130" s="130"/>
      <c r="F1130" s="130"/>
      <c r="G1130" s="130"/>
      <c r="H1130" s="130"/>
      <c r="I1130" s="130"/>
      <c r="J1130" s="130"/>
      <c r="K1130" s="130"/>
      <c r="L1130" s="130"/>
      <c r="M1130" s="130"/>
      <c r="N1130" s="130"/>
      <c r="O1130" s="89">
        <f t="shared" si="436"/>
        <v>0</v>
      </c>
      <c r="P1130" s="105"/>
      <c r="Q1130" s="105"/>
      <c r="R1130" s="105"/>
      <c r="S1130" s="105"/>
      <c r="T1130" s="105"/>
      <c r="U1130" s="105"/>
      <c r="V1130" s="105"/>
      <c r="W1130" s="105"/>
      <c r="X1130" s="105"/>
      <c r="Y1130" s="105"/>
      <c r="Z1130" s="105"/>
      <c r="AA1130" s="105"/>
      <c r="AB1130" s="105"/>
      <c r="AC1130" s="105"/>
      <c r="AD1130" s="105"/>
      <c r="AE1130" s="105"/>
      <c r="AF1130" s="105"/>
      <c r="AG1130" s="105"/>
      <c r="AH1130" s="105"/>
      <c r="AI1130" s="105"/>
      <c r="AJ1130" s="105"/>
      <c r="AK1130" s="105"/>
      <c r="AL1130" s="105"/>
      <c r="AM1130" s="105"/>
      <c r="AN1130" s="105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</row>
    <row r="1131" spans="1:74" s="106" customFormat="1" ht="30" x14ac:dyDescent="0.2">
      <c r="A1131" s="198" t="s">
        <v>824</v>
      </c>
      <c r="B1131" s="199" t="s">
        <v>1878</v>
      </c>
      <c r="C1131" s="130"/>
      <c r="D1131" s="130"/>
      <c r="E1131" s="130"/>
      <c r="F1131" s="130"/>
      <c r="G1131" s="130"/>
      <c r="H1131" s="130"/>
      <c r="I1131" s="130"/>
      <c r="J1131" s="130">
        <v>351637764</v>
      </c>
      <c r="K1131" s="130"/>
      <c r="L1131" s="130"/>
      <c r="M1131" s="130"/>
      <c r="N1131" s="130"/>
      <c r="O1131" s="89">
        <f t="shared" si="436"/>
        <v>351637764</v>
      </c>
      <c r="P1131" s="105"/>
      <c r="Q1131" s="105"/>
      <c r="R1131" s="105"/>
      <c r="S1131" s="105"/>
      <c r="T1131" s="105"/>
      <c r="U1131" s="105"/>
      <c r="V1131" s="105"/>
      <c r="W1131" s="105"/>
      <c r="X1131" s="105"/>
      <c r="Y1131" s="105"/>
      <c r="Z1131" s="105"/>
      <c r="AA1131" s="105"/>
      <c r="AB1131" s="105"/>
      <c r="AC1131" s="105"/>
      <c r="AD1131" s="105"/>
      <c r="AE1131" s="105"/>
      <c r="AF1131" s="105"/>
      <c r="AG1131" s="105"/>
      <c r="AH1131" s="105"/>
      <c r="AI1131" s="105"/>
      <c r="AJ1131" s="105"/>
      <c r="AK1131" s="105"/>
      <c r="AL1131" s="105"/>
      <c r="AM1131" s="105"/>
      <c r="AN1131" s="105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</row>
    <row r="1132" spans="1:74" s="106" customFormat="1" ht="31.5" x14ac:dyDescent="0.2">
      <c r="A1132" s="85" t="s">
        <v>849</v>
      </c>
      <c r="B1132" s="88" t="s">
        <v>850</v>
      </c>
      <c r="C1132" s="129">
        <f t="shared" ref="C1132:N1132" si="444">+C1133+C1134</f>
        <v>0</v>
      </c>
      <c r="D1132" s="129">
        <f t="shared" si="444"/>
        <v>0</v>
      </c>
      <c r="E1132" s="129">
        <f t="shared" si="444"/>
        <v>0</v>
      </c>
      <c r="F1132" s="129">
        <f t="shared" si="444"/>
        <v>0</v>
      </c>
      <c r="G1132" s="129">
        <f t="shared" si="444"/>
        <v>0</v>
      </c>
      <c r="H1132" s="129">
        <f t="shared" si="444"/>
        <v>0</v>
      </c>
      <c r="I1132" s="129">
        <f t="shared" si="444"/>
        <v>0</v>
      </c>
      <c r="J1132" s="129">
        <f t="shared" si="444"/>
        <v>0</v>
      </c>
      <c r="K1132" s="129">
        <f t="shared" si="444"/>
        <v>0</v>
      </c>
      <c r="L1132" s="129">
        <f t="shared" si="444"/>
        <v>0</v>
      </c>
      <c r="M1132" s="129">
        <f t="shared" si="444"/>
        <v>0</v>
      </c>
      <c r="N1132" s="129">
        <f t="shared" si="444"/>
        <v>1166503829</v>
      </c>
      <c r="O1132" s="89">
        <f t="shared" si="436"/>
        <v>1166503829</v>
      </c>
      <c r="P1132" s="105"/>
      <c r="Q1132" s="105"/>
      <c r="R1132" s="105"/>
      <c r="S1132" s="105"/>
      <c r="T1132" s="105"/>
      <c r="U1132" s="105"/>
      <c r="V1132" s="105"/>
      <c r="W1132" s="105"/>
      <c r="X1132" s="105"/>
      <c r="Y1132" s="105"/>
      <c r="Z1132" s="105"/>
      <c r="AA1132" s="105"/>
      <c r="AB1132" s="105"/>
      <c r="AC1132" s="105"/>
      <c r="AD1132" s="105"/>
      <c r="AE1132" s="105"/>
      <c r="AF1132" s="105"/>
      <c r="AG1132" s="105"/>
      <c r="AH1132" s="105"/>
      <c r="AI1132" s="105"/>
      <c r="AJ1132" s="105"/>
      <c r="AK1132" s="105"/>
      <c r="AL1132" s="105"/>
      <c r="AM1132" s="105"/>
      <c r="AN1132" s="105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</row>
    <row r="1133" spans="1:74" s="106" customFormat="1" ht="15" x14ac:dyDescent="0.2">
      <c r="A1133" s="86" t="s">
        <v>851</v>
      </c>
      <c r="B1133" s="87" t="s">
        <v>852</v>
      </c>
      <c r="C1133" s="131"/>
      <c r="D1133" s="131"/>
      <c r="E1133" s="131"/>
      <c r="F1133" s="131"/>
      <c r="G1133" s="131"/>
      <c r="H1133" s="131"/>
      <c r="I1133" s="131"/>
      <c r="J1133" s="131"/>
      <c r="K1133" s="131"/>
      <c r="L1133" s="131"/>
      <c r="M1133" s="131"/>
      <c r="N1133" s="131">
        <v>1166503829</v>
      </c>
      <c r="O1133" s="89">
        <f t="shared" si="436"/>
        <v>1166503829</v>
      </c>
      <c r="P1133" s="105"/>
      <c r="Q1133" s="105"/>
      <c r="R1133" s="105"/>
      <c r="S1133" s="105"/>
      <c r="T1133" s="105"/>
      <c r="U1133" s="105"/>
      <c r="V1133" s="105"/>
      <c r="W1133" s="105"/>
      <c r="X1133" s="105"/>
      <c r="Y1133" s="105"/>
      <c r="Z1133" s="105"/>
      <c r="AA1133" s="105"/>
      <c r="AB1133" s="105"/>
      <c r="AC1133" s="105"/>
      <c r="AD1133" s="105"/>
      <c r="AE1133" s="105"/>
      <c r="AF1133" s="105"/>
      <c r="AG1133" s="105"/>
      <c r="AH1133" s="105"/>
      <c r="AI1133" s="105"/>
      <c r="AJ1133" s="105"/>
      <c r="AK1133" s="105"/>
      <c r="AL1133" s="105"/>
      <c r="AM1133" s="105"/>
      <c r="AN1133" s="105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</row>
    <row r="1134" spans="1:74" s="106" customFormat="1" ht="16.5" thickBot="1" x14ac:dyDescent="0.25">
      <c r="A1134" s="264" t="s">
        <v>1125</v>
      </c>
      <c r="B1134" s="265" t="s">
        <v>1126</v>
      </c>
      <c r="C1134" s="266"/>
      <c r="D1134" s="266"/>
      <c r="E1134" s="266"/>
      <c r="F1134" s="266"/>
      <c r="G1134" s="266"/>
      <c r="H1134" s="266"/>
      <c r="I1134" s="266"/>
      <c r="J1134" s="266"/>
      <c r="K1134" s="266"/>
      <c r="L1134" s="266"/>
      <c r="M1134" s="266"/>
      <c r="N1134" s="266"/>
      <c r="O1134" s="261">
        <f t="shared" si="436"/>
        <v>0</v>
      </c>
      <c r="P1134" s="105"/>
      <c r="Q1134" s="105"/>
      <c r="R1134" s="105"/>
      <c r="S1134" s="105"/>
      <c r="T1134" s="105"/>
      <c r="U1134" s="105"/>
      <c r="V1134" s="105"/>
      <c r="W1134" s="105"/>
      <c r="X1134" s="105"/>
      <c r="Y1134" s="105"/>
      <c r="Z1134" s="105"/>
      <c r="AA1134" s="105"/>
      <c r="AB1134" s="105"/>
      <c r="AC1134" s="105"/>
      <c r="AD1134" s="105"/>
      <c r="AE1134" s="105"/>
      <c r="AF1134" s="105"/>
      <c r="AG1134" s="105"/>
      <c r="AH1134" s="105"/>
      <c r="AI1134" s="105"/>
      <c r="AJ1134" s="105"/>
      <c r="AK1134" s="105"/>
      <c r="AL1134" s="105"/>
      <c r="AM1134" s="105"/>
      <c r="AN1134" s="105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</row>
    <row r="1135" spans="1:74" s="108" customFormat="1" ht="16.5" thickBot="1" x14ac:dyDescent="0.25">
      <c r="A1135" s="473" t="s">
        <v>25</v>
      </c>
      <c r="B1135" s="474"/>
      <c r="C1135" s="263">
        <f>+C1111</f>
        <v>0</v>
      </c>
      <c r="D1135" s="263">
        <f t="shared" ref="D1135:M1135" si="445">+D1111</f>
        <v>0</v>
      </c>
      <c r="E1135" s="263">
        <f t="shared" si="445"/>
        <v>0</v>
      </c>
      <c r="F1135" s="263">
        <f t="shared" si="445"/>
        <v>0</v>
      </c>
      <c r="G1135" s="263">
        <f t="shared" si="445"/>
        <v>0</v>
      </c>
      <c r="H1135" s="263">
        <f t="shared" si="445"/>
        <v>0</v>
      </c>
      <c r="I1135" s="263">
        <f t="shared" si="445"/>
        <v>0</v>
      </c>
      <c r="J1135" s="263">
        <f t="shared" si="445"/>
        <v>2782944810</v>
      </c>
      <c r="K1135" s="263">
        <f t="shared" si="445"/>
        <v>0</v>
      </c>
      <c r="L1135" s="263">
        <f t="shared" si="445"/>
        <v>0</v>
      </c>
      <c r="M1135" s="263">
        <f t="shared" si="445"/>
        <v>0</v>
      </c>
      <c r="N1135" s="263">
        <f>+N1111</f>
        <v>1786296711.4200001</v>
      </c>
      <c r="O1135" s="263">
        <f>SUM(C1135:N1135)</f>
        <v>4569241521.4200001</v>
      </c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</row>
    <row r="1136" spans="1:74" s="113" customFormat="1" ht="16.5" thickBot="1" x14ac:dyDescent="0.25">
      <c r="A1136" s="475" t="s">
        <v>48</v>
      </c>
      <c r="B1136" s="476"/>
      <c r="C1136" s="60">
        <f t="shared" ref="C1136:O1136" si="446">+C1135+C1104+C817</f>
        <v>5734052268</v>
      </c>
      <c r="D1136" s="60">
        <f t="shared" si="446"/>
        <v>0</v>
      </c>
      <c r="E1136" s="60">
        <f t="shared" si="446"/>
        <v>19982419247.690002</v>
      </c>
      <c r="F1136" s="60">
        <f t="shared" si="446"/>
        <v>111453376038.13</v>
      </c>
      <c r="G1136" s="60">
        <f t="shared" si="446"/>
        <v>386339505018.79999</v>
      </c>
      <c r="H1136" s="60">
        <f t="shared" si="446"/>
        <v>13422477804.6</v>
      </c>
      <c r="I1136" s="60">
        <f t="shared" si="446"/>
        <v>353771970.91000003</v>
      </c>
      <c r="J1136" s="60">
        <f t="shared" si="446"/>
        <v>22947548824</v>
      </c>
      <c r="K1136" s="60">
        <f t="shared" si="446"/>
        <v>20901626327.52</v>
      </c>
      <c r="L1136" s="60">
        <f t="shared" si="446"/>
        <v>0</v>
      </c>
      <c r="M1136" s="60">
        <f t="shared" si="446"/>
        <v>5679055666.8199997</v>
      </c>
      <c r="N1136" s="60">
        <f t="shared" si="446"/>
        <v>103759105789.42</v>
      </c>
      <c r="O1136" s="60">
        <f t="shared" si="446"/>
        <v>553102447879.13989</v>
      </c>
      <c r="P1136" s="61"/>
      <c r="Q1136" s="61"/>
      <c r="R1136" s="61"/>
      <c r="S1136" s="61"/>
      <c r="T1136" s="61"/>
      <c r="U1136" s="61"/>
      <c r="V1136" s="61"/>
      <c r="W1136" s="61"/>
      <c r="X1136" s="61"/>
      <c r="Y1136" s="61"/>
      <c r="Z1136" s="61"/>
      <c r="AA1136" s="61"/>
      <c r="AB1136" s="61"/>
      <c r="AC1136" s="61"/>
      <c r="AD1136" s="61"/>
      <c r="AE1136" s="61"/>
      <c r="AF1136" s="61"/>
      <c r="AG1136" s="61"/>
      <c r="AH1136" s="61"/>
      <c r="AI1136" s="61"/>
      <c r="AJ1136" s="61"/>
      <c r="AK1136" s="61"/>
      <c r="AL1136" s="61"/>
      <c r="AM1136" s="61"/>
      <c r="AN1136" s="61"/>
      <c r="AO1136" s="61"/>
      <c r="AP1136" s="61"/>
      <c r="AQ1136" s="61"/>
      <c r="AR1136" s="61"/>
      <c r="AS1136" s="61"/>
      <c r="AT1136" s="61"/>
      <c r="AU1136" s="61"/>
      <c r="AV1136" s="61"/>
      <c r="AW1136" s="61"/>
      <c r="AX1136" s="61"/>
      <c r="AY1136" s="61"/>
      <c r="AZ1136" s="61"/>
      <c r="BA1136" s="61"/>
      <c r="BB1136" s="61"/>
      <c r="BC1136" s="61"/>
      <c r="BD1136" s="61"/>
      <c r="BE1136" s="61"/>
      <c r="BF1136" s="61"/>
      <c r="BG1136" s="61"/>
      <c r="BH1136" s="61"/>
      <c r="BI1136" s="61"/>
      <c r="BJ1136" s="61"/>
      <c r="BK1136" s="61"/>
      <c r="BL1136" s="61"/>
      <c r="BM1136" s="61"/>
      <c r="BN1136" s="61"/>
      <c r="BO1136" s="61"/>
      <c r="BP1136" s="61"/>
      <c r="BQ1136" s="61"/>
      <c r="BR1136" s="61"/>
      <c r="BS1136" s="61"/>
      <c r="BT1136" s="61"/>
      <c r="BU1136" s="61"/>
      <c r="BV1136" s="61"/>
    </row>
  </sheetData>
  <mergeCells count="8">
    <mergeCell ref="A817:B817"/>
    <mergeCell ref="A1135:B1135"/>
    <mergeCell ref="A1136:B1136"/>
    <mergeCell ref="A1104:B1104"/>
    <mergeCell ref="B819:C819"/>
    <mergeCell ref="A1110:B1110"/>
    <mergeCell ref="A1106:B1106"/>
    <mergeCell ref="A1108:B1108"/>
  </mergeCells>
  <phoneticPr fontId="9" type="noConversion"/>
  <pageMargins left="0.39370078740157483" right="0.39370078740157483" top="0.74803149606299213" bottom="0.39370078740157483" header="0" footer="0.51181102362204722"/>
  <pageSetup paperSize="5" scale="85" orientation="landscape" r:id="rId1"/>
  <headerFooter alignWithMargins="0">
    <oddHeader>&amp;A</oddHeader>
    <oddFooter>&amp;CPágina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7:AC1160"/>
  <sheetViews>
    <sheetView zoomScaleNormal="100" workbookViewId="0">
      <pane xSplit="3" ySplit="10" topLeftCell="K11" activePane="bottomRight" state="frozen"/>
      <selection pane="topRight" activeCell="D1" sqref="D1"/>
      <selection pane="bottomLeft" activeCell="A11" sqref="A11"/>
      <selection pane="bottomRight" activeCell="R300" sqref="R300"/>
    </sheetView>
  </sheetViews>
  <sheetFormatPr baseColWidth="10" defaultColWidth="11.42578125" defaultRowHeight="15" x14ac:dyDescent="0.2"/>
  <cols>
    <col min="1" max="1" width="0.140625" style="427" customWidth="1"/>
    <col min="2" max="2" width="22.28515625" style="20" customWidth="1"/>
    <col min="3" max="3" width="48.28515625" style="1" customWidth="1"/>
    <col min="4" max="4" width="20.140625" style="241" hidden="1" customWidth="1"/>
    <col min="5" max="5" width="20" style="169" hidden="1" customWidth="1"/>
    <col min="6" max="6" width="22.28515625" style="121" hidden="1" customWidth="1"/>
    <col min="7" max="7" width="17.28515625" style="121" hidden="1" customWidth="1"/>
    <col min="8" max="8" width="21.140625" style="121" hidden="1" customWidth="1"/>
    <col min="9" max="9" width="24.140625" style="121" hidden="1" customWidth="1"/>
    <col min="10" max="10" width="25.28515625" style="121" hidden="1" customWidth="1"/>
    <col min="11" max="11" width="22.7109375" style="121" bestFit="1" customWidth="1"/>
    <col min="12" max="16" width="24.85546875" style="121" hidden="1" customWidth="1"/>
    <col min="17" max="17" width="20.42578125" style="272" hidden="1" customWidth="1"/>
    <col min="18" max="18" width="22.42578125" style="121" bestFit="1" customWidth="1"/>
    <col min="19" max="20" width="20.42578125" style="121" bestFit="1" customWidth="1"/>
    <col min="21" max="21" width="21.7109375" style="121" bestFit="1" customWidth="1"/>
    <col min="22" max="24" width="20.42578125" style="121" bestFit="1" customWidth="1"/>
    <col min="25" max="25" width="19.7109375" style="121" bestFit="1" customWidth="1"/>
    <col min="26" max="26" width="24" style="121" hidden="1" customWidth="1"/>
    <col min="27" max="27" width="24.140625" style="121" hidden="1" customWidth="1"/>
    <col min="28" max="28" width="22.5703125" style="399" customWidth="1"/>
    <col min="29" max="29" width="10.28515625" style="162" bestFit="1" customWidth="1"/>
    <col min="30" max="16384" width="11.42578125" style="1"/>
  </cols>
  <sheetData>
    <row r="7" spans="1:29" ht="15.75" thickBot="1" x14ac:dyDescent="0.25"/>
    <row r="8" spans="1:29" ht="90.75" thickBot="1" x14ac:dyDescent="0.25">
      <c r="A8" s="15" t="s">
        <v>35</v>
      </c>
      <c r="B8" s="436" t="s">
        <v>1901</v>
      </c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8"/>
    </row>
    <row r="9" spans="1:29" s="16" customFormat="1" ht="39.75" customHeight="1" x14ac:dyDescent="0.2">
      <c r="A9" s="427">
        <v>1</v>
      </c>
      <c r="B9" s="450" t="s">
        <v>40</v>
      </c>
      <c r="C9" s="450" t="s">
        <v>244</v>
      </c>
      <c r="D9" s="452" t="s">
        <v>243</v>
      </c>
      <c r="E9" s="454" t="s">
        <v>240</v>
      </c>
      <c r="F9" s="456" t="s">
        <v>241</v>
      </c>
      <c r="G9" s="456" t="s">
        <v>27</v>
      </c>
      <c r="H9" s="456" t="s">
        <v>28</v>
      </c>
      <c r="I9" s="456" t="s">
        <v>38</v>
      </c>
      <c r="J9" s="456" t="s">
        <v>1902</v>
      </c>
      <c r="K9" s="456" t="s">
        <v>242</v>
      </c>
      <c r="L9" s="456" t="s">
        <v>4</v>
      </c>
      <c r="M9" s="456" t="s">
        <v>5</v>
      </c>
      <c r="N9" s="456" t="s">
        <v>6</v>
      </c>
      <c r="O9" s="456" t="s">
        <v>7</v>
      </c>
      <c r="P9" s="456" t="s">
        <v>8</v>
      </c>
      <c r="Q9" s="456" t="s">
        <v>39</v>
      </c>
      <c r="R9" s="456" t="s">
        <v>245</v>
      </c>
      <c r="S9" s="456" t="s">
        <v>11</v>
      </c>
      <c r="T9" s="456" t="s">
        <v>12</v>
      </c>
      <c r="U9" s="456" t="s">
        <v>13</v>
      </c>
      <c r="V9" s="456" t="s">
        <v>14</v>
      </c>
      <c r="W9" s="456" t="s">
        <v>15</v>
      </c>
      <c r="X9" s="456" t="s">
        <v>16</v>
      </c>
      <c r="Y9" s="456" t="s">
        <v>50</v>
      </c>
      <c r="Z9" s="456" t="s">
        <v>51</v>
      </c>
      <c r="AA9" s="456" t="s">
        <v>248</v>
      </c>
      <c r="AB9" s="471" t="s">
        <v>246</v>
      </c>
      <c r="AC9" s="458" t="s">
        <v>247</v>
      </c>
    </row>
    <row r="10" spans="1:29" s="195" customFormat="1" thickBot="1" x14ac:dyDescent="0.25">
      <c r="A10" s="427">
        <v>1</v>
      </c>
      <c r="B10" s="451"/>
      <c r="C10" s="451"/>
      <c r="D10" s="453"/>
      <c r="E10" s="455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70"/>
      <c r="Z10" s="457"/>
      <c r="AA10" s="457"/>
      <c r="AB10" s="472"/>
      <c r="AC10" s="459"/>
    </row>
    <row r="11" spans="1:29" s="160" customFormat="1" ht="18.75" x14ac:dyDescent="0.2">
      <c r="A11" s="193">
        <v>1</v>
      </c>
      <c r="B11" s="306" t="s">
        <v>381</v>
      </c>
      <c r="C11" s="307" t="s">
        <v>114</v>
      </c>
      <c r="D11" s="273">
        <f>+D12+D247</f>
        <v>707007905818</v>
      </c>
      <c r="E11" s="308">
        <f>SUM('ADICIONES  2021'!C11:N11)</f>
        <v>407765377288.93994</v>
      </c>
      <c r="F11" s="273">
        <f>+F12+F247</f>
        <v>4977347371</v>
      </c>
      <c r="G11" s="273">
        <f t="shared" ref="G11:J11" si="0">+G12+G247</f>
        <v>350000000</v>
      </c>
      <c r="H11" s="273">
        <f t="shared" si="0"/>
        <v>4689016590.2200003</v>
      </c>
      <c r="I11" s="273">
        <f t="shared" si="0"/>
        <v>0</v>
      </c>
      <c r="J11" s="273">
        <f t="shared" si="0"/>
        <v>0</v>
      </c>
      <c r="K11" s="309">
        <f t="shared" ref="K11:K74" si="1">+D11+E11-F11+G11-H11</f>
        <v>1105456919145.72</v>
      </c>
      <c r="L11" s="273">
        <f t="shared" ref="L11:Q11" si="2">+L12+L247</f>
        <v>62802238400.790802</v>
      </c>
      <c r="M11" s="273">
        <f t="shared" si="2"/>
        <v>58423450867.341599</v>
      </c>
      <c r="N11" s="273">
        <f t="shared" si="2"/>
        <v>70401016286.063797</v>
      </c>
      <c r="O11" s="273">
        <f t="shared" si="2"/>
        <v>51327542578.488396</v>
      </c>
      <c r="P11" s="273">
        <f t="shared" si="2"/>
        <v>191151139764.5152</v>
      </c>
      <c r="Q11" s="273">
        <f t="shared" si="2"/>
        <v>67443652601.886795</v>
      </c>
      <c r="R11" s="309">
        <f>SUM(L11:Q11)</f>
        <v>501549040499.08661</v>
      </c>
      <c r="S11" s="273">
        <f t="shared" ref="S11:Z11" si="3">+S12+S247</f>
        <v>47386734909.559204</v>
      </c>
      <c r="T11" s="273">
        <f t="shared" si="3"/>
        <v>56464078521.172798</v>
      </c>
      <c r="U11" s="310">
        <f t="shared" si="3"/>
        <v>86350242629.647995</v>
      </c>
      <c r="V11" s="273">
        <f t="shared" si="3"/>
        <v>44162601290.383598</v>
      </c>
      <c r="W11" s="273">
        <f t="shared" si="3"/>
        <v>92895121143.003204</v>
      </c>
      <c r="X11" s="273">
        <f t="shared" si="3"/>
        <v>133490875742.10559</v>
      </c>
      <c r="Y11" s="419">
        <f t="shared" si="3"/>
        <v>-2240039248.2665138</v>
      </c>
      <c r="Z11" s="273">
        <f t="shared" si="3"/>
        <v>0</v>
      </c>
      <c r="AA11" s="309">
        <f>SUM(S11:Z11)</f>
        <v>458509614987.6059</v>
      </c>
      <c r="AB11" s="400">
        <f>+R11+AA11</f>
        <v>960058655486.6925</v>
      </c>
      <c r="AC11" s="311">
        <f>+AB11/K11</f>
        <v>0.86847224786345456</v>
      </c>
    </row>
    <row r="12" spans="1:29" s="160" customFormat="1" ht="18.75" x14ac:dyDescent="0.2">
      <c r="A12" s="193">
        <v>1</v>
      </c>
      <c r="B12" s="312" t="s">
        <v>382</v>
      </c>
      <c r="C12" s="313" t="s">
        <v>84</v>
      </c>
      <c r="D12" s="314">
        <f>+D13+D142</f>
        <v>582619008818</v>
      </c>
      <c r="E12" s="315">
        <f>SUM('ADICIONES  2021'!C12:N12)</f>
        <v>45790352830.029999</v>
      </c>
      <c r="F12" s="274">
        <f t="shared" ref="F12:J12" si="4">+F13+F142</f>
        <v>3027284471</v>
      </c>
      <c r="G12" s="274">
        <f t="shared" si="4"/>
        <v>350000000</v>
      </c>
      <c r="H12" s="274">
        <f t="shared" si="4"/>
        <v>1559810323.22</v>
      </c>
      <c r="I12" s="274">
        <f t="shared" si="4"/>
        <v>0</v>
      </c>
      <c r="J12" s="274">
        <f t="shared" si="4"/>
        <v>0</v>
      </c>
      <c r="K12" s="316">
        <f t="shared" si="1"/>
        <v>624172266853.81006</v>
      </c>
      <c r="L12" s="274">
        <f t="shared" ref="L12:Q12" si="5">+L13+L142</f>
        <v>62367276215.010803</v>
      </c>
      <c r="M12" s="274">
        <f t="shared" si="5"/>
        <v>57824089436.351601</v>
      </c>
      <c r="N12" s="274">
        <f t="shared" si="5"/>
        <v>62329162730.733803</v>
      </c>
      <c r="O12" s="274">
        <f t="shared" si="5"/>
        <v>50508784969.118393</v>
      </c>
      <c r="P12" s="274">
        <f t="shared" si="5"/>
        <v>45843322928.315201</v>
      </c>
      <c r="Q12" s="274">
        <f t="shared" si="5"/>
        <v>52420895799.0168</v>
      </c>
      <c r="R12" s="316">
        <f>SUM(L12:Q12)</f>
        <v>331293532078.54657</v>
      </c>
      <c r="S12" s="274">
        <f t="shared" ref="S12:Z12" si="6">+S13+S142</f>
        <v>46848926824.759201</v>
      </c>
      <c r="T12" s="274">
        <f t="shared" si="6"/>
        <v>44064141029.5028</v>
      </c>
      <c r="U12" s="274">
        <f t="shared" si="6"/>
        <v>58972342195.598</v>
      </c>
      <c r="V12" s="274">
        <f t="shared" si="6"/>
        <v>43793032272.503601</v>
      </c>
      <c r="W12" s="274">
        <f t="shared" si="6"/>
        <v>65428880251.893204</v>
      </c>
      <c r="X12" s="274">
        <f t="shared" si="6"/>
        <v>67431041288.565598</v>
      </c>
      <c r="Y12" s="274">
        <f t="shared" si="6"/>
        <v>-2240039248.2665138</v>
      </c>
      <c r="Z12" s="274">
        <f t="shared" si="6"/>
        <v>0</v>
      </c>
      <c r="AA12" s="316">
        <f>SUM(S12:Z12)</f>
        <v>324298324614.55585</v>
      </c>
      <c r="AB12" s="401">
        <f>+R12+AA12</f>
        <v>655591856693.10242</v>
      </c>
      <c r="AC12" s="317">
        <f>+AB12/K12</f>
        <v>1.050338010045953</v>
      </c>
    </row>
    <row r="13" spans="1:29" s="160" customFormat="1" ht="18.75" x14ac:dyDescent="0.2">
      <c r="A13" s="193">
        <v>1</v>
      </c>
      <c r="B13" s="312" t="s">
        <v>383</v>
      </c>
      <c r="C13" s="313" t="s">
        <v>124</v>
      </c>
      <c r="D13" s="314">
        <f>+D14+D30</f>
        <v>455859200000</v>
      </c>
      <c r="E13" s="315">
        <f>SUM('ADICIONES  2021'!C13:N13)</f>
        <v>20426400000</v>
      </c>
      <c r="F13" s="274">
        <f t="shared" ref="F13:J13" si="7">+F14+F30</f>
        <v>0</v>
      </c>
      <c r="G13" s="274">
        <f t="shared" si="7"/>
        <v>350000000</v>
      </c>
      <c r="H13" s="274">
        <f t="shared" si="7"/>
        <v>1559810323.22</v>
      </c>
      <c r="I13" s="274">
        <f t="shared" si="7"/>
        <v>0</v>
      </c>
      <c r="J13" s="274">
        <f t="shared" si="7"/>
        <v>0</v>
      </c>
      <c r="K13" s="316">
        <f t="shared" si="1"/>
        <v>475075789676.78003</v>
      </c>
      <c r="L13" s="274">
        <f t="shared" ref="L13:Q13" si="8">+L14+L30</f>
        <v>50756265093.7808</v>
      </c>
      <c r="M13" s="274">
        <f t="shared" si="8"/>
        <v>46379196831.062401</v>
      </c>
      <c r="N13" s="274">
        <f t="shared" si="8"/>
        <v>49545698155.124802</v>
      </c>
      <c r="O13" s="274">
        <f t="shared" si="8"/>
        <v>40399733288.958397</v>
      </c>
      <c r="P13" s="274">
        <f t="shared" si="8"/>
        <v>34054135695.235199</v>
      </c>
      <c r="Q13" s="274">
        <f t="shared" si="8"/>
        <v>38808368131.676804</v>
      </c>
      <c r="R13" s="316">
        <f t="shared" ref="R13:R76" si="9">SUM(L13:Q13)</f>
        <v>259943397195.83844</v>
      </c>
      <c r="S13" s="274">
        <f t="shared" ref="S13:Z13" si="10">+S14+S30</f>
        <v>33399461059.579201</v>
      </c>
      <c r="T13" s="274">
        <f t="shared" si="10"/>
        <v>34023323296.892799</v>
      </c>
      <c r="U13" s="274">
        <f t="shared" si="10"/>
        <v>43872223220.568001</v>
      </c>
      <c r="V13" s="274">
        <f t="shared" si="10"/>
        <v>33882594517.433598</v>
      </c>
      <c r="W13" s="274">
        <f t="shared" si="10"/>
        <v>46890956824.843201</v>
      </c>
      <c r="X13" s="274">
        <f t="shared" si="10"/>
        <v>55842854478.345596</v>
      </c>
      <c r="Y13" s="274">
        <f t="shared" si="10"/>
        <v>-2322568107.4765139</v>
      </c>
      <c r="Z13" s="274">
        <f t="shared" si="10"/>
        <v>0</v>
      </c>
      <c r="AA13" s="316">
        <f t="shared" ref="AA13:AA16" si="11">SUM(S13:Z13)</f>
        <v>245588845290.18591</v>
      </c>
      <c r="AB13" s="401">
        <f t="shared" ref="AB13:AB76" si="12">+R13+AA13</f>
        <v>505532242486.02435</v>
      </c>
      <c r="AC13" s="317">
        <f t="shared" ref="AC13:AC76" si="13">+AB13/K13</f>
        <v>1.064108619026799</v>
      </c>
    </row>
    <row r="14" spans="1:29" s="61" customFormat="1" ht="15.75" x14ac:dyDescent="0.2">
      <c r="A14" s="428">
        <v>1</v>
      </c>
      <c r="B14" s="318" t="s">
        <v>384</v>
      </c>
      <c r="C14" s="319" t="s">
        <v>385</v>
      </c>
      <c r="D14" s="283">
        <f>+D15</f>
        <v>73750000000</v>
      </c>
      <c r="E14" s="320">
        <f>SUM('ADICIONES  2021'!C14:N14)</f>
        <v>8000000000</v>
      </c>
      <c r="F14" s="275">
        <f t="shared" ref="F14:Z14" si="14">+F15</f>
        <v>0</v>
      </c>
      <c r="G14" s="275">
        <f t="shared" si="14"/>
        <v>0</v>
      </c>
      <c r="H14" s="275">
        <f t="shared" si="14"/>
        <v>0</v>
      </c>
      <c r="I14" s="275">
        <f t="shared" si="14"/>
        <v>0</v>
      </c>
      <c r="J14" s="275">
        <f t="shared" si="14"/>
        <v>0</v>
      </c>
      <c r="K14" s="276">
        <f t="shared" si="1"/>
        <v>81750000000</v>
      </c>
      <c r="L14" s="275">
        <f t="shared" si="14"/>
        <v>7045710279</v>
      </c>
      <c r="M14" s="275">
        <f t="shared" si="14"/>
        <v>10591392132</v>
      </c>
      <c r="N14" s="275">
        <f t="shared" si="14"/>
        <v>21843042324</v>
      </c>
      <c r="O14" s="275">
        <f t="shared" si="14"/>
        <v>9616536676</v>
      </c>
      <c r="P14" s="275">
        <f t="shared" si="14"/>
        <v>3967908499</v>
      </c>
      <c r="Q14" s="275">
        <f t="shared" si="14"/>
        <v>9155983000</v>
      </c>
      <c r="R14" s="276">
        <f t="shared" si="9"/>
        <v>62220572910</v>
      </c>
      <c r="S14" s="275">
        <f t="shared" si="14"/>
        <v>3806088859</v>
      </c>
      <c r="T14" s="275">
        <f t="shared" si="14"/>
        <v>4952882090</v>
      </c>
      <c r="U14" s="275">
        <f t="shared" si="14"/>
        <v>7209642415</v>
      </c>
      <c r="V14" s="275">
        <f t="shared" si="14"/>
        <v>1903570560</v>
      </c>
      <c r="W14" s="275">
        <f t="shared" si="14"/>
        <v>2047702214</v>
      </c>
      <c r="X14" s="275">
        <f t="shared" si="14"/>
        <v>4824825127</v>
      </c>
      <c r="Y14" s="275">
        <f t="shared" si="14"/>
        <v>0</v>
      </c>
      <c r="Z14" s="275">
        <f t="shared" si="14"/>
        <v>0</v>
      </c>
      <c r="AA14" s="276">
        <f t="shared" si="11"/>
        <v>24744711265</v>
      </c>
      <c r="AB14" s="402">
        <f t="shared" si="12"/>
        <v>86965284175</v>
      </c>
      <c r="AC14" s="321">
        <f t="shared" si="13"/>
        <v>1.0637955250764526</v>
      </c>
    </row>
    <row r="15" spans="1:29" s="61" customFormat="1" ht="15.75" x14ac:dyDescent="0.2">
      <c r="A15" s="428">
        <v>1</v>
      </c>
      <c r="B15" s="318" t="s">
        <v>386</v>
      </c>
      <c r="C15" s="319" t="s">
        <v>168</v>
      </c>
      <c r="D15" s="283">
        <f>+D16+D23</f>
        <v>73750000000</v>
      </c>
      <c r="E15" s="320">
        <f>SUM('ADICIONES  2021'!C15:N15)</f>
        <v>8000000000</v>
      </c>
      <c r="F15" s="275">
        <f t="shared" ref="F15:J15" si="15">+F16+F23</f>
        <v>0</v>
      </c>
      <c r="G15" s="275">
        <f t="shared" si="15"/>
        <v>0</v>
      </c>
      <c r="H15" s="275">
        <f t="shared" si="15"/>
        <v>0</v>
      </c>
      <c r="I15" s="275">
        <f t="shared" si="15"/>
        <v>0</v>
      </c>
      <c r="J15" s="275">
        <f t="shared" si="15"/>
        <v>0</v>
      </c>
      <c r="K15" s="276">
        <f t="shared" si="1"/>
        <v>81750000000</v>
      </c>
      <c r="L15" s="275">
        <f t="shared" ref="L15:Q15" si="16">+L16+L23</f>
        <v>7045710279</v>
      </c>
      <c r="M15" s="275">
        <f t="shared" si="16"/>
        <v>10591392132</v>
      </c>
      <c r="N15" s="275">
        <f t="shared" si="16"/>
        <v>21843042324</v>
      </c>
      <c r="O15" s="275">
        <f t="shared" si="16"/>
        <v>9616536676</v>
      </c>
      <c r="P15" s="275">
        <f t="shared" si="16"/>
        <v>3967908499</v>
      </c>
      <c r="Q15" s="275">
        <f t="shared" si="16"/>
        <v>9155983000</v>
      </c>
      <c r="R15" s="276">
        <f t="shared" si="9"/>
        <v>62220572910</v>
      </c>
      <c r="S15" s="275">
        <f t="shared" ref="S15:Z15" si="17">+S16+S23</f>
        <v>3806088859</v>
      </c>
      <c r="T15" s="275">
        <f t="shared" si="17"/>
        <v>4952882090</v>
      </c>
      <c r="U15" s="275">
        <f t="shared" si="17"/>
        <v>7209642415</v>
      </c>
      <c r="V15" s="275">
        <f t="shared" si="17"/>
        <v>1903570560</v>
      </c>
      <c r="W15" s="275">
        <f t="shared" si="17"/>
        <v>2047702214</v>
      </c>
      <c r="X15" s="275">
        <f t="shared" si="17"/>
        <v>4824825127</v>
      </c>
      <c r="Y15" s="275">
        <f t="shared" si="17"/>
        <v>0</v>
      </c>
      <c r="Z15" s="275">
        <f t="shared" si="17"/>
        <v>0</v>
      </c>
      <c r="AA15" s="276">
        <f t="shared" si="11"/>
        <v>24744711265</v>
      </c>
      <c r="AB15" s="402">
        <f t="shared" si="12"/>
        <v>86965284175</v>
      </c>
      <c r="AC15" s="321">
        <f t="shared" si="13"/>
        <v>1.0637955250764526</v>
      </c>
    </row>
    <row r="16" spans="1:29" s="19" customFormat="1" ht="25.5" x14ac:dyDescent="0.2">
      <c r="A16" s="429">
        <v>1</v>
      </c>
      <c r="B16" s="323" t="s">
        <v>387</v>
      </c>
      <c r="C16" s="206" t="s">
        <v>169</v>
      </c>
      <c r="D16" s="283">
        <v>63750000000</v>
      </c>
      <c r="E16" s="322">
        <f>SUM('ADICIONES  2021'!C16:N16)</f>
        <v>500000000</v>
      </c>
      <c r="F16" s="276"/>
      <c r="G16" s="276"/>
      <c r="H16" s="276"/>
      <c r="I16" s="276"/>
      <c r="J16" s="276"/>
      <c r="K16" s="281">
        <f t="shared" si="1"/>
        <v>64250000000</v>
      </c>
      <c r="L16" s="276">
        <v>6104004590</v>
      </c>
      <c r="M16" s="276">
        <v>9271897650</v>
      </c>
      <c r="N16" s="276">
        <v>20274503880</v>
      </c>
      <c r="O16" s="276">
        <v>8569033250</v>
      </c>
      <c r="P16" s="276">
        <v>3349382400</v>
      </c>
      <c r="Q16" s="276">
        <v>8174259513</v>
      </c>
      <c r="R16" s="281">
        <f t="shared" si="9"/>
        <v>55743081283</v>
      </c>
      <c r="S16" s="281">
        <v>2453325169</v>
      </c>
      <c r="T16" s="281">
        <v>2112245072</v>
      </c>
      <c r="U16" s="281">
        <v>2403933470</v>
      </c>
      <c r="V16" s="281">
        <v>1023556300</v>
      </c>
      <c r="W16" s="281">
        <v>1136921344</v>
      </c>
      <c r="X16" s="281">
        <v>2486959278</v>
      </c>
      <c r="Y16" s="281"/>
      <c r="Z16" s="276"/>
      <c r="AA16" s="276">
        <f t="shared" si="11"/>
        <v>11616940633</v>
      </c>
      <c r="AB16" s="403">
        <f t="shared" si="12"/>
        <v>67360021916</v>
      </c>
      <c r="AC16" s="326">
        <f t="shared" si="13"/>
        <v>1.0484050103657587</v>
      </c>
    </row>
    <row r="17" spans="1:29" ht="25.5" hidden="1" x14ac:dyDescent="0.2">
      <c r="A17" s="424"/>
      <c r="B17" s="323" t="s">
        <v>388</v>
      </c>
      <c r="C17" s="206" t="s">
        <v>170</v>
      </c>
      <c r="D17" s="324">
        <f>+D16*69.7845456%</f>
        <v>44487647820</v>
      </c>
      <c r="E17" s="325">
        <f>SUM('ADICIONES  2021'!C17:N17)</f>
        <v>348922728</v>
      </c>
      <c r="F17" s="277">
        <f t="shared" ref="F17:J17" si="18">+F16*69.7845456%</f>
        <v>0</v>
      </c>
      <c r="G17" s="277">
        <f t="shared" si="18"/>
        <v>0</v>
      </c>
      <c r="H17" s="277">
        <f t="shared" si="18"/>
        <v>0</v>
      </c>
      <c r="I17" s="277">
        <f t="shared" si="18"/>
        <v>0</v>
      </c>
      <c r="J17" s="277">
        <f t="shared" si="18"/>
        <v>0</v>
      </c>
      <c r="K17" s="281">
        <f t="shared" si="1"/>
        <v>44836570548</v>
      </c>
      <c r="L17" s="277">
        <f t="shared" ref="L17:Q17" si="19">+L16*69.7845456%</f>
        <v>4259651866.5346432</v>
      </c>
      <c r="M17" s="277">
        <f t="shared" si="19"/>
        <v>6470351643.5495787</v>
      </c>
      <c r="N17" s="277">
        <f t="shared" si="19"/>
        <v>14148470405.31237</v>
      </c>
      <c r="O17" s="277">
        <f t="shared" si="19"/>
        <v>5979860915.8254118</v>
      </c>
      <c r="P17" s="277">
        <f t="shared" si="19"/>
        <v>2337351288.2463746</v>
      </c>
      <c r="Q17" s="277">
        <f t="shared" si="19"/>
        <v>5704369857.3118229</v>
      </c>
      <c r="R17" s="281">
        <f t="shared" si="9"/>
        <v>38900055976.780205</v>
      </c>
      <c r="S17" s="277">
        <f t="shared" ref="S17:Z17" si="20">+S16*69.7845456%</f>
        <v>1712041821.2770822</v>
      </c>
      <c r="T17" s="277">
        <f t="shared" si="20"/>
        <v>1474020625.453593</v>
      </c>
      <c r="U17" s="277">
        <f t="shared" si="20"/>
        <v>1677574048.5658123</v>
      </c>
      <c r="V17" s="277">
        <f t="shared" si="20"/>
        <v>714284112.91517282</v>
      </c>
      <c r="W17" s="277">
        <f t="shared" si="20"/>
        <v>793395393.73981285</v>
      </c>
      <c r="X17" s="277">
        <f t="shared" si="20"/>
        <v>1735513231.4093409</v>
      </c>
      <c r="Y17" s="277">
        <f t="shared" si="20"/>
        <v>0</v>
      </c>
      <c r="Z17" s="277">
        <f t="shared" si="20"/>
        <v>0</v>
      </c>
      <c r="AA17" s="281">
        <f>SUM(S17:Z17)</f>
        <v>8106829233.3608141</v>
      </c>
      <c r="AB17" s="403">
        <f t="shared" si="12"/>
        <v>47006885210.141022</v>
      </c>
      <c r="AC17" s="326">
        <f t="shared" si="13"/>
        <v>1.0484050103657589</v>
      </c>
    </row>
    <row r="18" spans="1:29" ht="25.5" hidden="1" x14ac:dyDescent="0.2">
      <c r="A18" s="424"/>
      <c r="B18" s="323" t="s">
        <v>389</v>
      </c>
      <c r="C18" s="206" t="s">
        <v>171</v>
      </c>
      <c r="D18" s="324">
        <f>+D16*0.08%</f>
        <v>51000000</v>
      </c>
      <c r="E18" s="325">
        <f>SUM('ADICIONES  2021'!C18:N18)</f>
        <v>400000</v>
      </c>
      <c r="F18" s="277">
        <f t="shared" ref="F18:J18" si="21">+F16*0.08%</f>
        <v>0</v>
      </c>
      <c r="G18" s="277">
        <f t="shared" si="21"/>
        <v>0</v>
      </c>
      <c r="H18" s="277">
        <f t="shared" si="21"/>
        <v>0</v>
      </c>
      <c r="I18" s="277">
        <f t="shared" si="21"/>
        <v>0</v>
      </c>
      <c r="J18" s="277">
        <f t="shared" si="21"/>
        <v>0</v>
      </c>
      <c r="K18" s="281">
        <f t="shared" si="1"/>
        <v>51400000</v>
      </c>
      <c r="L18" s="277">
        <f t="shared" ref="L18:Q18" si="22">+L16*0.08%</f>
        <v>4883203.6720000003</v>
      </c>
      <c r="M18" s="277">
        <f t="shared" si="22"/>
        <v>7417518.1200000001</v>
      </c>
      <c r="N18" s="277">
        <f t="shared" si="22"/>
        <v>16219603.104</v>
      </c>
      <c r="O18" s="277">
        <f t="shared" si="22"/>
        <v>6855226.6000000006</v>
      </c>
      <c r="P18" s="277">
        <f t="shared" si="22"/>
        <v>2679505.9199999999</v>
      </c>
      <c r="Q18" s="277">
        <f t="shared" si="22"/>
        <v>6539407.6104000006</v>
      </c>
      <c r="R18" s="281">
        <f t="shared" si="9"/>
        <v>44594465.0264</v>
      </c>
      <c r="S18" s="277">
        <f t="shared" ref="S18:Z18" si="23">+S16*0.08%</f>
        <v>1962660.1352000001</v>
      </c>
      <c r="T18" s="277">
        <f t="shared" si="23"/>
        <v>1689796.0576000002</v>
      </c>
      <c r="U18" s="277">
        <f t="shared" si="23"/>
        <v>1923146.7760000001</v>
      </c>
      <c r="V18" s="277">
        <f t="shared" si="23"/>
        <v>818845.04</v>
      </c>
      <c r="W18" s="277">
        <f t="shared" si="23"/>
        <v>909537.07520000008</v>
      </c>
      <c r="X18" s="277">
        <f t="shared" si="23"/>
        <v>1989567.4224</v>
      </c>
      <c r="Y18" s="277">
        <f t="shared" si="23"/>
        <v>0</v>
      </c>
      <c r="Z18" s="277">
        <f t="shared" si="23"/>
        <v>0</v>
      </c>
      <c r="AA18" s="281">
        <f t="shared" ref="AA18:AA81" si="24">SUM(S18:Z18)</f>
        <v>9293552.5064000003</v>
      </c>
      <c r="AB18" s="403">
        <f t="shared" si="12"/>
        <v>53888017.532800004</v>
      </c>
      <c r="AC18" s="326">
        <f t="shared" si="13"/>
        <v>1.0484050103657587</v>
      </c>
    </row>
    <row r="19" spans="1:29" ht="14.25" hidden="1" x14ac:dyDescent="0.2">
      <c r="A19" s="424"/>
      <c r="B19" s="323" t="s">
        <v>390</v>
      </c>
      <c r="C19" s="206" t="s">
        <v>172</v>
      </c>
      <c r="D19" s="324">
        <f>+D16*7.992%</f>
        <v>5094900000</v>
      </c>
      <c r="E19" s="325">
        <f>SUM('ADICIONES  2021'!C19:N19)</f>
        <v>39960000</v>
      </c>
      <c r="F19" s="277">
        <f t="shared" ref="F19:J19" si="25">+F16*7.992%</f>
        <v>0</v>
      </c>
      <c r="G19" s="277">
        <f t="shared" si="25"/>
        <v>0</v>
      </c>
      <c r="H19" s="277">
        <f t="shared" si="25"/>
        <v>0</v>
      </c>
      <c r="I19" s="277">
        <f t="shared" si="25"/>
        <v>0</v>
      </c>
      <c r="J19" s="277">
        <f t="shared" si="25"/>
        <v>0</v>
      </c>
      <c r="K19" s="281">
        <f t="shared" si="1"/>
        <v>5134860000</v>
      </c>
      <c r="L19" s="277">
        <f t="shared" ref="L19:Q19" si="26">+L16*7.992%</f>
        <v>487832046.83280003</v>
      </c>
      <c r="M19" s="277">
        <f t="shared" si="26"/>
        <v>741010060.18800008</v>
      </c>
      <c r="N19" s="277">
        <f t="shared" si="26"/>
        <v>1620338350.0896001</v>
      </c>
      <c r="O19" s="277">
        <f t="shared" si="26"/>
        <v>684837137.34000003</v>
      </c>
      <c r="P19" s="277">
        <f t="shared" si="26"/>
        <v>267682641.40800002</v>
      </c>
      <c r="Q19" s="277">
        <f t="shared" si="26"/>
        <v>653286820.27895999</v>
      </c>
      <c r="R19" s="281">
        <f t="shared" si="9"/>
        <v>4454987056.1373606</v>
      </c>
      <c r="S19" s="277">
        <f t="shared" ref="S19:Z19" si="27">+S16*7.992%</f>
        <v>196069747.50648001</v>
      </c>
      <c r="T19" s="277">
        <f t="shared" si="27"/>
        <v>168810626.15424001</v>
      </c>
      <c r="U19" s="277">
        <f t="shared" si="27"/>
        <v>192122362.9224</v>
      </c>
      <c r="V19" s="277">
        <f t="shared" si="27"/>
        <v>81802619.496000007</v>
      </c>
      <c r="W19" s="277">
        <f t="shared" si="27"/>
        <v>90862753.812480003</v>
      </c>
      <c r="X19" s="277">
        <f t="shared" si="27"/>
        <v>198757785.49776</v>
      </c>
      <c r="Y19" s="277">
        <f t="shared" si="27"/>
        <v>0</v>
      </c>
      <c r="Z19" s="277">
        <f t="shared" si="27"/>
        <v>0</v>
      </c>
      <c r="AA19" s="281">
        <f t="shared" si="24"/>
        <v>928425895.38935995</v>
      </c>
      <c r="AB19" s="403">
        <f t="shared" si="12"/>
        <v>5383412951.52672</v>
      </c>
      <c r="AC19" s="326">
        <f t="shared" si="13"/>
        <v>1.0484050103657587</v>
      </c>
    </row>
    <row r="20" spans="1:29" ht="25.5" hidden="1" x14ac:dyDescent="0.2">
      <c r="A20" s="424"/>
      <c r="B20" s="323" t="s">
        <v>391</v>
      </c>
      <c r="C20" s="206" t="s">
        <v>173</v>
      </c>
      <c r="D20" s="324">
        <f>+D16*1.43856%</f>
        <v>917082000</v>
      </c>
      <c r="E20" s="325">
        <f>SUM('ADICIONES  2021'!C20:N20)</f>
        <v>7192800</v>
      </c>
      <c r="F20" s="277">
        <f t="shared" ref="F20:J20" si="28">+F16*1.43856%</f>
        <v>0</v>
      </c>
      <c r="G20" s="277">
        <f t="shared" si="28"/>
        <v>0</v>
      </c>
      <c r="H20" s="277">
        <f t="shared" si="28"/>
        <v>0</v>
      </c>
      <c r="I20" s="277">
        <f t="shared" si="28"/>
        <v>0</v>
      </c>
      <c r="J20" s="277">
        <f t="shared" si="28"/>
        <v>0</v>
      </c>
      <c r="K20" s="281">
        <f t="shared" si="1"/>
        <v>924274800</v>
      </c>
      <c r="L20" s="277">
        <f t="shared" ref="L20:Q20" si="29">+L16*1.43856%</f>
        <v>87809768.429903999</v>
      </c>
      <c r="M20" s="277">
        <f t="shared" si="29"/>
        <v>133381810.83384</v>
      </c>
      <c r="N20" s="277">
        <f t="shared" si="29"/>
        <v>291660903.016128</v>
      </c>
      <c r="O20" s="277">
        <f t="shared" si="29"/>
        <v>123270684.7212</v>
      </c>
      <c r="P20" s="277">
        <f t="shared" si="29"/>
        <v>48182875.453440003</v>
      </c>
      <c r="Q20" s="277">
        <f t="shared" si="29"/>
        <v>117591627.65021279</v>
      </c>
      <c r="R20" s="281">
        <f t="shared" si="9"/>
        <v>801897670.10472476</v>
      </c>
      <c r="S20" s="277">
        <f t="shared" ref="S20:Z20" si="30">+S16*1.43856%</f>
        <v>35292554.5511664</v>
      </c>
      <c r="T20" s="277">
        <f t="shared" si="30"/>
        <v>30385912.707763199</v>
      </c>
      <c r="U20" s="277">
        <f t="shared" si="30"/>
        <v>34582025.326031998</v>
      </c>
      <c r="V20" s="277">
        <f t="shared" si="30"/>
        <v>14724471.50928</v>
      </c>
      <c r="W20" s="277">
        <f t="shared" si="30"/>
        <v>16355295.686246401</v>
      </c>
      <c r="X20" s="277">
        <f t="shared" si="30"/>
        <v>35776401.389596798</v>
      </c>
      <c r="Y20" s="277">
        <f t="shared" si="30"/>
        <v>0</v>
      </c>
      <c r="Z20" s="277">
        <f t="shared" si="30"/>
        <v>0</v>
      </c>
      <c r="AA20" s="281">
        <f t="shared" si="24"/>
        <v>167116661.17008477</v>
      </c>
      <c r="AB20" s="403">
        <f t="shared" si="12"/>
        <v>969014331.2748096</v>
      </c>
      <c r="AC20" s="326">
        <f t="shared" si="13"/>
        <v>1.0484050103657587</v>
      </c>
    </row>
    <row r="21" spans="1:29" ht="25.5" hidden="1" x14ac:dyDescent="0.2">
      <c r="A21" s="424"/>
      <c r="B21" s="323" t="s">
        <v>392</v>
      </c>
      <c r="C21" s="327" t="s">
        <v>174</v>
      </c>
      <c r="D21" s="324">
        <f>+D16*0.7048944%</f>
        <v>449370180.00000006</v>
      </c>
      <c r="E21" s="325">
        <f>SUM('ADICIONES  2021'!C21:N21)</f>
        <v>3524472.0000000005</v>
      </c>
      <c r="F21" s="277">
        <f t="shared" ref="F21:J21" si="31">+F16*0.7048944%</f>
        <v>0</v>
      </c>
      <c r="G21" s="277">
        <f t="shared" si="31"/>
        <v>0</v>
      </c>
      <c r="H21" s="277">
        <f t="shared" si="31"/>
        <v>0</v>
      </c>
      <c r="I21" s="277">
        <f t="shared" si="31"/>
        <v>0</v>
      </c>
      <c r="J21" s="277">
        <f t="shared" si="31"/>
        <v>0</v>
      </c>
      <c r="K21" s="281">
        <f t="shared" si="1"/>
        <v>452894652.00000006</v>
      </c>
      <c r="L21" s="277">
        <f t="shared" ref="L21:Q21" si="32">+L16*0.7048944%</f>
        <v>43026786.530652963</v>
      </c>
      <c r="M21" s="277">
        <f t="shared" si="32"/>
        <v>65357087.308581606</v>
      </c>
      <c r="N21" s="277">
        <f t="shared" si="32"/>
        <v>142913842.47790274</v>
      </c>
      <c r="O21" s="277">
        <f t="shared" si="32"/>
        <v>60402635.513388008</v>
      </c>
      <c r="P21" s="277">
        <f t="shared" si="32"/>
        <v>23609608.972185601</v>
      </c>
      <c r="Q21" s="277">
        <f t="shared" si="32"/>
        <v>57619897.54860428</v>
      </c>
      <c r="R21" s="281">
        <f t="shared" si="9"/>
        <v>392929858.35131514</v>
      </c>
      <c r="S21" s="277">
        <f t="shared" ref="S21:Z21" si="33">+S16*0.7048944%</f>
        <v>17293351.730071537</v>
      </c>
      <c r="T21" s="277">
        <f t="shared" si="33"/>
        <v>14889097.22680397</v>
      </c>
      <c r="U21" s="277">
        <f t="shared" si="33"/>
        <v>16945192.409755681</v>
      </c>
      <c r="V21" s="277">
        <f t="shared" si="33"/>
        <v>7214991.0395472003</v>
      </c>
      <c r="W21" s="277">
        <f t="shared" si="33"/>
        <v>8014094.8862607367</v>
      </c>
      <c r="X21" s="277">
        <f t="shared" si="33"/>
        <v>17530436.680902433</v>
      </c>
      <c r="Y21" s="277">
        <f t="shared" si="33"/>
        <v>0</v>
      </c>
      <c r="Z21" s="277">
        <f t="shared" si="33"/>
        <v>0</v>
      </c>
      <c r="AA21" s="281">
        <f t="shared" si="24"/>
        <v>81887163.973341554</v>
      </c>
      <c r="AB21" s="403">
        <f t="shared" si="12"/>
        <v>474817022.32465672</v>
      </c>
      <c r="AC21" s="326">
        <f t="shared" si="13"/>
        <v>1.0484050103657587</v>
      </c>
    </row>
    <row r="22" spans="1:29" ht="25.5" hidden="1" x14ac:dyDescent="0.2">
      <c r="A22" s="424"/>
      <c r="B22" s="323" t="s">
        <v>393</v>
      </c>
      <c r="C22" s="206" t="s">
        <v>394</v>
      </c>
      <c r="D22" s="328">
        <f>+D16*20%</f>
        <v>12750000000</v>
      </c>
      <c r="E22" s="325">
        <f>SUM('ADICIONES  2021'!C22:N22)</f>
        <v>100000000</v>
      </c>
      <c r="F22" s="278">
        <f t="shared" ref="F22:J22" si="34">+F16*20%</f>
        <v>0</v>
      </c>
      <c r="G22" s="278">
        <f t="shared" si="34"/>
        <v>0</v>
      </c>
      <c r="H22" s="278">
        <f t="shared" si="34"/>
        <v>0</v>
      </c>
      <c r="I22" s="278">
        <f t="shared" si="34"/>
        <v>0</v>
      </c>
      <c r="J22" s="278">
        <f t="shared" si="34"/>
        <v>0</v>
      </c>
      <c r="K22" s="281">
        <f t="shared" si="1"/>
        <v>12850000000</v>
      </c>
      <c r="L22" s="278">
        <f t="shared" ref="L22:Q22" si="35">+L16*20%</f>
        <v>1220800918</v>
      </c>
      <c r="M22" s="278">
        <f t="shared" si="35"/>
        <v>1854379530</v>
      </c>
      <c r="N22" s="278">
        <f t="shared" si="35"/>
        <v>4054900776</v>
      </c>
      <c r="O22" s="278">
        <f t="shared" si="35"/>
        <v>1713806650</v>
      </c>
      <c r="P22" s="278">
        <f t="shared" si="35"/>
        <v>669876480</v>
      </c>
      <c r="Q22" s="278">
        <f t="shared" si="35"/>
        <v>1634851902.6000001</v>
      </c>
      <c r="R22" s="281">
        <f t="shared" si="9"/>
        <v>11148616256.6</v>
      </c>
      <c r="S22" s="278">
        <f t="shared" ref="S22:Z22" si="36">+S16*20%</f>
        <v>490665033.80000001</v>
      </c>
      <c r="T22" s="278">
        <f t="shared" si="36"/>
        <v>422449014.40000004</v>
      </c>
      <c r="U22" s="278">
        <f t="shared" si="36"/>
        <v>480786694</v>
      </c>
      <c r="V22" s="278">
        <f t="shared" si="36"/>
        <v>204711260</v>
      </c>
      <c r="W22" s="278">
        <f t="shared" si="36"/>
        <v>227384268.80000001</v>
      </c>
      <c r="X22" s="278">
        <f t="shared" si="36"/>
        <v>497391855.60000002</v>
      </c>
      <c r="Y22" s="278">
        <f t="shared" si="36"/>
        <v>0</v>
      </c>
      <c r="Z22" s="278">
        <f t="shared" si="36"/>
        <v>0</v>
      </c>
      <c r="AA22" s="281">
        <f t="shared" si="24"/>
        <v>2323388126.5999999</v>
      </c>
      <c r="AB22" s="403">
        <f t="shared" si="12"/>
        <v>13472004383.200001</v>
      </c>
      <c r="AC22" s="326">
        <f t="shared" si="13"/>
        <v>1.0484050103657587</v>
      </c>
    </row>
    <row r="23" spans="1:29" s="19" customFormat="1" ht="25.5" x14ac:dyDescent="0.2">
      <c r="A23" s="429">
        <v>1</v>
      </c>
      <c r="B23" s="323" t="s">
        <v>395</v>
      </c>
      <c r="C23" s="206" t="s">
        <v>175</v>
      </c>
      <c r="D23" s="283">
        <v>10000000000</v>
      </c>
      <c r="E23" s="322">
        <f>SUM('ADICIONES  2021'!C23:N23)</f>
        <v>7500000000</v>
      </c>
      <c r="F23" s="276"/>
      <c r="G23" s="276"/>
      <c r="H23" s="276"/>
      <c r="I23" s="276"/>
      <c r="J23" s="276"/>
      <c r="K23" s="281">
        <f t="shared" si="1"/>
        <v>17500000000</v>
      </c>
      <c r="L23" s="276">
        <v>941705689</v>
      </c>
      <c r="M23" s="276">
        <v>1319494482</v>
      </c>
      <c r="N23" s="276">
        <v>1568538444</v>
      </c>
      <c r="O23" s="276">
        <v>1047503426</v>
      </c>
      <c r="P23" s="276">
        <v>618526099</v>
      </c>
      <c r="Q23" s="276">
        <v>981723487</v>
      </c>
      <c r="R23" s="281">
        <f t="shared" si="9"/>
        <v>6477491627</v>
      </c>
      <c r="S23" s="281">
        <v>1352763690</v>
      </c>
      <c r="T23" s="281">
        <v>2840637018</v>
      </c>
      <c r="U23" s="281">
        <v>4805708945</v>
      </c>
      <c r="V23" s="281">
        <v>880014260</v>
      </c>
      <c r="W23" s="281">
        <v>910780870</v>
      </c>
      <c r="X23" s="281">
        <v>2337865849</v>
      </c>
      <c r="Y23" s="281"/>
      <c r="Z23" s="276"/>
      <c r="AA23" s="276">
        <f t="shared" si="24"/>
        <v>13127770632</v>
      </c>
      <c r="AB23" s="403">
        <f t="shared" si="12"/>
        <v>19605262259</v>
      </c>
      <c r="AC23" s="326">
        <f t="shared" si="13"/>
        <v>1.1203007005142858</v>
      </c>
    </row>
    <row r="24" spans="1:29" ht="25.5" hidden="1" x14ac:dyDescent="0.2">
      <c r="A24" s="424"/>
      <c r="B24" s="323" t="s">
        <v>396</v>
      </c>
      <c r="C24" s="206" t="s">
        <v>176</v>
      </c>
      <c r="D24" s="324">
        <f>+D23*69.7845456%</f>
        <v>6978454560</v>
      </c>
      <c r="E24" s="325">
        <f>SUM('ADICIONES  2021'!C24:N24)</f>
        <v>5233840920</v>
      </c>
      <c r="F24" s="277">
        <f t="shared" ref="F24:J24" si="37">+F23*69.7845456%</f>
        <v>0</v>
      </c>
      <c r="G24" s="277">
        <f t="shared" si="37"/>
        <v>0</v>
      </c>
      <c r="H24" s="277">
        <f t="shared" si="37"/>
        <v>0</v>
      </c>
      <c r="I24" s="277">
        <f t="shared" si="37"/>
        <v>0</v>
      </c>
      <c r="J24" s="277">
        <f t="shared" si="37"/>
        <v>0</v>
      </c>
      <c r="K24" s="281">
        <f t="shared" si="1"/>
        <v>12212295480</v>
      </c>
      <c r="L24" s="277">
        <f t="shared" ref="L24:Q24" si="38">+L23*69.7845456%</f>
        <v>657165035.95799923</v>
      </c>
      <c r="M24" s="277">
        <f t="shared" si="38"/>
        <v>920803228.48077381</v>
      </c>
      <c r="N24" s="277">
        <f t="shared" si="38"/>
        <v>1094597425.7067106</v>
      </c>
      <c r="O24" s="277">
        <f t="shared" si="38"/>
        <v>730995505.97853231</v>
      </c>
      <c r="P24" s="277">
        <f t="shared" si="38"/>
        <v>431635627.60455614</v>
      </c>
      <c r="Q24" s="277">
        <f t="shared" si="38"/>
        <v>685091274.45142508</v>
      </c>
      <c r="R24" s="281">
        <f t="shared" si="9"/>
        <v>4520288098.1799974</v>
      </c>
      <c r="S24" s="277">
        <f t="shared" ref="S24:Z24" si="39">+S23*69.7845456%</f>
        <v>944019994.1082927</v>
      </c>
      <c r="T24" s="277">
        <f t="shared" si="39"/>
        <v>1982325635.1566904</v>
      </c>
      <c r="U24" s="277">
        <f t="shared" si="39"/>
        <v>3353642150.1268039</v>
      </c>
      <c r="V24" s="277">
        <f t="shared" si="39"/>
        <v>614113952.55620253</v>
      </c>
      <c r="W24" s="277">
        <f t="shared" si="39"/>
        <v>635584291.54122674</v>
      </c>
      <c r="X24" s="277">
        <f t="shared" si="39"/>
        <v>1631469059.4622321</v>
      </c>
      <c r="Y24" s="277">
        <f t="shared" si="39"/>
        <v>0</v>
      </c>
      <c r="Z24" s="277">
        <f t="shared" si="39"/>
        <v>0</v>
      </c>
      <c r="AA24" s="281">
        <f t="shared" si="24"/>
        <v>9161155082.9514484</v>
      </c>
      <c r="AB24" s="403">
        <f t="shared" si="12"/>
        <v>13681443181.131447</v>
      </c>
      <c r="AC24" s="326">
        <f t="shared" si="13"/>
        <v>1.1203007005142858</v>
      </c>
    </row>
    <row r="25" spans="1:29" ht="25.5" hidden="1" x14ac:dyDescent="0.2">
      <c r="A25" s="424"/>
      <c r="B25" s="323" t="s">
        <v>397</v>
      </c>
      <c r="C25" s="206" t="s">
        <v>177</v>
      </c>
      <c r="D25" s="324">
        <f>+D23*0.08%</f>
        <v>8000000</v>
      </c>
      <c r="E25" s="325">
        <f>SUM('ADICIONES  2021'!C25:N25)</f>
        <v>6000000</v>
      </c>
      <c r="F25" s="277">
        <f t="shared" ref="F25:J25" si="40">+F23*0.08%</f>
        <v>0</v>
      </c>
      <c r="G25" s="277">
        <f t="shared" si="40"/>
        <v>0</v>
      </c>
      <c r="H25" s="277">
        <f t="shared" si="40"/>
        <v>0</v>
      </c>
      <c r="I25" s="277">
        <f t="shared" si="40"/>
        <v>0</v>
      </c>
      <c r="J25" s="277">
        <f t="shared" si="40"/>
        <v>0</v>
      </c>
      <c r="K25" s="281">
        <f t="shared" si="1"/>
        <v>14000000</v>
      </c>
      <c r="L25" s="277">
        <f t="shared" ref="L25:Q25" si="41">+L23*0.08%</f>
        <v>753364.55119999999</v>
      </c>
      <c r="M25" s="277">
        <f t="shared" si="41"/>
        <v>1055595.5856000001</v>
      </c>
      <c r="N25" s="277">
        <f t="shared" si="41"/>
        <v>1254830.7552</v>
      </c>
      <c r="O25" s="277">
        <f t="shared" si="41"/>
        <v>838002.74080000003</v>
      </c>
      <c r="P25" s="277">
        <f t="shared" si="41"/>
        <v>494820.87920000002</v>
      </c>
      <c r="Q25" s="277">
        <f t="shared" si="41"/>
        <v>785378.78960000002</v>
      </c>
      <c r="R25" s="281">
        <f t="shared" si="9"/>
        <v>5181993.3015999999</v>
      </c>
      <c r="S25" s="277">
        <f t="shared" ref="S25:Z25" si="42">+S23*0.08%</f>
        <v>1082210.952</v>
      </c>
      <c r="T25" s="277">
        <f t="shared" si="42"/>
        <v>2272509.6144000003</v>
      </c>
      <c r="U25" s="277">
        <f t="shared" si="42"/>
        <v>3844567.156</v>
      </c>
      <c r="V25" s="277">
        <f t="shared" si="42"/>
        <v>704011.40800000005</v>
      </c>
      <c r="W25" s="277">
        <f t="shared" si="42"/>
        <v>728624.696</v>
      </c>
      <c r="X25" s="277">
        <f t="shared" si="42"/>
        <v>1870292.6792000001</v>
      </c>
      <c r="Y25" s="277">
        <f t="shared" si="42"/>
        <v>0</v>
      </c>
      <c r="Z25" s="277">
        <f t="shared" si="42"/>
        <v>0</v>
      </c>
      <c r="AA25" s="281">
        <f t="shared" si="24"/>
        <v>10502216.505600002</v>
      </c>
      <c r="AB25" s="403">
        <f t="shared" si="12"/>
        <v>15684209.807200002</v>
      </c>
      <c r="AC25" s="326">
        <f t="shared" si="13"/>
        <v>1.1203007005142858</v>
      </c>
    </row>
    <row r="26" spans="1:29" ht="14.25" hidden="1" x14ac:dyDescent="0.2">
      <c r="A26" s="424"/>
      <c r="B26" s="323" t="s">
        <v>398</v>
      </c>
      <c r="C26" s="206" t="s">
        <v>178</v>
      </c>
      <c r="D26" s="324">
        <f>+D23*7.992%</f>
        <v>799200000</v>
      </c>
      <c r="E26" s="325">
        <f>SUM('ADICIONES  2021'!C26:N26)</f>
        <v>599400000</v>
      </c>
      <c r="F26" s="277">
        <f t="shared" ref="F26:J26" si="43">+F23*7.992%</f>
        <v>0</v>
      </c>
      <c r="G26" s="277">
        <f t="shared" si="43"/>
        <v>0</v>
      </c>
      <c r="H26" s="277">
        <f t="shared" si="43"/>
        <v>0</v>
      </c>
      <c r="I26" s="277">
        <f t="shared" si="43"/>
        <v>0</v>
      </c>
      <c r="J26" s="277">
        <f t="shared" si="43"/>
        <v>0</v>
      </c>
      <c r="K26" s="281">
        <f t="shared" si="1"/>
        <v>1398600000</v>
      </c>
      <c r="L26" s="277">
        <f t="shared" ref="L26:Q26" si="44">+L23*7.992%</f>
        <v>75261118.664880008</v>
      </c>
      <c r="M26" s="277">
        <f t="shared" si="44"/>
        <v>105453999.00144</v>
      </c>
      <c r="N26" s="277">
        <f t="shared" si="44"/>
        <v>125357592.44448</v>
      </c>
      <c r="O26" s="277">
        <f t="shared" si="44"/>
        <v>83716473.805920005</v>
      </c>
      <c r="P26" s="277">
        <f t="shared" si="44"/>
        <v>49432605.832080007</v>
      </c>
      <c r="Q26" s="277">
        <f t="shared" si="44"/>
        <v>78459341.08104001</v>
      </c>
      <c r="R26" s="281">
        <f t="shared" si="9"/>
        <v>517681130.82984006</v>
      </c>
      <c r="S26" s="277">
        <f t="shared" ref="S26:Z26" si="45">+S23*7.992%</f>
        <v>108112874.1048</v>
      </c>
      <c r="T26" s="277">
        <f t="shared" si="45"/>
        <v>227023710.47856</v>
      </c>
      <c r="U26" s="277">
        <f t="shared" si="45"/>
        <v>384072258.88440001</v>
      </c>
      <c r="V26" s="277">
        <f t="shared" si="45"/>
        <v>70330739.659199998</v>
      </c>
      <c r="W26" s="277">
        <f t="shared" si="45"/>
        <v>72789607.130400002</v>
      </c>
      <c r="X26" s="277">
        <f t="shared" si="45"/>
        <v>186842238.65208</v>
      </c>
      <c r="Y26" s="277">
        <f t="shared" si="45"/>
        <v>0</v>
      </c>
      <c r="Z26" s="277">
        <f t="shared" si="45"/>
        <v>0</v>
      </c>
      <c r="AA26" s="281">
        <f t="shared" si="24"/>
        <v>1049171428.90944</v>
      </c>
      <c r="AB26" s="403">
        <f t="shared" si="12"/>
        <v>1566852559.7392802</v>
      </c>
      <c r="AC26" s="326">
        <f t="shared" si="13"/>
        <v>1.120300700514286</v>
      </c>
    </row>
    <row r="27" spans="1:29" ht="25.5" hidden="1" x14ac:dyDescent="0.2">
      <c r="A27" s="424"/>
      <c r="B27" s="323" t="s">
        <v>399</v>
      </c>
      <c r="C27" s="206" t="s">
        <v>179</v>
      </c>
      <c r="D27" s="324">
        <f>+D23*1.43856%</f>
        <v>143856000</v>
      </c>
      <c r="E27" s="325">
        <f>SUM('ADICIONES  2021'!C27:N27)</f>
        <v>107892000</v>
      </c>
      <c r="F27" s="277">
        <f t="shared" ref="F27:J27" si="46">+F23*1.43856%</f>
        <v>0</v>
      </c>
      <c r="G27" s="277">
        <f t="shared" si="46"/>
        <v>0</v>
      </c>
      <c r="H27" s="277">
        <f t="shared" si="46"/>
        <v>0</v>
      </c>
      <c r="I27" s="277">
        <f t="shared" si="46"/>
        <v>0</v>
      </c>
      <c r="J27" s="277">
        <f t="shared" si="46"/>
        <v>0</v>
      </c>
      <c r="K27" s="281">
        <f t="shared" si="1"/>
        <v>251748000</v>
      </c>
      <c r="L27" s="277">
        <f t="shared" ref="L27:Q27" si="47">+L23*1.43856%</f>
        <v>13547001.359678401</v>
      </c>
      <c r="M27" s="277">
        <f t="shared" si="47"/>
        <v>18981719.820259199</v>
      </c>
      <c r="N27" s="277">
        <f t="shared" si="47"/>
        <v>22564366.640006401</v>
      </c>
      <c r="O27" s="277">
        <f t="shared" si="47"/>
        <v>15068965.285065601</v>
      </c>
      <c r="P27" s="277">
        <f t="shared" si="47"/>
        <v>8897869.0497744009</v>
      </c>
      <c r="Q27" s="277">
        <f t="shared" si="47"/>
        <v>14122681.3945872</v>
      </c>
      <c r="R27" s="281">
        <f t="shared" si="9"/>
        <v>93182603.549371198</v>
      </c>
      <c r="S27" s="277">
        <f t="shared" ref="S27:Z27" si="48">+S23*1.43856%</f>
        <v>19460317.338863999</v>
      </c>
      <c r="T27" s="277">
        <f t="shared" si="48"/>
        <v>40864267.886140801</v>
      </c>
      <c r="U27" s="277">
        <f t="shared" si="48"/>
        <v>69133006.599191993</v>
      </c>
      <c r="V27" s="277">
        <f t="shared" si="48"/>
        <v>12659533.138656</v>
      </c>
      <c r="W27" s="277">
        <f t="shared" si="48"/>
        <v>13102129.283472</v>
      </c>
      <c r="X27" s="277">
        <f t="shared" si="48"/>
        <v>33631602.957374401</v>
      </c>
      <c r="Y27" s="277">
        <f t="shared" si="48"/>
        <v>0</v>
      </c>
      <c r="Z27" s="277">
        <f t="shared" si="48"/>
        <v>0</v>
      </c>
      <c r="AA27" s="281">
        <f t="shared" si="24"/>
        <v>188850857.20369917</v>
      </c>
      <c r="AB27" s="403">
        <f t="shared" si="12"/>
        <v>282033460.75307035</v>
      </c>
      <c r="AC27" s="326">
        <f t="shared" si="13"/>
        <v>1.1203007005142855</v>
      </c>
    </row>
    <row r="28" spans="1:29" ht="38.25" hidden="1" x14ac:dyDescent="0.2">
      <c r="A28" s="424"/>
      <c r="B28" s="323" t="s">
        <v>400</v>
      </c>
      <c r="C28" s="206" t="s">
        <v>180</v>
      </c>
      <c r="D28" s="324">
        <f>+D23*0.7048944%</f>
        <v>70489440</v>
      </c>
      <c r="E28" s="325">
        <f>SUM('ADICIONES  2021'!C28:N28)</f>
        <v>52867080.000000007</v>
      </c>
      <c r="F28" s="277">
        <f t="shared" ref="F28:J28" si="49">+F23*0.7048944%</f>
        <v>0</v>
      </c>
      <c r="G28" s="277">
        <f t="shared" si="49"/>
        <v>0</v>
      </c>
      <c r="H28" s="277">
        <f t="shared" si="49"/>
        <v>0</v>
      </c>
      <c r="I28" s="277">
        <f t="shared" si="49"/>
        <v>0</v>
      </c>
      <c r="J28" s="277">
        <f t="shared" si="49"/>
        <v>0</v>
      </c>
      <c r="K28" s="281">
        <f t="shared" si="1"/>
        <v>123356520</v>
      </c>
      <c r="L28" s="277">
        <f t="shared" ref="L28:Q28" si="50">+L23*0.7048944%</f>
        <v>6638030.6662424169</v>
      </c>
      <c r="M28" s="277">
        <f t="shared" si="50"/>
        <v>9301042.7119270079</v>
      </c>
      <c r="N28" s="277">
        <f t="shared" si="50"/>
        <v>11056539.653603137</v>
      </c>
      <c r="O28" s="277">
        <f t="shared" si="50"/>
        <v>7383792.9896821445</v>
      </c>
      <c r="P28" s="277">
        <f t="shared" si="50"/>
        <v>4359955.8343894565</v>
      </c>
      <c r="Q28" s="277">
        <f t="shared" si="50"/>
        <v>6920113.8833477283</v>
      </c>
      <c r="R28" s="281">
        <f t="shared" si="9"/>
        <v>45659475.73919189</v>
      </c>
      <c r="S28" s="277">
        <f t="shared" ref="S28:Z28" si="51">+S23*0.7048944%</f>
        <v>9535555.4960433599</v>
      </c>
      <c r="T28" s="277">
        <f t="shared" si="51"/>
        <v>20023491.264208995</v>
      </c>
      <c r="U28" s="277">
        <f t="shared" si="51"/>
        <v>33875173.233604081</v>
      </c>
      <c r="V28" s="277">
        <f t="shared" si="51"/>
        <v>6203171.2379414402</v>
      </c>
      <c r="W28" s="277">
        <f t="shared" si="51"/>
        <v>6420043.3489012802</v>
      </c>
      <c r="X28" s="277">
        <f t="shared" si="51"/>
        <v>16479485.449113457</v>
      </c>
      <c r="Y28" s="277">
        <f t="shared" si="51"/>
        <v>0</v>
      </c>
      <c r="Z28" s="277">
        <f t="shared" si="51"/>
        <v>0</v>
      </c>
      <c r="AA28" s="281">
        <f t="shared" si="24"/>
        <v>92536920.029812619</v>
      </c>
      <c r="AB28" s="403">
        <f t="shared" si="12"/>
        <v>138196395.76900452</v>
      </c>
      <c r="AC28" s="326">
        <f t="shared" si="13"/>
        <v>1.120300700514286</v>
      </c>
    </row>
    <row r="29" spans="1:29" ht="25.5" hidden="1" x14ac:dyDescent="0.2">
      <c r="A29" s="424"/>
      <c r="B29" s="323" t="s">
        <v>401</v>
      </c>
      <c r="C29" s="206" t="s">
        <v>402</v>
      </c>
      <c r="D29" s="328">
        <f>+D23*20%</f>
        <v>2000000000</v>
      </c>
      <c r="E29" s="325">
        <f>SUM('ADICIONES  2021'!C29:N29)</f>
        <v>1500000000</v>
      </c>
      <c r="F29" s="278">
        <f t="shared" ref="F29:J29" si="52">+F23*20%</f>
        <v>0</v>
      </c>
      <c r="G29" s="278">
        <f t="shared" si="52"/>
        <v>0</v>
      </c>
      <c r="H29" s="278">
        <f t="shared" si="52"/>
        <v>0</v>
      </c>
      <c r="I29" s="278">
        <f t="shared" si="52"/>
        <v>0</v>
      </c>
      <c r="J29" s="278">
        <f t="shared" si="52"/>
        <v>0</v>
      </c>
      <c r="K29" s="281">
        <f t="shared" si="1"/>
        <v>3500000000</v>
      </c>
      <c r="L29" s="278">
        <f t="shared" ref="L29:Q29" si="53">+L23*20%</f>
        <v>188341137.80000001</v>
      </c>
      <c r="M29" s="278">
        <f t="shared" si="53"/>
        <v>263898896.40000001</v>
      </c>
      <c r="N29" s="278">
        <f t="shared" si="53"/>
        <v>313707688.80000001</v>
      </c>
      <c r="O29" s="278">
        <f t="shared" si="53"/>
        <v>209500685.20000002</v>
      </c>
      <c r="P29" s="278">
        <f t="shared" si="53"/>
        <v>123705219.80000001</v>
      </c>
      <c r="Q29" s="278">
        <f t="shared" si="53"/>
        <v>196344697.40000001</v>
      </c>
      <c r="R29" s="281">
        <f t="shared" si="9"/>
        <v>1295498325.4000001</v>
      </c>
      <c r="S29" s="278">
        <f t="shared" ref="S29:Z29" si="54">+S23*20%</f>
        <v>270552738</v>
      </c>
      <c r="T29" s="278">
        <f t="shared" si="54"/>
        <v>568127403.60000002</v>
      </c>
      <c r="U29" s="278">
        <f t="shared" si="54"/>
        <v>961141789</v>
      </c>
      <c r="V29" s="278">
        <f t="shared" si="54"/>
        <v>176002852</v>
      </c>
      <c r="W29" s="278">
        <f t="shared" si="54"/>
        <v>182156174</v>
      </c>
      <c r="X29" s="278">
        <f t="shared" si="54"/>
        <v>467573169.80000001</v>
      </c>
      <c r="Y29" s="278">
        <f t="shared" si="54"/>
        <v>0</v>
      </c>
      <c r="Z29" s="278">
        <f t="shared" si="54"/>
        <v>0</v>
      </c>
      <c r="AA29" s="281">
        <f t="shared" si="24"/>
        <v>2625554126.4000001</v>
      </c>
      <c r="AB29" s="403">
        <f t="shared" si="12"/>
        <v>3921052451.8000002</v>
      </c>
      <c r="AC29" s="326">
        <f t="shared" si="13"/>
        <v>1.1203007005142858</v>
      </c>
    </row>
    <row r="30" spans="1:29" s="61" customFormat="1" ht="15.75" x14ac:dyDescent="0.2">
      <c r="A30" s="428">
        <v>1</v>
      </c>
      <c r="B30" s="318" t="s">
        <v>403</v>
      </c>
      <c r="C30" s="319" t="s">
        <v>404</v>
      </c>
      <c r="D30" s="283">
        <f>+D31+D46+D52+D79+D93+D109+D115</f>
        <v>382109200000</v>
      </c>
      <c r="E30" s="322">
        <f>SUM('ADICIONES  2021'!C30:N30)</f>
        <v>12426400000</v>
      </c>
      <c r="F30" s="275">
        <f t="shared" ref="F30:J30" si="55">+F31+F46+F52+F79+F93+F109+F115</f>
        <v>0</v>
      </c>
      <c r="G30" s="275">
        <f t="shared" si="55"/>
        <v>350000000</v>
      </c>
      <c r="H30" s="275">
        <f t="shared" si="55"/>
        <v>1559810323.22</v>
      </c>
      <c r="I30" s="275">
        <f t="shared" si="55"/>
        <v>0</v>
      </c>
      <c r="J30" s="275">
        <f t="shared" si="55"/>
        <v>0</v>
      </c>
      <c r="K30" s="276">
        <f t="shared" si="1"/>
        <v>393325789676.78003</v>
      </c>
      <c r="L30" s="275">
        <f t="shared" ref="L30:Q30" si="56">+L31+L46+L52+L79+L93+L109+L115</f>
        <v>43710554814.7808</v>
      </c>
      <c r="M30" s="275">
        <f t="shared" si="56"/>
        <v>35787804699.062401</v>
      </c>
      <c r="N30" s="275">
        <f t="shared" si="56"/>
        <v>27702655831.124802</v>
      </c>
      <c r="O30" s="275">
        <f t="shared" si="56"/>
        <v>30783196612.958397</v>
      </c>
      <c r="P30" s="275">
        <f t="shared" si="56"/>
        <v>30086227196.235199</v>
      </c>
      <c r="Q30" s="275">
        <f t="shared" si="56"/>
        <v>29652385131.6768</v>
      </c>
      <c r="R30" s="276">
        <f t="shared" si="9"/>
        <v>197722824285.83838</v>
      </c>
      <c r="S30" s="275">
        <f t="shared" ref="S30:Z30" si="57">+S31+S46+S52+S79+S93+S109+S115</f>
        <v>29593372200.579201</v>
      </c>
      <c r="T30" s="275">
        <f t="shared" si="57"/>
        <v>29070441206.892799</v>
      </c>
      <c r="U30" s="275">
        <f t="shared" si="57"/>
        <v>36662580805.568001</v>
      </c>
      <c r="V30" s="275">
        <f t="shared" si="57"/>
        <v>31979023957.433598</v>
      </c>
      <c r="W30" s="275">
        <f t="shared" si="57"/>
        <v>44843254610.843201</v>
      </c>
      <c r="X30" s="275">
        <f t="shared" si="57"/>
        <v>51018029351.345596</v>
      </c>
      <c r="Y30" s="275">
        <f t="shared" si="57"/>
        <v>-2322568107.4765139</v>
      </c>
      <c r="Z30" s="275">
        <f t="shared" si="57"/>
        <v>0</v>
      </c>
      <c r="AA30" s="276">
        <f t="shared" si="24"/>
        <v>220844134025.18591</v>
      </c>
      <c r="AB30" s="402">
        <f t="shared" si="12"/>
        <v>418566958311.02429</v>
      </c>
      <c r="AC30" s="321">
        <f t="shared" si="13"/>
        <v>1.0641736934030857</v>
      </c>
    </row>
    <row r="31" spans="1:29" s="61" customFormat="1" ht="15.75" x14ac:dyDescent="0.2">
      <c r="A31" s="428">
        <v>1</v>
      </c>
      <c r="B31" s="318" t="s">
        <v>405</v>
      </c>
      <c r="C31" s="319" t="s">
        <v>406</v>
      </c>
      <c r="D31" s="283">
        <f>+D32+D39</f>
        <v>54000000000</v>
      </c>
      <c r="E31" s="322">
        <f>SUM('ADICIONES  2021'!C31:N31)</f>
        <v>673000000</v>
      </c>
      <c r="F31" s="275">
        <f t="shared" ref="F31:J31" si="58">+F32+F39</f>
        <v>0</v>
      </c>
      <c r="G31" s="275">
        <f t="shared" si="58"/>
        <v>0</v>
      </c>
      <c r="H31" s="275">
        <f t="shared" si="58"/>
        <v>0</v>
      </c>
      <c r="I31" s="275">
        <f t="shared" si="58"/>
        <v>0</v>
      </c>
      <c r="J31" s="275">
        <f t="shared" si="58"/>
        <v>0</v>
      </c>
      <c r="K31" s="276">
        <f t="shared" si="1"/>
        <v>54673000000</v>
      </c>
      <c r="L31" s="275">
        <f t="shared" ref="L31:Q31" si="59">+L32+L39</f>
        <v>4430680200</v>
      </c>
      <c r="M31" s="275">
        <f t="shared" si="59"/>
        <v>4848747100</v>
      </c>
      <c r="N31" s="275">
        <f t="shared" si="59"/>
        <v>6027910300</v>
      </c>
      <c r="O31" s="275">
        <f t="shared" si="59"/>
        <v>4966344500</v>
      </c>
      <c r="P31" s="275">
        <f t="shared" si="59"/>
        <v>4194323700</v>
      </c>
      <c r="Q31" s="275">
        <f t="shared" si="59"/>
        <v>5263978300</v>
      </c>
      <c r="R31" s="276">
        <f t="shared" si="9"/>
        <v>29731984100</v>
      </c>
      <c r="S31" s="275">
        <f t="shared" ref="S31:Z31" si="60">+S32+S39</f>
        <v>4912084900</v>
      </c>
      <c r="T31" s="275">
        <f t="shared" si="60"/>
        <v>5463501600</v>
      </c>
      <c r="U31" s="275">
        <f t="shared" si="60"/>
        <v>5625629000</v>
      </c>
      <c r="V31" s="275">
        <f t="shared" si="60"/>
        <v>4941044500</v>
      </c>
      <c r="W31" s="275">
        <f t="shared" si="60"/>
        <v>5291108500</v>
      </c>
      <c r="X31" s="275">
        <f t="shared" si="60"/>
        <v>6998029600</v>
      </c>
      <c r="Y31" s="275">
        <f t="shared" si="60"/>
        <v>0</v>
      </c>
      <c r="Z31" s="275">
        <f t="shared" si="60"/>
        <v>0</v>
      </c>
      <c r="AA31" s="276">
        <f t="shared" si="24"/>
        <v>33231398100</v>
      </c>
      <c r="AB31" s="402">
        <f t="shared" si="12"/>
        <v>62963382200</v>
      </c>
      <c r="AC31" s="321">
        <f t="shared" si="13"/>
        <v>1.1516357653686464</v>
      </c>
    </row>
    <row r="32" spans="1:29" s="19" customFormat="1" x14ac:dyDescent="0.2">
      <c r="A32" s="429">
        <v>1</v>
      </c>
      <c r="B32" s="323" t="s">
        <v>407</v>
      </c>
      <c r="C32" s="206" t="s">
        <v>408</v>
      </c>
      <c r="D32" s="283">
        <v>5400000000</v>
      </c>
      <c r="E32" s="322">
        <f>SUM('ADICIONES  2021'!C32:N32)</f>
        <v>0</v>
      </c>
      <c r="F32" s="279"/>
      <c r="G32" s="279"/>
      <c r="H32" s="279"/>
      <c r="I32" s="279"/>
      <c r="J32" s="279"/>
      <c r="K32" s="281">
        <f t="shared" si="1"/>
        <v>5400000000</v>
      </c>
      <c r="L32" s="279">
        <v>255320000</v>
      </c>
      <c r="M32" s="279">
        <v>286645400</v>
      </c>
      <c r="N32" s="279">
        <v>484993400</v>
      </c>
      <c r="O32" s="279">
        <v>316533800</v>
      </c>
      <c r="P32" s="279">
        <v>231103000</v>
      </c>
      <c r="Q32" s="279">
        <v>292059200</v>
      </c>
      <c r="R32" s="281">
        <f t="shared" si="9"/>
        <v>1866654800</v>
      </c>
      <c r="S32" s="277">
        <v>207631400</v>
      </c>
      <c r="T32" s="277">
        <v>204262000</v>
      </c>
      <c r="U32" s="277">
        <v>298354700</v>
      </c>
      <c r="V32" s="277">
        <v>297948100</v>
      </c>
      <c r="W32" s="277">
        <v>266460200</v>
      </c>
      <c r="X32" s="277">
        <v>590066100</v>
      </c>
      <c r="Y32" s="277"/>
      <c r="Z32" s="279"/>
      <c r="AA32" s="276">
        <f t="shared" si="24"/>
        <v>1864722500</v>
      </c>
      <c r="AB32" s="403">
        <f t="shared" si="12"/>
        <v>3731377300</v>
      </c>
      <c r="AC32" s="326">
        <f t="shared" si="13"/>
        <v>0.69099579629629626</v>
      </c>
    </row>
    <row r="33" spans="1:29" ht="25.5" hidden="1" x14ac:dyDescent="0.2">
      <c r="A33" s="424"/>
      <c r="B33" s="323" t="s">
        <v>409</v>
      </c>
      <c r="C33" s="329" t="s">
        <v>125</v>
      </c>
      <c r="D33" s="324">
        <f>+D32*69.7845456%</f>
        <v>3768365462.4000001</v>
      </c>
      <c r="E33" s="325">
        <f>SUM('ADICIONES  2021'!C33:N33)</f>
        <v>0</v>
      </c>
      <c r="F33" s="277">
        <f>+F32*69.7845456%</f>
        <v>0</v>
      </c>
      <c r="G33" s="277">
        <f t="shared" ref="G33:J33" si="61">+G32*69.7845456%</f>
        <v>0</v>
      </c>
      <c r="H33" s="277">
        <f t="shared" si="61"/>
        <v>0</v>
      </c>
      <c r="I33" s="277">
        <f t="shared" si="61"/>
        <v>0</v>
      </c>
      <c r="J33" s="277">
        <f t="shared" si="61"/>
        <v>0</v>
      </c>
      <c r="K33" s="281">
        <f t="shared" si="1"/>
        <v>3768365462.4000001</v>
      </c>
      <c r="L33" s="277">
        <f t="shared" ref="L33:Q33" si="62">+L32*69.7845456%</f>
        <v>178173901.82592002</v>
      </c>
      <c r="M33" s="277">
        <f t="shared" si="62"/>
        <v>200034189.8733024</v>
      </c>
      <c r="N33" s="277">
        <f t="shared" si="62"/>
        <v>338450440.3799904</v>
      </c>
      <c r="O33" s="277">
        <f t="shared" si="62"/>
        <v>220891674.00041282</v>
      </c>
      <c r="P33" s="277">
        <f t="shared" si="62"/>
        <v>161274178.417968</v>
      </c>
      <c r="Q33" s="277">
        <f t="shared" si="62"/>
        <v>203812185.60299522</v>
      </c>
      <c r="R33" s="281">
        <f t="shared" si="9"/>
        <v>1302636570.1005888</v>
      </c>
      <c r="S33" s="277">
        <f t="shared" ref="S33:Z33" si="63">+S32*69.7845456%</f>
        <v>144894629.01291841</v>
      </c>
      <c r="T33" s="277">
        <f t="shared" si="63"/>
        <v>142543308.533472</v>
      </c>
      <c r="U33" s="277">
        <f t="shared" si="63"/>
        <v>208205471.67124322</v>
      </c>
      <c r="V33" s="277">
        <f t="shared" si="63"/>
        <v>207921727.70883361</v>
      </c>
      <c r="W33" s="277">
        <f t="shared" si="63"/>
        <v>185948039.7748512</v>
      </c>
      <c r="X33" s="277">
        <f t="shared" si="63"/>
        <v>411774946.6246416</v>
      </c>
      <c r="Y33" s="277">
        <f t="shared" si="63"/>
        <v>0</v>
      </c>
      <c r="Z33" s="277">
        <f t="shared" si="63"/>
        <v>0</v>
      </c>
      <c r="AA33" s="281">
        <f t="shared" si="24"/>
        <v>1301288123.3259599</v>
      </c>
      <c r="AB33" s="403">
        <f t="shared" si="12"/>
        <v>2603924693.426549</v>
      </c>
      <c r="AC33" s="326">
        <f t="shared" si="13"/>
        <v>0.69099579629629637</v>
      </c>
    </row>
    <row r="34" spans="1:29" ht="14.25" hidden="1" x14ac:dyDescent="0.2">
      <c r="A34" s="424"/>
      <c r="B34" s="323" t="s">
        <v>410</v>
      </c>
      <c r="C34" s="206" t="s">
        <v>126</v>
      </c>
      <c r="D34" s="324">
        <f>+D32*7.992%</f>
        <v>431568000</v>
      </c>
      <c r="E34" s="325">
        <f>SUM('ADICIONES  2021'!C34:N34)</f>
        <v>0</v>
      </c>
      <c r="F34" s="277">
        <f>+F32*7.992%</f>
        <v>0</v>
      </c>
      <c r="G34" s="277">
        <f t="shared" ref="G34:J34" si="64">+G32*7.992%</f>
        <v>0</v>
      </c>
      <c r="H34" s="277">
        <f t="shared" si="64"/>
        <v>0</v>
      </c>
      <c r="I34" s="277">
        <f t="shared" si="64"/>
        <v>0</v>
      </c>
      <c r="J34" s="277">
        <f t="shared" si="64"/>
        <v>0</v>
      </c>
      <c r="K34" s="281">
        <f t="shared" si="1"/>
        <v>431568000</v>
      </c>
      <c r="L34" s="277">
        <f t="shared" ref="L34:Q34" si="65">+L32*7.992%</f>
        <v>20405174.400000002</v>
      </c>
      <c r="M34" s="277">
        <f t="shared" si="65"/>
        <v>22908700.368000001</v>
      </c>
      <c r="N34" s="277">
        <f t="shared" si="65"/>
        <v>38760672.528000005</v>
      </c>
      <c r="O34" s="277">
        <f t="shared" si="65"/>
        <v>25297381.296</v>
      </c>
      <c r="P34" s="277">
        <f t="shared" si="65"/>
        <v>18469751.760000002</v>
      </c>
      <c r="Q34" s="277">
        <f t="shared" si="65"/>
        <v>23341371.264000002</v>
      </c>
      <c r="R34" s="281">
        <f t="shared" si="9"/>
        <v>149183051.61600003</v>
      </c>
      <c r="S34" s="277">
        <f t="shared" ref="S34:Z34" si="66">+S32*7.992%</f>
        <v>16593901.488000002</v>
      </c>
      <c r="T34" s="277">
        <f t="shared" si="66"/>
        <v>16324619.040000001</v>
      </c>
      <c r="U34" s="277">
        <f t="shared" si="66"/>
        <v>23844507.624000002</v>
      </c>
      <c r="V34" s="277">
        <f t="shared" si="66"/>
        <v>23812012.152000003</v>
      </c>
      <c r="W34" s="277">
        <f t="shared" si="66"/>
        <v>21295499.184</v>
      </c>
      <c r="X34" s="277">
        <f t="shared" si="66"/>
        <v>47158082.712000005</v>
      </c>
      <c r="Y34" s="277">
        <f t="shared" si="66"/>
        <v>0</v>
      </c>
      <c r="Z34" s="277">
        <f t="shared" si="66"/>
        <v>0</v>
      </c>
      <c r="AA34" s="281">
        <f t="shared" si="24"/>
        <v>149028622.20000002</v>
      </c>
      <c r="AB34" s="403">
        <f t="shared" si="12"/>
        <v>298211673.81600004</v>
      </c>
      <c r="AC34" s="326">
        <f t="shared" si="13"/>
        <v>0.69099579629629637</v>
      </c>
    </row>
    <row r="35" spans="1:29" ht="14.25" hidden="1" x14ac:dyDescent="0.2">
      <c r="A35" s="424"/>
      <c r="B35" s="323" t="s">
        <v>411</v>
      </c>
      <c r="C35" s="206" t="s">
        <v>127</v>
      </c>
      <c r="D35" s="324">
        <f>+D32*20%</f>
        <v>1080000000</v>
      </c>
      <c r="E35" s="325">
        <f>SUM('ADICIONES  2021'!C35:N35)</f>
        <v>0</v>
      </c>
      <c r="F35" s="277">
        <f>+F32*20%</f>
        <v>0</v>
      </c>
      <c r="G35" s="277">
        <f t="shared" ref="G35:J35" si="67">+G32*20%</f>
        <v>0</v>
      </c>
      <c r="H35" s="277">
        <f t="shared" si="67"/>
        <v>0</v>
      </c>
      <c r="I35" s="277">
        <f t="shared" si="67"/>
        <v>0</v>
      </c>
      <c r="J35" s="277">
        <f t="shared" si="67"/>
        <v>0</v>
      </c>
      <c r="K35" s="281">
        <f t="shared" si="1"/>
        <v>1080000000</v>
      </c>
      <c r="L35" s="277">
        <f t="shared" ref="L35:Q35" si="68">+L32*20%</f>
        <v>51064000</v>
      </c>
      <c r="M35" s="277">
        <f t="shared" si="68"/>
        <v>57329080</v>
      </c>
      <c r="N35" s="277">
        <f t="shared" si="68"/>
        <v>96998680</v>
      </c>
      <c r="O35" s="277">
        <f t="shared" si="68"/>
        <v>63306760</v>
      </c>
      <c r="P35" s="277">
        <f t="shared" si="68"/>
        <v>46220600</v>
      </c>
      <c r="Q35" s="277">
        <f t="shared" si="68"/>
        <v>58411840</v>
      </c>
      <c r="R35" s="281">
        <f t="shared" si="9"/>
        <v>373330960</v>
      </c>
      <c r="S35" s="277">
        <f t="shared" ref="S35:Z35" si="69">+S32*20%</f>
        <v>41526280</v>
      </c>
      <c r="T35" s="277">
        <f t="shared" si="69"/>
        <v>40852400</v>
      </c>
      <c r="U35" s="277">
        <f t="shared" si="69"/>
        <v>59670940</v>
      </c>
      <c r="V35" s="277">
        <f t="shared" si="69"/>
        <v>59589620</v>
      </c>
      <c r="W35" s="277">
        <f t="shared" si="69"/>
        <v>53292040</v>
      </c>
      <c r="X35" s="277">
        <f t="shared" si="69"/>
        <v>118013220</v>
      </c>
      <c r="Y35" s="277">
        <f t="shared" si="69"/>
        <v>0</v>
      </c>
      <c r="Z35" s="277">
        <f t="shared" si="69"/>
        <v>0</v>
      </c>
      <c r="AA35" s="281">
        <f t="shared" si="24"/>
        <v>372944500</v>
      </c>
      <c r="AB35" s="403">
        <f t="shared" si="12"/>
        <v>746275460</v>
      </c>
      <c r="AC35" s="326">
        <f t="shared" si="13"/>
        <v>0.69099579629629626</v>
      </c>
    </row>
    <row r="36" spans="1:29" ht="14.25" hidden="1" x14ac:dyDescent="0.2">
      <c r="A36" s="424"/>
      <c r="B36" s="323" t="s">
        <v>412</v>
      </c>
      <c r="C36" s="206" t="s">
        <v>128</v>
      </c>
      <c r="D36" s="324">
        <f>+D32*0.08%</f>
        <v>4320000</v>
      </c>
      <c r="E36" s="325">
        <f>SUM('ADICIONES  2021'!C36:N36)</f>
        <v>0</v>
      </c>
      <c r="F36" s="277">
        <f>+F32*0.08%</f>
        <v>0</v>
      </c>
      <c r="G36" s="277">
        <f t="shared" ref="G36:J36" si="70">+G32*0.08%</f>
        <v>0</v>
      </c>
      <c r="H36" s="277">
        <f t="shared" si="70"/>
        <v>0</v>
      </c>
      <c r="I36" s="277">
        <f t="shared" si="70"/>
        <v>0</v>
      </c>
      <c r="J36" s="277">
        <f t="shared" si="70"/>
        <v>0</v>
      </c>
      <c r="K36" s="281">
        <f t="shared" si="1"/>
        <v>4320000</v>
      </c>
      <c r="L36" s="277">
        <f t="shared" ref="L36:Q36" si="71">+L32*0.08%</f>
        <v>204256</v>
      </c>
      <c r="M36" s="277">
        <f t="shared" si="71"/>
        <v>229316.32</v>
      </c>
      <c r="N36" s="277">
        <f t="shared" si="71"/>
        <v>387994.72000000003</v>
      </c>
      <c r="O36" s="277">
        <f t="shared" si="71"/>
        <v>253227.04</v>
      </c>
      <c r="P36" s="277">
        <f t="shared" si="71"/>
        <v>184882.40000000002</v>
      </c>
      <c r="Q36" s="277">
        <f t="shared" si="71"/>
        <v>233647.36000000002</v>
      </c>
      <c r="R36" s="281">
        <f t="shared" si="9"/>
        <v>1493323.84</v>
      </c>
      <c r="S36" s="277">
        <f t="shared" ref="S36:Z36" si="72">+S32*0.08%</f>
        <v>166105.12</v>
      </c>
      <c r="T36" s="277">
        <f t="shared" si="72"/>
        <v>163409.60000000001</v>
      </c>
      <c r="U36" s="277">
        <f t="shared" si="72"/>
        <v>238683.76</v>
      </c>
      <c r="V36" s="277">
        <f t="shared" si="72"/>
        <v>238358.48</v>
      </c>
      <c r="W36" s="277">
        <f t="shared" si="72"/>
        <v>213168.16</v>
      </c>
      <c r="X36" s="277">
        <f t="shared" si="72"/>
        <v>472052.88</v>
      </c>
      <c r="Y36" s="277">
        <f t="shared" si="72"/>
        <v>0</v>
      </c>
      <c r="Z36" s="277">
        <f t="shared" si="72"/>
        <v>0</v>
      </c>
      <c r="AA36" s="281">
        <f t="shared" si="24"/>
        <v>1491778</v>
      </c>
      <c r="AB36" s="403">
        <f t="shared" si="12"/>
        <v>2985101.84</v>
      </c>
      <c r="AC36" s="326">
        <f t="shared" si="13"/>
        <v>0.69099579629629626</v>
      </c>
    </row>
    <row r="37" spans="1:29" ht="14.25" hidden="1" x14ac:dyDescent="0.2">
      <c r="A37" s="424"/>
      <c r="B37" s="323" t="s">
        <v>413</v>
      </c>
      <c r="C37" s="206" t="s">
        <v>129</v>
      </c>
      <c r="D37" s="324">
        <f>+D32*1.43856%</f>
        <v>77682240</v>
      </c>
      <c r="E37" s="325">
        <f>SUM('ADICIONES  2021'!C37:N37)</f>
        <v>0</v>
      </c>
      <c r="F37" s="277">
        <f>+F32*1.43856%</f>
        <v>0</v>
      </c>
      <c r="G37" s="277">
        <f t="shared" ref="G37:J37" si="73">+G32*1.43856%</f>
        <v>0</v>
      </c>
      <c r="H37" s="277">
        <f t="shared" si="73"/>
        <v>0</v>
      </c>
      <c r="I37" s="277">
        <f t="shared" si="73"/>
        <v>0</v>
      </c>
      <c r="J37" s="277">
        <f t="shared" si="73"/>
        <v>0</v>
      </c>
      <c r="K37" s="281">
        <f t="shared" si="1"/>
        <v>77682240</v>
      </c>
      <c r="L37" s="277">
        <f t="shared" ref="L37:Q37" si="74">+L32*1.43856%</f>
        <v>3672931.392</v>
      </c>
      <c r="M37" s="277">
        <f t="shared" si="74"/>
        <v>4123566.0662400001</v>
      </c>
      <c r="N37" s="277">
        <f t="shared" si="74"/>
        <v>6976921.05504</v>
      </c>
      <c r="O37" s="277">
        <f t="shared" si="74"/>
        <v>4553528.6332799997</v>
      </c>
      <c r="P37" s="277">
        <f t="shared" si="74"/>
        <v>3324555.3168000001</v>
      </c>
      <c r="Q37" s="277">
        <f t="shared" si="74"/>
        <v>4201446.8275199998</v>
      </c>
      <c r="R37" s="281">
        <f t="shared" si="9"/>
        <v>26852949.290879995</v>
      </c>
      <c r="S37" s="277">
        <f t="shared" ref="S37:Z37" si="75">+S32*1.43856%</f>
        <v>2986902.2678399999</v>
      </c>
      <c r="T37" s="277">
        <f t="shared" si="75"/>
        <v>2938431.4271999998</v>
      </c>
      <c r="U37" s="277">
        <f t="shared" si="75"/>
        <v>4292011.3723200001</v>
      </c>
      <c r="V37" s="277">
        <f t="shared" si="75"/>
        <v>4286162.1873599999</v>
      </c>
      <c r="W37" s="277">
        <f t="shared" si="75"/>
        <v>3833189.8531200001</v>
      </c>
      <c r="X37" s="277">
        <f t="shared" si="75"/>
        <v>8488454.8881599996</v>
      </c>
      <c r="Y37" s="277">
        <f t="shared" si="75"/>
        <v>0</v>
      </c>
      <c r="Z37" s="277">
        <f t="shared" si="75"/>
        <v>0</v>
      </c>
      <c r="AA37" s="281">
        <f t="shared" si="24"/>
        <v>26825151.995999999</v>
      </c>
      <c r="AB37" s="403">
        <f t="shared" si="12"/>
        <v>53678101.286879994</v>
      </c>
      <c r="AC37" s="326">
        <f t="shared" si="13"/>
        <v>0.69099579629629626</v>
      </c>
    </row>
    <row r="38" spans="1:29" ht="25.5" hidden="1" x14ac:dyDescent="0.2">
      <c r="A38" s="424"/>
      <c r="B38" s="323" t="s">
        <v>414</v>
      </c>
      <c r="C38" s="206" t="s">
        <v>130</v>
      </c>
      <c r="D38" s="324">
        <f>+D32*0.7048944%</f>
        <v>38064297.600000001</v>
      </c>
      <c r="E38" s="325">
        <f>SUM('ADICIONES  2021'!C38:N38)</f>
        <v>0</v>
      </c>
      <c r="F38" s="277">
        <f>+F32*0.7048944%</f>
        <v>0</v>
      </c>
      <c r="G38" s="277">
        <f t="shared" ref="G38:J38" si="76">+G32*0.7048944%</f>
        <v>0</v>
      </c>
      <c r="H38" s="277">
        <f t="shared" si="76"/>
        <v>0</v>
      </c>
      <c r="I38" s="277">
        <f t="shared" si="76"/>
        <v>0</v>
      </c>
      <c r="J38" s="277">
        <f t="shared" si="76"/>
        <v>0</v>
      </c>
      <c r="K38" s="281">
        <f t="shared" si="1"/>
        <v>38064297.600000001</v>
      </c>
      <c r="L38" s="277">
        <f t="shared" ref="L38:Q38" si="77">+L32*0.7048944%</f>
        <v>1799736.3820800001</v>
      </c>
      <c r="M38" s="277">
        <f t="shared" si="77"/>
        <v>2020547.3724576002</v>
      </c>
      <c r="N38" s="277">
        <f t="shared" si="77"/>
        <v>3418691.3169696005</v>
      </c>
      <c r="O38" s="277">
        <f t="shared" si="77"/>
        <v>2231229.0303072003</v>
      </c>
      <c r="P38" s="277">
        <f t="shared" si="77"/>
        <v>1629032.1052320001</v>
      </c>
      <c r="Q38" s="277">
        <f t="shared" si="77"/>
        <v>2058708.9454848003</v>
      </c>
      <c r="R38" s="281">
        <f t="shared" si="9"/>
        <v>13157945.152531201</v>
      </c>
      <c r="S38" s="277">
        <f t="shared" ref="S38:Z38" si="78">+S32*0.7048944%</f>
        <v>1463582.1112416</v>
      </c>
      <c r="T38" s="277">
        <f t="shared" si="78"/>
        <v>1439831.3993280001</v>
      </c>
      <c r="U38" s="277">
        <f t="shared" si="78"/>
        <v>2103085.5724368002</v>
      </c>
      <c r="V38" s="277">
        <f t="shared" si="78"/>
        <v>2100219.4718064</v>
      </c>
      <c r="W38" s="277">
        <f t="shared" si="78"/>
        <v>1878263.0280288002</v>
      </c>
      <c r="X38" s="277">
        <f t="shared" si="78"/>
        <v>4159342.8951984001</v>
      </c>
      <c r="Y38" s="277">
        <f t="shared" si="78"/>
        <v>0</v>
      </c>
      <c r="Z38" s="277">
        <f t="shared" si="78"/>
        <v>0</v>
      </c>
      <c r="AA38" s="281">
        <f t="shared" si="24"/>
        <v>13144324.478040002</v>
      </c>
      <c r="AB38" s="403">
        <f t="shared" si="12"/>
        <v>26302269.630571201</v>
      </c>
      <c r="AC38" s="326">
        <f t="shared" si="13"/>
        <v>0.69099579629629626</v>
      </c>
    </row>
    <row r="39" spans="1:29" s="19" customFormat="1" ht="25.5" x14ac:dyDescent="0.2">
      <c r="A39" s="429">
        <v>1</v>
      </c>
      <c r="B39" s="323" t="s">
        <v>415</v>
      </c>
      <c r="C39" s="206" t="s">
        <v>416</v>
      </c>
      <c r="D39" s="283">
        <v>48600000000</v>
      </c>
      <c r="E39" s="322">
        <f>SUM('ADICIONES  2021'!C39:N39)</f>
        <v>673000000</v>
      </c>
      <c r="F39" s="279"/>
      <c r="G39" s="279"/>
      <c r="H39" s="279"/>
      <c r="I39" s="279"/>
      <c r="J39" s="279"/>
      <c r="K39" s="281">
        <f t="shared" si="1"/>
        <v>49273000000</v>
      </c>
      <c r="L39" s="279">
        <v>4175360200</v>
      </c>
      <c r="M39" s="279">
        <v>4562101700</v>
      </c>
      <c r="N39" s="279">
        <v>5542916900</v>
      </c>
      <c r="O39" s="279">
        <v>4649810700</v>
      </c>
      <c r="P39" s="279">
        <v>3963220700</v>
      </c>
      <c r="Q39" s="279">
        <v>4971919100</v>
      </c>
      <c r="R39" s="281">
        <f t="shared" si="9"/>
        <v>27865329300</v>
      </c>
      <c r="S39" s="277">
        <v>4704453500</v>
      </c>
      <c r="T39" s="277">
        <v>5259239600</v>
      </c>
      <c r="U39" s="277">
        <v>5327274300</v>
      </c>
      <c r="V39" s="277">
        <v>4643096400</v>
      </c>
      <c r="W39" s="277">
        <v>5024648300</v>
      </c>
      <c r="X39" s="277">
        <v>6407963500</v>
      </c>
      <c r="Y39" s="277"/>
      <c r="Z39" s="279"/>
      <c r="AA39" s="276">
        <f t="shared" si="24"/>
        <v>31366675600</v>
      </c>
      <c r="AB39" s="403">
        <f t="shared" si="12"/>
        <v>59232004900</v>
      </c>
      <c r="AC39" s="326">
        <f t="shared" si="13"/>
        <v>1.2021189069064193</v>
      </c>
    </row>
    <row r="40" spans="1:29" ht="25.5" hidden="1" x14ac:dyDescent="0.2">
      <c r="A40" s="424"/>
      <c r="B40" s="323" t="s">
        <v>417</v>
      </c>
      <c r="C40" s="329" t="s">
        <v>125</v>
      </c>
      <c r="D40" s="324">
        <f>+D39*69.7845456%</f>
        <v>33915289161.600002</v>
      </c>
      <c r="E40" s="325">
        <f>SUM('ADICIONES  2021'!C40:N40)</f>
        <v>469649991.88800001</v>
      </c>
      <c r="F40" s="277">
        <f>+F39*69.7845456%</f>
        <v>0</v>
      </c>
      <c r="G40" s="277">
        <f t="shared" ref="G40:J40" si="79">+G39*69.7845456%</f>
        <v>0</v>
      </c>
      <c r="H40" s="277">
        <f t="shared" si="79"/>
        <v>0</v>
      </c>
      <c r="I40" s="277">
        <f t="shared" si="79"/>
        <v>0</v>
      </c>
      <c r="J40" s="277">
        <f t="shared" si="79"/>
        <v>0</v>
      </c>
      <c r="K40" s="281">
        <f t="shared" si="1"/>
        <v>34384939153.487999</v>
      </c>
      <c r="L40" s="277">
        <f t="shared" ref="L40:Q40" si="80">+L39*69.7845456%</f>
        <v>2913756142.7332511</v>
      </c>
      <c r="M40" s="277">
        <f t="shared" si="80"/>
        <v>3183641941.1548753</v>
      </c>
      <c r="N40" s="277">
        <f t="shared" si="80"/>
        <v>3868099371.6506066</v>
      </c>
      <c r="O40" s="277">
        <f t="shared" si="80"/>
        <v>3244849268.2551794</v>
      </c>
      <c r="P40" s="277">
        <f t="shared" si="80"/>
        <v>2765715556.6201391</v>
      </c>
      <c r="Q40" s="277">
        <f t="shared" si="80"/>
        <v>3469631151.5346098</v>
      </c>
      <c r="R40" s="281">
        <f t="shared" si="9"/>
        <v>19445693431.948662</v>
      </c>
      <c r="S40" s="277">
        <f t="shared" ref="S40:Z40" si="81">+S39*69.7845456%</f>
        <v>3282981497.9382963</v>
      </c>
      <c r="T40" s="277">
        <f t="shared" si="81"/>
        <v>3670136456.875258</v>
      </c>
      <c r="U40" s="277">
        <f t="shared" si="81"/>
        <v>3717614163.1205812</v>
      </c>
      <c r="V40" s="277">
        <f t="shared" si="81"/>
        <v>3240163724.5099587</v>
      </c>
      <c r="W40" s="277">
        <f t="shared" si="81"/>
        <v>3506427984.1531248</v>
      </c>
      <c r="X40" s="277">
        <f t="shared" si="81"/>
        <v>4471768210.6888561</v>
      </c>
      <c r="Y40" s="277">
        <f t="shared" si="81"/>
        <v>0</v>
      </c>
      <c r="Z40" s="277">
        <f t="shared" si="81"/>
        <v>0</v>
      </c>
      <c r="AA40" s="281">
        <f t="shared" si="24"/>
        <v>21889092037.286072</v>
      </c>
      <c r="AB40" s="403">
        <f t="shared" si="12"/>
        <v>41334785469.234734</v>
      </c>
      <c r="AC40" s="326">
        <f t="shared" si="13"/>
        <v>1.2021189069064193</v>
      </c>
    </row>
    <row r="41" spans="1:29" ht="14.25" hidden="1" x14ac:dyDescent="0.2">
      <c r="A41" s="424"/>
      <c r="B41" s="323" t="s">
        <v>418</v>
      </c>
      <c r="C41" s="206" t="s">
        <v>126</v>
      </c>
      <c r="D41" s="324">
        <f>+D39*7.992%</f>
        <v>3884112000.0000005</v>
      </c>
      <c r="E41" s="325">
        <f>SUM('ADICIONES  2021'!C41:N41)</f>
        <v>53786160</v>
      </c>
      <c r="F41" s="277">
        <f>+F39*7.992%</f>
        <v>0</v>
      </c>
      <c r="G41" s="277">
        <f t="shared" ref="G41:J41" si="82">+G39*7.992%</f>
        <v>0</v>
      </c>
      <c r="H41" s="277">
        <f t="shared" si="82"/>
        <v>0</v>
      </c>
      <c r="I41" s="277">
        <f t="shared" si="82"/>
        <v>0</v>
      </c>
      <c r="J41" s="277">
        <f t="shared" si="82"/>
        <v>0</v>
      </c>
      <c r="K41" s="281">
        <f t="shared" si="1"/>
        <v>3937898160.0000005</v>
      </c>
      <c r="L41" s="277">
        <f t="shared" ref="L41:Q41" si="83">+L39*7.992%</f>
        <v>333694787.18400002</v>
      </c>
      <c r="M41" s="277">
        <f t="shared" si="83"/>
        <v>364603167.86400002</v>
      </c>
      <c r="N41" s="277">
        <f t="shared" si="83"/>
        <v>442989918.648</v>
      </c>
      <c r="O41" s="277">
        <f t="shared" si="83"/>
        <v>371612871.14399999</v>
      </c>
      <c r="P41" s="277">
        <f t="shared" si="83"/>
        <v>316740598.34400004</v>
      </c>
      <c r="Q41" s="277">
        <f t="shared" si="83"/>
        <v>397355774.472</v>
      </c>
      <c r="R41" s="281">
        <f t="shared" si="9"/>
        <v>2226997117.6560001</v>
      </c>
      <c r="S41" s="277">
        <f t="shared" ref="S41:Z41" si="84">+S39*7.992%</f>
        <v>375979923.72000003</v>
      </c>
      <c r="T41" s="277">
        <f t="shared" si="84"/>
        <v>420318428.83200002</v>
      </c>
      <c r="U41" s="277">
        <f t="shared" si="84"/>
        <v>425755762.05600005</v>
      </c>
      <c r="V41" s="277">
        <f t="shared" si="84"/>
        <v>371076264.28800005</v>
      </c>
      <c r="W41" s="277">
        <f t="shared" si="84"/>
        <v>401569892.13600004</v>
      </c>
      <c r="X41" s="277">
        <f t="shared" si="84"/>
        <v>512124442.92000002</v>
      </c>
      <c r="Y41" s="277">
        <f t="shared" si="84"/>
        <v>0</v>
      </c>
      <c r="Z41" s="277">
        <f t="shared" si="84"/>
        <v>0</v>
      </c>
      <c r="AA41" s="281">
        <f t="shared" si="24"/>
        <v>2506824713.9520001</v>
      </c>
      <c r="AB41" s="403">
        <f t="shared" si="12"/>
        <v>4733821831.6079998</v>
      </c>
      <c r="AC41" s="326">
        <f t="shared" si="13"/>
        <v>1.2021189069064191</v>
      </c>
    </row>
    <row r="42" spans="1:29" ht="14.25" hidden="1" x14ac:dyDescent="0.2">
      <c r="A42" s="424"/>
      <c r="B42" s="323" t="s">
        <v>419</v>
      </c>
      <c r="C42" s="206" t="s">
        <v>127</v>
      </c>
      <c r="D42" s="324">
        <f>+D39*20%</f>
        <v>9720000000</v>
      </c>
      <c r="E42" s="325">
        <f>SUM('ADICIONES  2021'!C42:N42)</f>
        <v>134600000</v>
      </c>
      <c r="F42" s="277">
        <f>+F39*20%</f>
        <v>0</v>
      </c>
      <c r="G42" s="277">
        <f t="shared" ref="G42:J42" si="85">+G39*20%</f>
        <v>0</v>
      </c>
      <c r="H42" s="277">
        <f t="shared" si="85"/>
        <v>0</v>
      </c>
      <c r="I42" s="277">
        <f t="shared" si="85"/>
        <v>0</v>
      </c>
      <c r="J42" s="277">
        <f t="shared" si="85"/>
        <v>0</v>
      </c>
      <c r="K42" s="281">
        <f t="shared" si="1"/>
        <v>9854600000</v>
      </c>
      <c r="L42" s="277">
        <f t="shared" ref="L42:Q42" si="86">+L39*20%</f>
        <v>835072040</v>
      </c>
      <c r="M42" s="277">
        <f t="shared" si="86"/>
        <v>912420340</v>
      </c>
      <c r="N42" s="277">
        <f t="shared" si="86"/>
        <v>1108583380</v>
      </c>
      <c r="O42" s="277">
        <f t="shared" si="86"/>
        <v>929962140</v>
      </c>
      <c r="P42" s="277">
        <f t="shared" si="86"/>
        <v>792644140</v>
      </c>
      <c r="Q42" s="277">
        <f t="shared" si="86"/>
        <v>994383820</v>
      </c>
      <c r="R42" s="281">
        <f t="shared" si="9"/>
        <v>5573065860</v>
      </c>
      <c r="S42" s="277">
        <f t="shared" ref="S42:Z42" si="87">+S39*20%</f>
        <v>940890700</v>
      </c>
      <c r="T42" s="277">
        <f t="shared" si="87"/>
        <v>1051847920</v>
      </c>
      <c r="U42" s="277">
        <f t="shared" si="87"/>
        <v>1065454860</v>
      </c>
      <c r="V42" s="277">
        <f t="shared" si="87"/>
        <v>928619280</v>
      </c>
      <c r="W42" s="277">
        <f t="shared" si="87"/>
        <v>1004929660</v>
      </c>
      <c r="X42" s="277">
        <f t="shared" si="87"/>
        <v>1281592700</v>
      </c>
      <c r="Y42" s="277">
        <f t="shared" si="87"/>
        <v>0</v>
      </c>
      <c r="Z42" s="277">
        <f t="shared" si="87"/>
        <v>0</v>
      </c>
      <c r="AA42" s="281">
        <f t="shared" si="24"/>
        <v>6273335120</v>
      </c>
      <c r="AB42" s="403">
        <f t="shared" si="12"/>
        <v>11846400980</v>
      </c>
      <c r="AC42" s="326">
        <f t="shared" si="13"/>
        <v>1.2021189069064193</v>
      </c>
    </row>
    <row r="43" spans="1:29" ht="14.25" hidden="1" x14ac:dyDescent="0.2">
      <c r="A43" s="424"/>
      <c r="B43" s="323" t="s">
        <v>420</v>
      </c>
      <c r="C43" s="206" t="s">
        <v>128</v>
      </c>
      <c r="D43" s="324">
        <f>+D39*0.08%</f>
        <v>38880000</v>
      </c>
      <c r="E43" s="325">
        <f>SUM('ADICIONES  2021'!C43:N43)</f>
        <v>538400</v>
      </c>
      <c r="F43" s="277">
        <f>+F39*0.08%</f>
        <v>0</v>
      </c>
      <c r="G43" s="277">
        <f t="shared" ref="G43:J43" si="88">+G39*0.08%</f>
        <v>0</v>
      </c>
      <c r="H43" s="277">
        <f t="shared" si="88"/>
        <v>0</v>
      </c>
      <c r="I43" s="277">
        <f t="shared" si="88"/>
        <v>0</v>
      </c>
      <c r="J43" s="277">
        <f t="shared" si="88"/>
        <v>0</v>
      </c>
      <c r="K43" s="281">
        <f t="shared" si="1"/>
        <v>39418400</v>
      </c>
      <c r="L43" s="277">
        <f t="shared" ref="L43:Q43" si="89">+L39*0.08%</f>
        <v>3340288.16</v>
      </c>
      <c r="M43" s="277">
        <f t="shared" si="89"/>
        <v>3649681.3600000003</v>
      </c>
      <c r="N43" s="277">
        <f t="shared" si="89"/>
        <v>4434333.5200000005</v>
      </c>
      <c r="O43" s="277">
        <f t="shared" si="89"/>
        <v>3719848.56</v>
      </c>
      <c r="P43" s="277">
        <f t="shared" si="89"/>
        <v>3170576.56</v>
      </c>
      <c r="Q43" s="277">
        <f t="shared" si="89"/>
        <v>3977535.2800000003</v>
      </c>
      <c r="R43" s="281">
        <f t="shared" si="9"/>
        <v>22292263.440000001</v>
      </c>
      <c r="S43" s="277">
        <f t="shared" ref="S43:Z43" si="90">+S39*0.08%</f>
        <v>3763562.8000000003</v>
      </c>
      <c r="T43" s="277">
        <f t="shared" si="90"/>
        <v>4207391.6800000006</v>
      </c>
      <c r="U43" s="277">
        <f t="shared" si="90"/>
        <v>4261819.4400000004</v>
      </c>
      <c r="V43" s="277">
        <f t="shared" si="90"/>
        <v>3714477.12</v>
      </c>
      <c r="W43" s="277">
        <f t="shared" si="90"/>
        <v>4019718.64</v>
      </c>
      <c r="X43" s="277">
        <f t="shared" si="90"/>
        <v>5126370.8</v>
      </c>
      <c r="Y43" s="277">
        <f t="shared" si="90"/>
        <v>0</v>
      </c>
      <c r="Z43" s="277">
        <f t="shared" si="90"/>
        <v>0</v>
      </c>
      <c r="AA43" s="281">
        <f t="shared" si="24"/>
        <v>25093340.480000004</v>
      </c>
      <c r="AB43" s="403">
        <f t="shared" si="12"/>
        <v>47385603.920000002</v>
      </c>
      <c r="AC43" s="326">
        <f t="shared" si="13"/>
        <v>1.2021189069064193</v>
      </c>
    </row>
    <row r="44" spans="1:29" ht="14.25" hidden="1" x14ac:dyDescent="0.2">
      <c r="A44" s="424"/>
      <c r="B44" s="323" t="s">
        <v>421</v>
      </c>
      <c r="C44" s="206" t="s">
        <v>129</v>
      </c>
      <c r="D44" s="324">
        <f>+D39*1.43856%</f>
        <v>699140160</v>
      </c>
      <c r="E44" s="325">
        <f>SUM('ADICIONES  2021'!C44:N44)</f>
        <v>9681508.8000000007</v>
      </c>
      <c r="F44" s="277">
        <f>+F39*1.43856%</f>
        <v>0</v>
      </c>
      <c r="G44" s="277">
        <f t="shared" ref="G44:J44" si="91">+G39*1.43856%</f>
        <v>0</v>
      </c>
      <c r="H44" s="277">
        <f t="shared" si="91"/>
        <v>0</v>
      </c>
      <c r="I44" s="277">
        <f t="shared" si="91"/>
        <v>0</v>
      </c>
      <c r="J44" s="277">
        <f t="shared" si="91"/>
        <v>0</v>
      </c>
      <c r="K44" s="281">
        <f t="shared" si="1"/>
        <v>708821668.79999995</v>
      </c>
      <c r="L44" s="277">
        <f t="shared" ref="L44:Q44" si="92">+L39*1.43856%</f>
        <v>60065061.693120003</v>
      </c>
      <c r="M44" s="277">
        <f t="shared" si="92"/>
        <v>65628570.215520002</v>
      </c>
      <c r="N44" s="277">
        <f t="shared" si="92"/>
        <v>79738185.356639996</v>
      </c>
      <c r="O44" s="277">
        <f t="shared" si="92"/>
        <v>66890316.805919997</v>
      </c>
      <c r="P44" s="277">
        <f t="shared" si="92"/>
        <v>57013307.701920003</v>
      </c>
      <c r="Q44" s="277">
        <f t="shared" si="92"/>
        <v>71524039.404960006</v>
      </c>
      <c r="R44" s="281">
        <f t="shared" si="9"/>
        <v>400859481.17808008</v>
      </c>
      <c r="S44" s="277">
        <f t="shared" ref="S44:Z44" si="93">+S39*1.43856%</f>
        <v>67676386.269600004</v>
      </c>
      <c r="T44" s="277">
        <f t="shared" si="93"/>
        <v>75657317.18976</v>
      </c>
      <c r="U44" s="277">
        <f t="shared" si="93"/>
        <v>76636037.170080006</v>
      </c>
      <c r="V44" s="277">
        <f t="shared" si="93"/>
        <v>66793727.571840003</v>
      </c>
      <c r="W44" s="277">
        <f t="shared" si="93"/>
        <v>72282580.584480003</v>
      </c>
      <c r="X44" s="277">
        <f t="shared" si="93"/>
        <v>92182399.725600004</v>
      </c>
      <c r="Y44" s="277">
        <f t="shared" si="93"/>
        <v>0</v>
      </c>
      <c r="Z44" s="277">
        <f t="shared" si="93"/>
        <v>0</v>
      </c>
      <c r="AA44" s="281">
        <f t="shared" si="24"/>
        <v>451228448.51135999</v>
      </c>
      <c r="AB44" s="403">
        <f t="shared" si="12"/>
        <v>852087929.68944001</v>
      </c>
      <c r="AC44" s="326">
        <f t="shared" si="13"/>
        <v>1.2021189069064195</v>
      </c>
    </row>
    <row r="45" spans="1:29" ht="25.5" hidden="1" x14ac:dyDescent="0.2">
      <c r="A45" s="424"/>
      <c r="B45" s="323" t="s">
        <v>422</v>
      </c>
      <c r="C45" s="206" t="s">
        <v>130</v>
      </c>
      <c r="D45" s="324">
        <f>+D39*0.7048944%</f>
        <v>342578678.40000004</v>
      </c>
      <c r="E45" s="325">
        <f>SUM('ADICIONES  2021'!C45:N45)</f>
        <v>4743939.3119999999</v>
      </c>
      <c r="F45" s="277">
        <f>+F39*0.7048944%</f>
        <v>0</v>
      </c>
      <c r="G45" s="277">
        <f t="shared" ref="G45:J45" si="94">+G39*0.7048944%</f>
        <v>0</v>
      </c>
      <c r="H45" s="277">
        <f t="shared" si="94"/>
        <v>0</v>
      </c>
      <c r="I45" s="277">
        <f t="shared" si="94"/>
        <v>0</v>
      </c>
      <c r="J45" s="277">
        <f t="shared" si="94"/>
        <v>0</v>
      </c>
      <c r="K45" s="281">
        <f t="shared" si="1"/>
        <v>347322617.71200001</v>
      </c>
      <c r="L45" s="277">
        <f t="shared" ref="L45:Q45" si="95">+L39*0.7048944%</f>
        <v>29431880.229628801</v>
      </c>
      <c r="M45" s="277">
        <f t="shared" si="95"/>
        <v>32157999.405604802</v>
      </c>
      <c r="N45" s="277">
        <f t="shared" si="95"/>
        <v>39071710.824753605</v>
      </c>
      <c r="O45" s="277">
        <f t="shared" si="95"/>
        <v>32776255.234900802</v>
      </c>
      <c r="P45" s="277">
        <f t="shared" si="95"/>
        <v>27936520.773940802</v>
      </c>
      <c r="Q45" s="277">
        <f t="shared" si="95"/>
        <v>35046779.308430403</v>
      </c>
      <c r="R45" s="281">
        <f t="shared" si="9"/>
        <v>196421145.7772592</v>
      </c>
      <c r="S45" s="277">
        <f t="shared" ref="S45:Z45" si="96">+S39*0.7048944%</f>
        <v>33161429.272104003</v>
      </c>
      <c r="T45" s="277">
        <f t="shared" si="96"/>
        <v>37072085.422982402</v>
      </c>
      <c r="U45" s="277">
        <f t="shared" si="96"/>
        <v>37551658.213339202</v>
      </c>
      <c r="V45" s="277">
        <f t="shared" si="96"/>
        <v>32728926.510201603</v>
      </c>
      <c r="W45" s="277">
        <f t="shared" si="96"/>
        <v>35418464.486395203</v>
      </c>
      <c r="X45" s="277">
        <f t="shared" si="96"/>
        <v>45169375.865544006</v>
      </c>
      <c r="Y45" s="277">
        <f t="shared" si="96"/>
        <v>0</v>
      </c>
      <c r="Z45" s="277">
        <f t="shared" si="96"/>
        <v>0</v>
      </c>
      <c r="AA45" s="281">
        <f t="shared" si="24"/>
        <v>221101939.7705664</v>
      </c>
      <c r="AB45" s="403">
        <f t="shared" si="12"/>
        <v>417523085.54782557</v>
      </c>
      <c r="AC45" s="326">
        <f t="shared" si="13"/>
        <v>1.2021189069064193</v>
      </c>
    </row>
    <row r="46" spans="1:29" s="19" customFormat="1" x14ac:dyDescent="0.2">
      <c r="A46" s="429">
        <v>1</v>
      </c>
      <c r="B46" s="318" t="s">
        <v>423</v>
      </c>
      <c r="C46" s="206" t="s">
        <v>424</v>
      </c>
      <c r="D46" s="283">
        <v>3000000000</v>
      </c>
      <c r="E46" s="322">
        <f>SUM('ADICIONES  2021'!C46:N46)</f>
        <v>1592400000</v>
      </c>
      <c r="F46" s="279"/>
      <c r="G46" s="279"/>
      <c r="H46" s="279"/>
      <c r="I46" s="279"/>
      <c r="J46" s="279"/>
      <c r="K46" s="281">
        <f t="shared" si="1"/>
        <v>4592400000</v>
      </c>
      <c r="L46" s="279">
        <v>387155350</v>
      </c>
      <c r="M46" s="279">
        <v>385510900</v>
      </c>
      <c r="N46" s="279">
        <v>421700300</v>
      </c>
      <c r="O46" s="279">
        <v>434859000</v>
      </c>
      <c r="P46" s="279">
        <v>385099700</v>
      </c>
      <c r="Q46" s="279">
        <v>276530900</v>
      </c>
      <c r="R46" s="281">
        <f t="shared" si="9"/>
        <v>2290856150</v>
      </c>
      <c r="S46" s="277">
        <v>448945900</v>
      </c>
      <c r="T46" s="277">
        <v>435991400</v>
      </c>
      <c r="U46" s="277">
        <v>435734200</v>
      </c>
      <c r="V46" s="277">
        <v>422015700</v>
      </c>
      <c r="W46" s="277">
        <v>416961300</v>
      </c>
      <c r="X46" s="277">
        <v>394353600</v>
      </c>
      <c r="Y46" s="277"/>
      <c r="Z46" s="279"/>
      <c r="AA46" s="276">
        <f t="shared" si="24"/>
        <v>2554002100</v>
      </c>
      <c r="AB46" s="403">
        <f t="shared" si="12"/>
        <v>4844858250</v>
      </c>
      <c r="AC46" s="326">
        <f t="shared" si="13"/>
        <v>1.0549730533054611</v>
      </c>
    </row>
    <row r="47" spans="1:29" ht="25.5" hidden="1" x14ac:dyDescent="0.2">
      <c r="A47" s="424"/>
      <c r="B47" s="323" t="s">
        <v>425</v>
      </c>
      <c r="C47" s="206" t="s">
        <v>181</v>
      </c>
      <c r="D47" s="324">
        <f>+D46*87.230682%</f>
        <v>2616920460</v>
      </c>
      <c r="E47" s="325">
        <f>SUM('ADICIONES  2021'!C47:N47)</f>
        <v>1389061380.168</v>
      </c>
      <c r="F47" s="277">
        <f t="shared" ref="F47:J47" si="97">+F46*87.230682%</f>
        <v>0</v>
      </c>
      <c r="G47" s="277">
        <f t="shared" si="97"/>
        <v>0</v>
      </c>
      <c r="H47" s="277">
        <f t="shared" si="97"/>
        <v>0</v>
      </c>
      <c r="I47" s="277">
        <f t="shared" si="97"/>
        <v>0</v>
      </c>
      <c r="J47" s="277">
        <f t="shared" si="97"/>
        <v>0</v>
      </c>
      <c r="K47" s="281">
        <f t="shared" si="1"/>
        <v>4005981840.1680002</v>
      </c>
      <c r="L47" s="277">
        <f t="shared" ref="L47:Q47" si="98">+L46*87.230682%</f>
        <v>337718252.20448703</v>
      </c>
      <c r="M47" s="277">
        <f t="shared" si="98"/>
        <v>336283787.25433803</v>
      </c>
      <c r="N47" s="277">
        <f t="shared" si="98"/>
        <v>367852047.686046</v>
      </c>
      <c r="O47" s="277">
        <f t="shared" si="98"/>
        <v>379330471.43838</v>
      </c>
      <c r="P47" s="277">
        <f t="shared" si="98"/>
        <v>335925094.68995404</v>
      </c>
      <c r="Q47" s="277">
        <f t="shared" si="98"/>
        <v>241219790.01073802</v>
      </c>
      <c r="R47" s="281">
        <f t="shared" si="9"/>
        <v>1998329443.2839432</v>
      </c>
      <c r="S47" s="277">
        <f t="shared" ref="S47:Z47" si="99">+S46*87.230682%</f>
        <v>391618570.38103801</v>
      </c>
      <c r="T47" s="277">
        <f t="shared" si="99"/>
        <v>380318271.68134803</v>
      </c>
      <c r="U47" s="277">
        <f t="shared" si="99"/>
        <v>380093914.36724401</v>
      </c>
      <c r="V47" s="277">
        <f t="shared" si="99"/>
        <v>368127173.257074</v>
      </c>
      <c r="W47" s="277">
        <f t="shared" si="99"/>
        <v>363718185.66606599</v>
      </c>
      <c r="X47" s="277">
        <f t="shared" si="99"/>
        <v>343997334.77155203</v>
      </c>
      <c r="Y47" s="277">
        <f t="shared" si="99"/>
        <v>0</v>
      </c>
      <c r="Z47" s="277">
        <f t="shared" si="99"/>
        <v>0</v>
      </c>
      <c r="AA47" s="281">
        <f t="shared" si="24"/>
        <v>2227873450.1243219</v>
      </c>
      <c r="AB47" s="403">
        <f t="shared" si="12"/>
        <v>4226202893.4082651</v>
      </c>
      <c r="AC47" s="326">
        <f t="shared" si="13"/>
        <v>1.0549730533054611</v>
      </c>
    </row>
    <row r="48" spans="1:29" ht="14.25" hidden="1" x14ac:dyDescent="0.2">
      <c r="A48" s="424"/>
      <c r="B48" s="323" t="s">
        <v>426</v>
      </c>
      <c r="C48" s="206" t="s">
        <v>182</v>
      </c>
      <c r="D48" s="324">
        <f>+D46*0.1%</f>
        <v>3000000</v>
      </c>
      <c r="E48" s="325">
        <f>SUM('ADICIONES  2021'!C48:N48)</f>
        <v>1592400</v>
      </c>
      <c r="F48" s="277">
        <f t="shared" ref="F48:J48" si="100">+F46*0.1%</f>
        <v>0</v>
      </c>
      <c r="G48" s="277">
        <f t="shared" si="100"/>
        <v>0</v>
      </c>
      <c r="H48" s="277">
        <f t="shared" si="100"/>
        <v>0</v>
      </c>
      <c r="I48" s="277">
        <f t="shared" si="100"/>
        <v>0</v>
      </c>
      <c r="J48" s="277">
        <f t="shared" si="100"/>
        <v>0</v>
      </c>
      <c r="K48" s="281">
        <f t="shared" si="1"/>
        <v>4592400</v>
      </c>
      <c r="L48" s="277">
        <f t="shared" ref="L48:Q48" si="101">+L46*0.1%</f>
        <v>387155.35000000003</v>
      </c>
      <c r="M48" s="277">
        <f t="shared" si="101"/>
        <v>385510.9</v>
      </c>
      <c r="N48" s="277">
        <f t="shared" si="101"/>
        <v>421700.3</v>
      </c>
      <c r="O48" s="277">
        <f t="shared" si="101"/>
        <v>434859</v>
      </c>
      <c r="P48" s="277">
        <f t="shared" si="101"/>
        <v>385099.7</v>
      </c>
      <c r="Q48" s="277">
        <f t="shared" si="101"/>
        <v>276530.90000000002</v>
      </c>
      <c r="R48" s="281">
        <f t="shared" si="9"/>
        <v>2290856.15</v>
      </c>
      <c r="S48" s="277">
        <f t="shared" ref="S48:Z48" si="102">+S46*0.1%</f>
        <v>448945.9</v>
      </c>
      <c r="T48" s="277">
        <f t="shared" si="102"/>
        <v>435991.4</v>
      </c>
      <c r="U48" s="277">
        <f t="shared" si="102"/>
        <v>435734.2</v>
      </c>
      <c r="V48" s="277">
        <f t="shared" si="102"/>
        <v>422015.7</v>
      </c>
      <c r="W48" s="277">
        <f t="shared" si="102"/>
        <v>416961.3</v>
      </c>
      <c r="X48" s="277">
        <f t="shared" si="102"/>
        <v>394353.60000000003</v>
      </c>
      <c r="Y48" s="277">
        <f t="shared" si="102"/>
        <v>0</v>
      </c>
      <c r="Z48" s="277">
        <f t="shared" si="102"/>
        <v>0</v>
      </c>
      <c r="AA48" s="281">
        <f t="shared" si="24"/>
        <v>2554002.1</v>
      </c>
      <c r="AB48" s="403">
        <f t="shared" si="12"/>
        <v>4844858.25</v>
      </c>
      <c r="AC48" s="326">
        <f t="shared" si="13"/>
        <v>1.0549730533054611</v>
      </c>
    </row>
    <row r="49" spans="1:29" ht="14.25" hidden="1" x14ac:dyDescent="0.2">
      <c r="A49" s="424"/>
      <c r="B49" s="323" t="s">
        <v>427</v>
      </c>
      <c r="C49" s="329" t="s">
        <v>183</v>
      </c>
      <c r="D49" s="324">
        <f>+D46*9.99%</f>
        <v>299700000</v>
      </c>
      <c r="E49" s="325">
        <f>SUM('ADICIONES  2021'!C49:N49)</f>
        <v>159080760</v>
      </c>
      <c r="F49" s="277">
        <f t="shared" ref="F49:J49" si="103">+F46*9.99%</f>
        <v>0</v>
      </c>
      <c r="G49" s="277">
        <f t="shared" si="103"/>
        <v>0</v>
      </c>
      <c r="H49" s="277">
        <f t="shared" si="103"/>
        <v>0</v>
      </c>
      <c r="I49" s="277">
        <f t="shared" si="103"/>
        <v>0</v>
      </c>
      <c r="J49" s="277">
        <f t="shared" si="103"/>
        <v>0</v>
      </c>
      <c r="K49" s="281">
        <f t="shared" si="1"/>
        <v>458780760</v>
      </c>
      <c r="L49" s="277">
        <f t="shared" ref="L49:Q49" si="104">+L46*9.99%</f>
        <v>38676819.465000004</v>
      </c>
      <c r="M49" s="277">
        <f t="shared" si="104"/>
        <v>38512538.910000004</v>
      </c>
      <c r="N49" s="277">
        <f t="shared" si="104"/>
        <v>42127859.969999999</v>
      </c>
      <c r="O49" s="277">
        <f t="shared" si="104"/>
        <v>43442414.100000001</v>
      </c>
      <c r="P49" s="277">
        <f t="shared" si="104"/>
        <v>38471460.030000001</v>
      </c>
      <c r="Q49" s="277">
        <f t="shared" si="104"/>
        <v>27625436.91</v>
      </c>
      <c r="R49" s="281">
        <f t="shared" si="9"/>
        <v>228856529.38499999</v>
      </c>
      <c r="S49" s="277">
        <f t="shared" ref="S49:Z49" si="105">+S46*9.99%</f>
        <v>44849695.410000004</v>
      </c>
      <c r="T49" s="277">
        <f t="shared" si="105"/>
        <v>43555540.859999999</v>
      </c>
      <c r="U49" s="277">
        <f t="shared" si="105"/>
        <v>43529846.579999998</v>
      </c>
      <c r="V49" s="277">
        <f t="shared" si="105"/>
        <v>42159368.43</v>
      </c>
      <c r="W49" s="277">
        <f t="shared" si="105"/>
        <v>41654433.870000005</v>
      </c>
      <c r="X49" s="277">
        <f t="shared" si="105"/>
        <v>39395924.640000001</v>
      </c>
      <c r="Y49" s="277">
        <f t="shared" si="105"/>
        <v>0</v>
      </c>
      <c r="Z49" s="277">
        <f t="shared" si="105"/>
        <v>0</v>
      </c>
      <c r="AA49" s="281">
        <f t="shared" si="24"/>
        <v>255144809.79000002</v>
      </c>
      <c r="AB49" s="403">
        <f t="shared" si="12"/>
        <v>484001339.17500001</v>
      </c>
      <c r="AC49" s="326">
        <f t="shared" si="13"/>
        <v>1.0549730533054613</v>
      </c>
    </row>
    <row r="50" spans="1:29" ht="14.25" hidden="1" x14ac:dyDescent="0.2">
      <c r="A50" s="424"/>
      <c r="B50" s="323" t="s">
        <v>428</v>
      </c>
      <c r="C50" s="206" t="s">
        <v>184</v>
      </c>
      <c r="D50" s="324">
        <f>+D46*1.7982%</f>
        <v>53946000.000000007</v>
      </c>
      <c r="E50" s="325">
        <f>SUM('ADICIONES  2021'!C50:N50)</f>
        <v>28634536.800000001</v>
      </c>
      <c r="F50" s="277">
        <f t="shared" ref="F50:J50" si="106">+F46*1.7982%</f>
        <v>0</v>
      </c>
      <c r="G50" s="277">
        <f t="shared" si="106"/>
        <v>0</v>
      </c>
      <c r="H50" s="277">
        <f t="shared" si="106"/>
        <v>0</v>
      </c>
      <c r="I50" s="277">
        <f t="shared" si="106"/>
        <v>0</v>
      </c>
      <c r="J50" s="277">
        <f t="shared" si="106"/>
        <v>0</v>
      </c>
      <c r="K50" s="281">
        <f t="shared" si="1"/>
        <v>82580536.800000012</v>
      </c>
      <c r="L50" s="277">
        <f t="shared" ref="L50:Q50" si="107">+L46*1.7982%</f>
        <v>6961827.5037000002</v>
      </c>
      <c r="M50" s="277">
        <f t="shared" si="107"/>
        <v>6932257.003800001</v>
      </c>
      <c r="N50" s="277">
        <f t="shared" si="107"/>
        <v>7583014.7946000006</v>
      </c>
      <c r="O50" s="277">
        <f t="shared" si="107"/>
        <v>7819634.5380000006</v>
      </c>
      <c r="P50" s="277">
        <f t="shared" si="107"/>
        <v>6924862.8054000009</v>
      </c>
      <c r="Q50" s="277">
        <f t="shared" si="107"/>
        <v>4972578.6438000007</v>
      </c>
      <c r="R50" s="281">
        <f t="shared" si="9"/>
        <v>41194175.289300002</v>
      </c>
      <c r="S50" s="277">
        <f t="shared" ref="S50:Z50" si="108">+S46*1.7982%</f>
        <v>8072945.1738000009</v>
      </c>
      <c r="T50" s="277">
        <f t="shared" si="108"/>
        <v>7839997.3548000008</v>
      </c>
      <c r="U50" s="277">
        <f t="shared" si="108"/>
        <v>7835372.3844000008</v>
      </c>
      <c r="V50" s="277">
        <f t="shared" si="108"/>
        <v>7588686.317400001</v>
      </c>
      <c r="W50" s="277">
        <f t="shared" si="108"/>
        <v>7497798.0966000007</v>
      </c>
      <c r="X50" s="277">
        <f t="shared" si="108"/>
        <v>7091266.4352000002</v>
      </c>
      <c r="Y50" s="277">
        <f t="shared" si="108"/>
        <v>0</v>
      </c>
      <c r="Z50" s="277">
        <f t="shared" si="108"/>
        <v>0</v>
      </c>
      <c r="AA50" s="281">
        <f t="shared" si="24"/>
        <v>45926065.762200005</v>
      </c>
      <c r="AB50" s="403">
        <f t="shared" si="12"/>
        <v>87120241.051500008</v>
      </c>
      <c r="AC50" s="326">
        <f t="shared" si="13"/>
        <v>1.0549730533054611</v>
      </c>
    </row>
    <row r="51" spans="1:29" ht="25.5" hidden="1" x14ac:dyDescent="0.2">
      <c r="A51" s="424"/>
      <c r="B51" s="323" t="s">
        <v>429</v>
      </c>
      <c r="C51" s="206" t="s">
        <v>185</v>
      </c>
      <c r="D51" s="324">
        <f>+D46*0.881118%</f>
        <v>26433540</v>
      </c>
      <c r="E51" s="325">
        <f>SUM('ADICIONES  2021'!C51:N51)</f>
        <v>14030923.032</v>
      </c>
      <c r="F51" s="277">
        <f t="shared" ref="F51:J51" si="109">+F46*0.881118%</f>
        <v>0</v>
      </c>
      <c r="G51" s="277">
        <f t="shared" si="109"/>
        <v>0</v>
      </c>
      <c r="H51" s="277">
        <f t="shared" si="109"/>
        <v>0</v>
      </c>
      <c r="I51" s="277">
        <f t="shared" si="109"/>
        <v>0</v>
      </c>
      <c r="J51" s="277">
        <f t="shared" si="109"/>
        <v>0</v>
      </c>
      <c r="K51" s="281">
        <f t="shared" si="1"/>
        <v>40464463.031999998</v>
      </c>
      <c r="L51" s="277">
        <f t="shared" ref="L51:Q51" si="110">+L46*0.881118%</f>
        <v>3411295.4768130002</v>
      </c>
      <c r="M51" s="277">
        <f t="shared" si="110"/>
        <v>3396805.9318619999</v>
      </c>
      <c r="N51" s="277">
        <f t="shared" si="110"/>
        <v>3715677.2493540002</v>
      </c>
      <c r="O51" s="277">
        <f t="shared" si="110"/>
        <v>3831620.92362</v>
      </c>
      <c r="P51" s="277">
        <f t="shared" si="110"/>
        <v>3393182.774646</v>
      </c>
      <c r="Q51" s="277">
        <f t="shared" si="110"/>
        <v>2436563.5354619999</v>
      </c>
      <c r="R51" s="281">
        <f t="shared" si="9"/>
        <v>20185145.891757</v>
      </c>
      <c r="S51" s="277">
        <f t="shared" ref="S51:Z51" si="111">+S46*0.881118%</f>
        <v>3955743.1351620001</v>
      </c>
      <c r="T51" s="277">
        <f t="shared" si="111"/>
        <v>3841598.7038520002</v>
      </c>
      <c r="U51" s="277">
        <f t="shared" si="111"/>
        <v>3839332.4683559998</v>
      </c>
      <c r="V51" s="277">
        <f t="shared" si="111"/>
        <v>3718456.2955260002</v>
      </c>
      <c r="W51" s="277">
        <f t="shared" si="111"/>
        <v>3673921.067334</v>
      </c>
      <c r="X51" s="277">
        <f t="shared" si="111"/>
        <v>3474720.5532479999</v>
      </c>
      <c r="Y51" s="277">
        <f t="shared" si="111"/>
        <v>0</v>
      </c>
      <c r="Z51" s="277">
        <f t="shared" si="111"/>
        <v>0</v>
      </c>
      <c r="AA51" s="281">
        <f t="shared" si="24"/>
        <v>22503772.223478001</v>
      </c>
      <c r="AB51" s="403">
        <f t="shared" si="12"/>
        <v>42688918.115235001</v>
      </c>
      <c r="AC51" s="326">
        <f t="shared" si="13"/>
        <v>1.0549730533054613</v>
      </c>
    </row>
    <row r="52" spans="1:29" s="61" customFormat="1" ht="25.5" hidden="1" x14ac:dyDescent="0.2">
      <c r="A52" s="425"/>
      <c r="B52" s="318" t="s">
        <v>430</v>
      </c>
      <c r="C52" s="319" t="s">
        <v>431</v>
      </c>
      <c r="D52" s="283">
        <f>+D53+D66</f>
        <v>11210000000</v>
      </c>
      <c r="E52" s="322">
        <f>SUM('ADICIONES  2021'!C52:N52)</f>
        <v>7806000000</v>
      </c>
      <c r="F52" s="275">
        <f t="shared" ref="F52:J52" si="112">+F53+F66</f>
        <v>0</v>
      </c>
      <c r="G52" s="275">
        <f t="shared" si="112"/>
        <v>0</v>
      </c>
      <c r="H52" s="275">
        <f t="shared" si="112"/>
        <v>0</v>
      </c>
      <c r="I52" s="275">
        <f t="shared" si="112"/>
        <v>0</v>
      </c>
      <c r="J52" s="275">
        <f t="shared" si="112"/>
        <v>0</v>
      </c>
      <c r="K52" s="276">
        <f t="shared" si="1"/>
        <v>19016000000</v>
      </c>
      <c r="L52" s="275">
        <f t="shared" ref="L52:Q52" si="113">+L53+L66</f>
        <v>2320488617</v>
      </c>
      <c r="M52" s="275">
        <f t="shared" si="113"/>
        <v>795897270</v>
      </c>
      <c r="N52" s="275">
        <f t="shared" si="113"/>
        <v>1526197728</v>
      </c>
      <c r="O52" s="275">
        <f t="shared" si="113"/>
        <v>1066083240</v>
      </c>
      <c r="P52" s="275">
        <f t="shared" si="113"/>
        <v>1066021600</v>
      </c>
      <c r="Q52" s="275">
        <f t="shared" si="113"/>
        <v>992006400</v>
      </c>
      <c r="R52" s="276">
        <f t="shared" si="9"/>
        <v>7766694855</v>
      </c>
      <c r="S52" s="275">
        <f t="shared" ref="S52:Z52" si="114">+S53+S66</f>
        <v>1459532200</v>
      </c>
      <c r="T52" s="275">
        <f t="shared" si="114"/>
        <v>680629973</v>
      </c>
      <c r="U52" s="275">
        <f t="shared" si="114"/>
        <v>2910250461</v>
      </c>
      <c r="V52" s="275">
        <f t="shared" si="114"/>
        <v>2994058000</v>
      </c>
      <c r="W52" s="275">
        <f t="shared" si="114"/>
        <v>2344720204</v>
      </c>
      <c r="X52" s="275">
        <f t="shared" si="114"/>
        <v>3445426771</v>
      </c>
      <c r="Y52" s="275">
        <f t="shared" si="114"/>
        <v>0</v>
      </c>
      <c r="Z52" s="275">
        <f t="shared" si="114"/>
        <v>0</v>
      </c>
      <c r="AA52" s="276">
        <f t="shared" si="24"/>
        <v>13834617609</v>
      </c>
      <c r="AB52" s="402">
        <f t="shared" si="12"/>
        <v>21601312464</v>
      </c>
      <c r="AC52" s="321">
        <f t="shared" si="13"/>
        <v>1.135954588977703</v>
      </c>
    </row>
    <row r="53" spans="1:29" s="61" customFormat="1" ht="15.75" x14ac:dyDescent="0.2">
      <c r="A53" s="428">
        <v>1</v>
      </c>
      <c r="B53" s="318" t="s">
        <v>432</v>
      </c>
      <c r="C53" s="319" t="s">
        <v>433</v>
      </c>
      <c r="D53" s="283">
        <f>+D54+D60</f>
        <v>7010000000</v>
      </c>
      <c r="E53" s="322">
        <f>SUM('ADICIONES  2021'!C53:N53)</f>
        <v>3850000000</v>
      </c>
      <c r="F53" s="275">
        <f t="shared" ref="F53:J53" si="115">+F54+F60</f>
        <v>0</v>
      </c>
      <c r="G53" s="275">
        <f t="shared" si="115"/>
        <v>0</v>
      </c>
      <c r="H53" s="275">
        <f t="shared" si="115"/>
        <v>0</v>
      </c>
      <c r="I53" s="275">
        <f t="shared" si="115"/>
        <v>0</v>
      </c>
      <c r="J53" s="275">
        <f t="shared" si="115"/>
        <v>0</v>
      </c>
      <c r="K53" s="276">
        <f t="shared" si="1"/>
        <v>10860000000</v>
      </c>
      <c r="L53" s="275">
        <f t="shared" ref="L53:Q53" si="116">+L54+L60</f>
        <v>1438428374</v>
      </c>
      <c r="M53" s="275">
        <f t="shared" si="116"/>
        <v>531566428</v>
      </c>
      <c r="N53" s="275">
        <f t="shared" si="116"/>
        <v>1022861813</v>
      </c>
      <c r="O53" s="275">
        <f t="shared" si="116"/>
        <v>695531310</v>
      </c>
      <c r="P53" s="275">
        <f t="shared" si="116"/>
        <v>694761809</v>
      </c>
      <c r="Q53" s="275">
        <f t="shared" si="116"/>
        <v>569638842</v>
      </c>
      <c r="R53" s="276">
        <f t="shared" si="9"/>
        <v>4952788576</v>
      </c>
      <c r="S53" s="275">
        <f t="shared" ref="S53:Z53" si="117">+S54+S60</f>
        <v>975943549</v>
      </c>
      <c r="T53" s="275">
        <f t="shared" si="117"/>
        <v>281021182</v>
      </c>
      <c r="U53" s="275">
        <f t="shared" si="117"/>
        <v>1720647166</v>
      </c>
      <c r="V53" s="275">
        <f t="shared" si="117"/>
        <v>1623408919</v>
      </c>
      <c r="W53" s="275">
        <f t="shared" si="117"/>
        <v>947940927</v>
      </c>
      <c r="X53" s="275">
        <f t="shared" si="117"/>
        <v>1960549939</v>
      </c>
      <c r="Y53" s="275">
        <f t="shared" si="117"/>
        <v>0</v>
      </c>
      <c r="Z53" s="275">
        <f t="shared" si="117"/>
        <v>0</v>
      </c>
      <c r="AA53" s="276">
        <f t="shared" si="24"/>
        <v>7509511682</v>
      </c>
      <c r="AB53" s="402">
        <f t="shared" si="12"/>
        <v>12462300258</v>
      </c>
      <c r="AC53" s="321">
        <f t="shared" si="13"/>
        <v>1.1475414602209946</v>
      </c>
    </row>
    <row r="54" spans="1:29" s="19" customFormat="1" x14ac:dyDescent="0.2">
      <c r="A54" s="429">
        <v>1</v>
      </c>
      <c r="B54" s="323" t="s">
        <v>434</v>
      </c>
      <c r="C54" s="206" t="s">
        <v>435</v>
      </c>
      <c r="D54" s="330">
        <v>10000000</v>
      </c>
      <c r="E54" s="322">
        <f>SUM('ADICIONES  2021'!C54:N54)</f>
        <v>0</v>
      </c>
      <c r="F54" s="279"/>
      <c r="G54" s="279"/>
      <c r="H54" s="279"/>
      <c r="I54" s="279"/>
      <c r="J54" s="279"/>
      <c r="K54" s="281">
        <f t="shared" si="1"/>
        <v>10000000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81">
        <f t="shared" si="9"/>
        <v>0</v>
      </c>
      <c r="S54" s="277">
        <v>0</v>
      </c>
      <c r="T54" s="277">
        <v>0</v>
      </c>
      <c r="U54" s="277">
        <v>0</v>
      </c>
      <c r="V54" s="277">
        <v>0</v>
      </c>
      <c r="W54" s="277"/>
      <c r="X54" s="277">
        <v>0</v>
      </c>
      <c r="Y54" s="277"/>
      <c r="Z54" s="279"/>
      <c r="AA54" s="276">
        <f t="shared" si="24"/>
        <v>0</v>
      </c>
      <c r="AB54" s="403">
        <f t="shared" si="12"/>
        <v>0</v>
      </c>
      <c r="AC54" s="326">
        <f t="shared" si="13"/>
        <v>0</v>
      </c>
    </row>
    <row r="55" spans="1:29" ht="25.5" hidden="1" x14ac:dyDescent="0.2">
      <c r="A55" s="424"/>
      <c r="B55" s="323" t="s">
        <v>436</v>
      </c>
      <c r="C55" s="206" t="s">
        <v>131</v>
      </c>
      <c r="D55" s="324">
        <f>+D54*87.230682%</f>
        <v>8723068.2000000011</v>
      </c>
      <c r="E55" s="325">
        <f>SUM('ADICIONES  2021'!C55:N55)</f>
        <v>0</v>
      </c>
      <c r="F55" s="277">
        <f t="shared" ref="F55:J55" si="118">+F54*87.230682%</f>
        <v>0</v>
      </c>
      <c r="G55" s="277">
        <f t="shared" si="118"/>
        <v>0</v>
      </c>
      <c r="H55" s="277">
        <f t="shared" si="118"/>
        <v>0</v>
      </c>
      <c r="I55" s="277">
        <f t="shared" si="118"/>
        <v>0</v>
      </c>
      <c r="J55" s="277">
        <f t="shared" si="118"/>
        <v>0</v>
      </c>
      <c r="K55" s="281">
        <f t="shared" si="1"/>
        <v>8723068.2000000011</v>
      </c>
      <c r="L55" s="277">
        <f t="shared" ref="L55:Q55" si="119">+L54*87.230682%</f>
        <v>0</v>
      </c>
      <c r="M55" s="277">
        <f t="shared" si="119"/>
        <v>0</v>
      </c>
      <c r="N55" s="277">
        <f t="shared" si="119"/>
        <v>0</v>
      </c>
      <c r="O55" s="277">
        <f t="shared" si="119"/>
        <v>0</v>
      </c>
      <c r="P55" s="277">
        <f t="shared" si="119"/>
        <v>0</v>
      </c>
      <c r="Q55" s="277">
        <f t="shared" si="119"/>
        <v>0</v>
      </c>
      <c r="R55" s="281">
        <f t="shared" si="9"/>
        <v>0</v>
      </c>
      <c r="S55" s="277">
        <f t="shared" ref="S55:Z55" si="120">+S54*87.230682%</f>
        <v>0</v>
      </c>
      <c r="T55" s="277">
        <f t="shared" si="120"/>
        <v>0</v>
      </c>
      <c r="U55" s="277">
        <f t="shared" si="120"/>
        <v>0</v>
      </c>
      <c r="V55" s="277">
        <f t="shared" si="120"/>
        <v>0</v>
      </c>
      <c r="W55" s="277">
        <f t="shared" si="120"/>
        <v>0</v>
      </c>
      <c r="X55" s="277">
        <f t="shared" si="120"/>
        <v>0</v>
      </c>
      <c r="Y55" s="277">
        <f t="shared" si="120"/>
        <v>0</v>
      </c>
      <c r="Z55" s="277">
        <f t="shared" si="120"/>
        <v>0</v>
      </c>
      <c r="AA55" s="281">
        <f t="shared" si="24"/>
        <v>0</v>
      </c>
      <c r="AB55" s="403">
        <f t="shared" si="12"/>
        <v>0</v>
      </c>
      <c r="AC55" s="326">
        <f t="shared" si="13"/>
        <v>0</v>
      </c>
    </row>
    <row r="56" spans="1:29" ht="25.5" hidden="1" x14ac:dyDescent="0.2">
      <c r="A56" s="424"/>
      <c r="B56" s="323" t="s">
        <v>437</v>
      </c>
      <c r="C56" s="329" t="s">
        <v>132</v>
      </c>
      <c r="D56" s="324">
        <f>+D54*0.1%</f>
        <v>10000</v>
      </c>
      <c r="E56" s="325">
        <f>SUM('ADICIONES  2021'!C56:N56)</f>
        <v>0</v>
      </c>
      <c r="F56" s="277">
        <f t="shared" ref="F56:J56" si="121">+F54*0.1%</f>
        <v>0</v>
      </c>
      <c r="G56" s="277">
        <f t="shared" si="121"/>
        <v>0</v>
      </c>
      <c r="H56" s="277">
        <f t="shared" si="121"/>
        <v>0</v>
      </c>
      <c r="I56" s="277">
        <f t="shared" si="121"/>
        <v>0</v>
      </c>
      <c r="J56" s="277">
        <f t="shared" si="121"/>
        <v>0</v>
      </c>
      <c r="K56" s="281">
        <f t="shared" si="1"/>
        <v>10000</v>
      </c>
      <c r="L56" s="277">
        <f t="shared" ref="L56:Q56" si="122">+L54*0.1%</f>
        <v>0</v>
      </c>
      <c r="M56" s="277">
        <f t="shared" si="122"/>
        <v>0</v>
      </c>
      <c r="N56" s="277">
        <f t="shared" si="122"/>
        <v>0</v>
      </c>
      <c r="O56" s="277">
        <f t="shared" si="122"/>
        <v>0</v>
      </c>
      <c r="P56" s="277">
        <f t="shared" si="122"/>
        <v>0</v>
      </c>
      <c r="Q56" s="277">
        <f t="shared" si="122"/>
        <v>0</v>
      </c>
      <c r="R56" s="281">
        <f t="shared" si="9"/>
        <v>0</v>
      </c>
      <c r="S56" s="277">
        <f t="shared" ref="S56:Z56" si="123">+S54*0.1%</f>
        <v>0</v>
      </c>
      <c r="T56" s="277">
        <f t="shared" si="123"/>
        <v>0</v>
      </c>
      <c r="U56" s="277">
        <f t="shared" si="123"/>
        <v>0</v>
      </c>
      <c r="V56" s="277">
        <f t="shared" si="123"/>
        <v>0</v>
      </c>
      <c r="W56" s="277">
        <f t="shared" si="123"/>
        <v>0</v>
      </c>
      <c r="X56" s="277">
        <f t="shared" si="123"/>
        <v>0</v>
      </c>
      <c r="Y56" s="277">
        <f t="shared" si="123"/>
        <v>0</v>
      </c>
      <c r="Z56" s="277">
        <f t="shared" si="123"/>
        <v>0</v>
      </c>
      <c r="AA56" s="281">
        <f t="shared" si="24"/>
        <v>0</v>
      </c>
      <c r="AB56" s="403">
        <f t="shared" si="12"/>
        <v>0</v>
      </c>
      <c r="AC56" s="326">
        <f t="shared" si="13"/>
        <v>0</v>
      </c>
    </row>
    <row r="57" spans="1:29" ht="25.5" hidden="1" x14ac:dyDescent="0.2">
      <c r="A57" s="424"/>
      <c r="B57" s="323" t="s">
        <v>438</v>
      </c>
      <c r="C57" s="206" t="s">
        <v>133</v>
      </c>
      <c r="D57" s="324">
        <f>+D54*9.99%</f>
        <v>999000</v>
      </c>
      <c r="E57" s="325">
        <f>SUM('ADICIONES  2021'!C57:N57)</f>
        <v>0</v>
      </c>
      <c r="F57" s="277">
        <f t="shared" ref="F57:J57" si="124">+F54*9.99%</f>
        <v>0</v>
      </c>
      <c r="G57" s="277">
        <f t="shared" si="124"/>
        <v>0</v>
      </c>
      <c r="H57" s="277">
        <f t="shared" si="124"/>
        <v>0</v>
      </c>
      <c r="I57" s="277">
        <f t="shared" si="124"/>
        <v>0</v>
      </c>
      <c r="J57" s="277">
        <f t="shared" si="124"/>
        <v>0</v>
      </c>
      <c r="K57" s="281">
        <f t="shared" si="1"/>
        <v>999000</v>
      </c>
      <c r="L57" s="277">
        <f t="shared" ref="L57:Q57" si="125">+L54*9.99%</f>
        <v>0</v>
      </c>
      <c r="M57" s="277">
        <f t="shared" si="125"/>
        <v>0</v>
      </c>
      <c r="N57" s="277">
        <f t="shared" si="125"/>
        <v>0</v>
      </c>
      <c r="O57" s="277">
        <f t="shared" si="125"/>
        <v>0</v>
      </c>
      <c r="P57" s="277">
        <f t="shared" si="125"/>
        <v>0</v>
      </c>
      <c r="Q57" s="277">
        <f t="shared" si="125"/>
        <v>0</v>
      </c>
      <c r="R57" s="281">
        <f t="shared" si="9"/>
        <v>0</v>
      </c>
      <c r="S57" s="277">
        <f t="shared" ref="S57:Z57" si="126">+S54*9.99%</f>
        <v>0</v>
      </c>
      <c r="T57" s="277">
        <f t="shared" si="126"/>
        <v>0</v>
      </c>
      <c r="U57" s="277">
        <f t="shared" si="126"/>
        <v>0</v>
      </c>
      <c r="V57" s="277">
        <f t="shared" si="126"/>
        <v>0</v>
      </c>
      <c r="W57" s="277">
        <f t="shared" si="126"/>
        <v>0</v>
      </c>
      <c r="X57" s="277">
        <f t="shared" si="126"/>
        <v>0</v>
      </c>
      <c r="Y57" s="277">
        <f t="shared" si="126"/>
        <v>0</v>
      </c>
      <c r="Z57" s="277">
        <f t="shared" si="126"/>
        <v>0</v>
      </c>
      <c r="AA57" s="281">
        <f t="shared" si="24"/>
        <v>0</v>
      </c>
      <c r="AB57" s="403">
        <f t="shared" si="12"/>
        <v>0</v>
      </c>
      <c r="AC57" s="326">
        <f t="shared" si="13"/>
        <v>0</v>
      </c>
    </row>
    <row r="58" spans="1:29" ht="25.5" hidden="1" x14ac:dyDescent="0.2">
      <c r="A58" s="424"/>
      <c r="B58" s="323" t="s">
        <v>439</v>
      </c>
      <c r="C58" s="206" t="s">
        <v>134</v>
      </c>
      <c r="D58" s="324">
        <f>+D54*1.7982%</f>
        <v>179820</v>
      </c>
      <c r="E58" s="325">
        <f>SUM('ADICIONES  2021'!C58:N58)</f>
        <v>0</v>
      </c>
      <c r="F58" s="277">
        <f t="shared" ref="F58:J58" si="127">+F54*1.7982%</f>
        <v>0</v>
      </c>
      <c r="G58" s="277">
        <f t="shared" si="127"/>
        <v>0</v>
      </c>
      <c r="H58" s="277">
        <f t="shared" si="127"/>
        <v>0</v>
      </c>
      <c r="I58" s="277">
        <f t="shared" si="127"/>
        <v>0</v>
      </c>
      <c r="J58" s="277">
        <f t="shared" si="127"/>
        <v>0</v>
      </c>
      <c r="K58" s="281">
        <f t="shared" si="1"/>
        <v>179820</v>
      </c>
      <c r="L58" s="277">
        <f t="shared" ref="L58:Q58" si="128">+L54*1.7982%</f>
        <v>0</v>
      </c>
      <c r="M58" s="277">
        <f t="shared" si="128"/>
        <v>0</v>
      </c>
      <c r="N58" s="277">
        <f t="shared" si="128"/>
        <v>0</v>
      </c>
      <c r="O58" s="277">
        <f t="shared" si="128"/>
        <v>0</v>
      </c>
      <c r="P58" s="277">
        <f t="shared" si="128"/>
        <v>0</v>
      </c>
      <c r="Q58" s="277">
        <f t="shared" si="128"/>
        <v>0</v>
      </c>
      <c r="R58" s="281">
        <f t="shared" si="9"/>
        <v>0</v>
      </c>
      <c r="S58" s="277">
        <f t="shared" ref="S58:Z58" si="129">+S54*1.7982%</f>
        <v>0</v>
      </c>
      <c r="T58" s="277">
        <f t="shared" si="129"/>
        <v>0</v>
      </c>
      <c r="U58" s="277">
        <f t="shared" si="129"/>
        <v>0</v>
      </c>
      <c r="V58" s="277">
        <f t="shared" si="129"/>
        <v>0</v>
      </c>
      <c r="W58" s="277">
        <f t="shared" si="129"/>
        <v>0</v>
      </c>
      <c r="X58" s="277">
        <f t="shared" si="129"/>
        <v>0</v>
      </c>
      <c r="Y58" s="277">
        <f t="shared" si="129"/>
        <v>0</v>
      </c>
      <c r="Z58" s="277">
        <f t="shared" si="129"/>
        <v>0</v>
      </c>
      <c r="AA58" s="281">
        <f t="shared" si="24"/>
        <v>0</v>
      </c>
      <c r="AB58" s="403">
        <f t="shared" si="12"/>
        <v>0</v>
      </c>
      <c r="AC58" s="326">
        <f t="shared" si="13"/>
        <v>0</v>
      </c>
    </row>
    <row r="59" spans="1:29" ht="38.25" hidden="1" x14ac:dyDescent="0.2">
      <c r="A59" s="424"/>
      <c r="B59" s="323" t="s">
        <v>440</v>
      </c>
      <c r="C59" s="206" t="s">
        <v>135</v>
      </c>
      <c r="D59" s="324">
        <f>+D54*0.881118%</f>
        <v>88111.8</v>
      </c>
      <c r="E59" s="325">
        <f>SUM('ADICIONES  2021'!C59:N59)</f>
        <v>0</v>
      </c>
      <c r="F59" s="277">
        <f t="shared" ref="F59:J59" si="130">+F54*0.881118%</f>
        <v>0</v>
      </c>
      <c r="G59" s="277">
        <f t="shared" si="130"/>
        <v>0</v>
      </c>
      <c r="H59" s="277">
        <f t="shared" si="130"/>
        <v>0</v>
      </c>
      <c r="I59" s="277">
        <f t="shared" si="130"/>
        <v>0</v>
      </c>
      <c r="J59" s="277">
        <f t="shared" si="130"/>
        <v>0</v>
      </c>
      <c r="K59" s="281">
        <f t="shared" si="1"/>
        <v>88111.8</v>
      </c>
      <c r="L59" s="277">
        <f t="shared" ref="L59:Q59" si="131">+L54*0.881118%</f>
        <v>0</v>
      </c>
      <c r="M59" s="277">
        <f t="shared" si="131"/>
        <v>0</v>
      </c>
      <c r="N59" s="277">
        <f t="shared" si="131"/>
        <v>0</v>
      </c>
      <c r="O59" s="277">
        <f t="shared" si="131"/>
        <v>0</v>
      </c>
      <c r="P59" s="277">
        <f t="shared" si="131"/>
        <v>0</v>
      </c>
      <c r="Q59" s="277">
        <f t="shared" si="131"/>
        <v>0</v>
      </c>
      <c r="R59" s="281">
        <f t="shared" si="9"/>
        <v>0</v>
      </c>
      <c r="S59" s="277">
        <f t="shared" ref="S59:Z59" si="132">+S54*0.881118%</f>
        <v>0</v>
      </c>
      <c r="T59" s="277">
        <f t="shared" si="132"/>
        <v>0</v>
      </c>
      <c r="U59" s="277">
        <f t="shared" si="132"/>
        <v>0</v>
      </c>
      <c r="V59" s="277">
        <f t="shared" si="132"/>
        <v>0</v>
      </c>
      <c r="W59" s="277">
        <f t="shared" si="132"/>
        <v>0</v>
      </c>
      <c r="X59" s="277">
        <f t="shared" si="132"/>
        <v>0</v>
      </c>
      <c r="Y59" s="277">
        <f t="shared" si="132"/>
        <v>0</v>
      </c>
      <c r="Z59" s="277">
        <f t="shared" si="132"/>
        <v>0</v>
      </c>
      <c r="AA59" s="281">
        <f t="shared" si="24"/>
        <v>0</v>
      </c>
      <c r="AB59" s="403">
        <f t="shared" si="12"/>
        <v>0</v>
      </c>
      <c r="AC59" s="326">
        <f t="shared" si="13"/>
        <v>0</v>
      </c>
    </row>
    <row r="60" spans="1:29" s="19" customFormat="1" x14ac:dyDescent="0.2">
      <c r="A60" s="429">
        <v>1</v>
      </c>
      <c r="B60" s="323" t="s">
        <v>441</v>
      </c>
      <c r="C60" s="206" t="s">
        <v>442</v>
      </c>
      <c r="D60" s="331">
        <v>7000000000</v>
      </c>
      <c r="E60" s="322">
        <f>SUM('ADICIONES  2021'!C60:N60)</f>
        <v>3850000000</v>
      </c>
      <c r="F60" s="276"/>
      <c r="G60" s="276"/>
      <c r="H60" s="276"/>
      <c r="I60" s="276"/>
      <c r="J60" s="276"/>
      <c r="K60" s="281">
        <f t="shared" si="1"/>
        <v>10850000000</v>
      </c>
      <c r="L60" s="276">
        <v>1438428374</v>
      </c>
      <c r="M60" s="276">
        <v>531566428</v>
      </c>
      <c r="N60" s="276">
        <v>1022861813</v>
      </c>
      <c r="O60" s="276">
        <v>695531310</v>
      </c>
      <c r="P60" s="276">
        <v>694761809</v>
      </c>
      <c r="Q60" s="276">
        <v>569638842</v>
      </c>
      <c r="R60" s="281">
        <f t="shared" si="9"/>
        <v>4952788576</v>
      </c>
      <c r="S60" s="281">
        <v>975943549</v>
      </c>
      <c r="T60" s="281">
        <v>281021182</v>
      </c>
      <c r="U60" s="281">
        <v>1720647166</v>
      </c>
      <c r="V60" s="281">
        <v>1623408919</v>
      </c>
      <c r="W60" s="281">
        <v>947940927</v>
      </c>
      <c r="X60" s="281">
        <v>1960549939</v>
      </c>
      <c r="Y60" s="281"/>
      <c r="Z60" s="276"/>
      <c r="AA60" s="276">
        <f t="shared" si="24"/>
        <v>7509511682</v>
      </c>
      <c r="AB60" s="403">
        <f t="shared" si="12"/>
        <v>12462300258</v>
      </c>
      <c r="AC60" s="326">
        <f t="shared" si="13"/>
        <v>1.1485991021198156</v>
      </c>
    </row>
    <row r="61" spans="1:29" ht="25.5" hidden="1" x14ac:dyDescent="0.2">
      <c r="A61" s="424"/>
      <c r="B61" s="323" t="s">
        <v>443</v>
      </c>
      <c r="C61" s="206" t="s">
        <v>136</v>
      </c>
      <c r="D61" s="324">
        <f>+D60*87.230682%</f>
        <v>6106147740</v>
      </c>
      <c r="E61" s="325">
        <f>SUM('ADICIONES  2021'!C61:N61)</f>
        <v>3358381257</v>
      </c>
      <c r="F61" s="277">
        <f t="shared" ref="F61:J61" si="133">+F60*87.230682%</f>
        <v>0</v>
      </c>
      <c r="G61" s="277">
        <f t="shared" si="133"/>
        <v>0</v>
      </c>
      <c r="H61" s="277">
        <f t="shared" si="133"/>
        <v>0</v>
      </c>
      <c r="I61" s="277">
        <f t="shared" si="133"/>
        <v>0</v>
      </c>
      <c r="J61" s="277">
        <f t="shared" si="133"/>
        <v>0</v>
      </c>
      <c r="K61" s="281">
        <f t="shared" si="1"/>
        <v>9464528997</v>
      </c>
      <c r="L61" s="277">
        <f t="shared" ref="L61:Q61" si="134">+L60*87.230682%</f>
        <v>1254750880.7217107</v>
      </c>
      <c r="M61" s="277">
        <f t="shared" si="134"/>
        <v>463689020.42743897</v>
      </c>
      <c r="N61" s="277">
        <f t="shared" si="134"/>
        <v>892249335.39746475</v>
      </c>
      <c r="O61" s="277">
        <f t="shared" si="134"/>
        <v>606716705.23653424</v>
      </c>
      <c r="P61" s="277">
        <f t="shared" si="134"/>
        <v>606045464.26623738</v>
      </c>
      <c r="Q61" s="277">
        <f t="shared" si="134"/>
        <v>496899846.81350249</v>
      </c>
      <c r="R61" s="281">
        <f t="shared" si="9"/>
        <v>4320351252.8628883</v>
      </c>
      <c r="S61" s="277">
        <f t="shared" ref="S61:Z61" si="135">+S60*87.230682%</f>
        <v>851322213.72770417</v>
      </c>
      <c r="T61" s="277">
        <f t="shared" si="135"/>
        <v>245136693.62306124</v>
      </c>
      <c r="U61" s="277">
        <f t="shared" si="135"/>
        <v>1500932257.7154722</v>
      </c>
      <c r="V61" s="277">
        <f t="shared" si="135"/>
        <v>1416110671.6925275</v>
      </c>
      <c r="W61" s="277">
        <f t="shared" si="135"/>
        <v>826895335.5792222</v>
      </c>
      <c r="X61" s="277">
        <f t="shared" si="135"/>
        <v>1710201082.740284</v>
      </c>
      <c r="Y61" s="277">
        <f t="shared" si="135"/>
        <v>0</v>
      </c>
      <c r="Z61" s="277">
        <f t="shared" si="135"/>
        <v>0</v>
      </c>
      <c r="AA61" s="281">
        <f t="shared" si="24"/>
        <v>6550598255.0782719</v>
      </c>
      <c r="AB61" s="403">
        <f t="shared" si="12"/>
        <v>10870949507.94116</v>
      </c>
      <c r="AC61" s="326">
        <f t="shared" si="13"/>
        <v>1.1485991021198156</v>
      </c>
    </row>
    <row r="62" spans="1:29" ht="25.5" hidden="1" x14ac:dyDescent="0.2">
      <c r="A62" s="424"/>
      <c r="B62" s="323" t="s">
        <v>444</v>
      </c>
      <c r="C62" s="206" t="s">
        <v>137</v>
      </c>
      <c r="D62" s="324">
        <f>+D60*0.1%</f>
        <v>7000000</v>
      </c>
      <c r="E62" s="325">
        <f>SUM('ADICIONES  2021'!C62:N62)</f>
        <v>3850000</v>
      </c>
      <c r="F62" s="277">
        <f t="shared" ref="F62:J62" si="136">+F60*0.1%</f>
        <v>0</v>
      </c>
      <c r="G62" s="277">
        <f t="shared" si="136"/>
        <v>0</v>
      </c>
      <c r="H62" s="277">
        <f t="shared" si="136"/>
        <v>0</v>
      </c>
      <c r="I62" s="277">
        <f t="shared" si="136"/>
        <v>0</v>
      </c>
      <c r="J62" s="277">
        <f t="shared" si="136"/>
        <v>0</v>
      </c>
      <c r="K62" s="281">
        <f t="shared" si="1"/>
        <v>10850000</v>
      </c>
      <c r="L62" s="277">
        <f t="shared" ref="L62:Q62" si="137">+L60*0.1%</f>
        <v>1438428.3740000001</v>
      </c>
      <c r="M62" s="277">
        <f t="shared" si="137"/>
        <v>531566.42799999996</v>
      </c>
      <c r="N62" s="277">
        <f t="shared" si="137"/>
        <v>1022861.813</v>
      </c>
      <c r="O62" s="277">
        <f t="shared" si="137"/>
        <v>695531.31</v>
      </c>
      <c r="P62" s="277">
        <f t="shared" si="137"/>
        <v>694761.80900000001</v>
      </c>
      <c r="Q62" s="277">
        <f t="shared" si="137"/>
        <v>569638.84200000006</v>
      </c>
      <c r="R62" s="281">
        <f t="shared" si="9"/>
        <v>4952788.5760000004</v>
      </c>
      <c r="S62" s="277">
        <f t="shared" ref="S62:Z62" si="138">+S60*0.1%</f>
        <v>975943.549</v>
      </c>
      <c r="T62" s="277">
        <f t="shared" si="138"/>
        <v>281021.18200000003</v>
      </c>
      <c r="U62" s="277">
        <f t="shared" si="138"/>
        <v>1720647.166</v>
      </c>
      <c r="V62" s="277">
        <f t="shared" si="138"/>
        <v>1623408.919</v>
      </c>
      <c r="W62" s="277">
        <f t="shared" si="138"/>
        <v>947940.92700000003</v>
      </c>
      <c r="X62" s="277">
        <f t="shared" si="138"/>
        <v>1960549.939</v>
      </c>
      <c r="Y62" s="277">
        <f t="shared" si="138"/>
        <v>0</v>
      </c>
      <c r="Z62" s="277">
        <f t="shared" si="138"/>
        <v>0</v>
      </c>
      <c r="AA62" s="281">
        <f t="shared" si="24"/>
        <v>7509511.682</v>
      </c>
      <c r="AB62" s="403">
        <f t="shared" si="12"/>
        <v>12462300.258000001</v>
      </c>
      <c r="AC62" s="326">
        <f t="shared" si="13"/>
        <v>1.1485991021198159</v>
      </c>
    </row>
    <row r="63" spans="1:29" ht="25.5" hidden="1" x14ac:dyDescent="0.2">
      <c r="A63" s="424"/>
      <c r="B63" s="323" t="s">
        <v>445</v>
      </c>
      <c r="C63" s="206" t="s">
        <v>138</v>
      </c>
      <c r="D63" s="324">
        <f>+D60*9.99%</f>
        <v>699300000</v>
      </c>
      <c r="E63" s="325">
        <f>SUM('ADICIONES  2021'!C63:N63)</f>
        <v>384615000</v>
      </c>
      <c r="F63" s="277">
        <f t="shared" ref="F63:J63" si="139">+F60*9.99%</f>
        <v>0</v>
      </c>
      <c r="G63" s="277">
        <f t="shared" si="139"/>
        <v>0</v>
      </c>
      <c r="H63" s="277">
        <f t="shared" si="139"/>
        <v>0</v>
      </c>
      <c r="I63" s="277">
        <f t="shared" si="139"/>
        <v>0</v>
      </c>
      <c r="J63" s="277">
        <f t="shared" si="139"/>
        <v>0</v>
      </c>
      <c r="K63" s="281">
        <f t="shared" si="1"/>
        <v>1083915000</v>
      </c>
      <c r="L63" s="277">
        <f t="shared" ref="L63:Q63" si="140">+L60*9.99%</f>
        <v>143698994.56260002</v>
      </c>
      <c r="M63" s="277">
        <f t="shared" si="140"/>
        <v>53103486.157200001</v>
      </c>
      <c r="N63" s="277">
        <f t="shared" si="140"/>
        <v>102183895.1187</v>
      </c>
      <c r="O63" s="277">
        <f t="shared" si="140"/>
        <v>69483577.869000003</v>
      </c>
      <c r="P63" s="277">
        <f t="shared" si="140"/>
        <v>69406704.719099998</v>
      </c>
      <c r="Q63" s="277">
        <f t="shared" si="140"/>
        <v>56906920.315800004</v>
      </c>
      <c r="R63" s="281">
        <f t="shared" si="9"/>
        <v>494783578.74240005</v>
      </c>
      <c r="S63" s="277">
        <f t="shared" ref="S63:Z63" si="141">+S60*9.99%</f>
        <v>97496760.545100003</v>
      </c>
      <c r="T63" s="277">
        <f t="shared" si="141"/>
        <v>28074016.081800003</v>
      </c>
      <c r="U63" s="277">
        <f t="shared" si="141"/>
        <v>171892651.88339999</v>
      </c>
      <c r="V63" s="277">
        <f t="shared" si="141"/>
        <v>162178551.0081</v>
      </c>
      <c r="W63" s="277">
        <f t="shared" si="141"/>
        <v>94699298.607299998</v>
      </c>
      <c r="X63" s="277">
        <f t="shared" si="141"/>
        <v>195858938.9061</v>
      </c>
      <c r="Y63" s="277">
        <f t="shared" si="141"/>
        <v>0</v>
      </c>
      <c r="Z63" s="277">
        <f t="shared" si="141"/>
        <v>0</v>
      </c>
      <c r="AA63" s="281">
        <f t="shared" si="24"/>
        <v>750200217.03180003</v>
      </c>
      <c r="AB63" s="403">
        <f t="shared" si="12"/>
        <v>1244983795.7742</v>
      </c>
      <c r="AC63" s="326">
        <f t="shared" si="13"/>
        <v>1.1485991021198156</v>
      </c>
    </row>
    <row r="64" spans="1:29" ht="25.5" hidden="1" x14ac:dyDescent="0.2">
      <c r="A64" s="424"/>
      <c r="B64" s="323" t="s">
        <v>446</v>
      </c>
      <c r="C64" s="329" t="s">
        <v>139</v>
      </c>
      <c r="D64" s="324">
        <f>+D60*1.7982%</f>
        <v>125874000.00000001</v>
      </c>
      <c r="E64" s="325">
        <f>SUM('ADICIONES  2021'!C64:N64)</f>
        <v>69230700</v>
      </c>
      <c r="F64" s="277">
        <f t="shared" ref="F64:J64" si="142">+F60*1.7982%</f>
        <v>0</v>
      </c>
      <c r="G64" s="277">
        <f t="shared" si="142"/>
        <v>0</v>
      </c>
      <c r="H64" s="277">
        <f t="shared" si="142"/>
        <v>0</v>
      </c>
      <c r="I64" s="277">
        <f t="shared" si="142"/>
        <v>0</v>
      </c>
      <c r="J64" s="277">
        <f t="shared" si="142"/>
        <v>0</v>
      </c>
      <c r="K64" s="281">
        <f t="shared" si="1"/>
        <v>195104700</v>
      </c>
      <c r="L64" s="277">
        <f t="shared" ref="L64:Q64" si="143">+L60*1.7982%</f>
        <v>25865819.021268003</v>
      </c>
      <c r="M64" s="277">
        <f t="shared" si="143"/>
        <v>9558627.5082960017</v>
      </c>
      <c r="N64" s="277">
        <f t="shared" si="143"/>
        <v>18393101.121366002</v>
      </c>
      <c r="O64" s="277">
        <f t="shared" si="143"/>
        <v>12507044.016420001</v>
      </c>
      <c r="P64" s="277">
        <f t="shared" si="143"/>
        <v>12493206.849438</v>
      </c>
      <c r="Q64" s="277">
        <f t="shared" si="143"/>
        <v>10243245.656844001</v>
      </c>
      <c r="R64" s="281">
        <f t="shared" si="9"/>
        <v>89061044.173632011</v>
      </c>
      <c r="S64" s="277">
        <f t="shared" ref="S64:Z64" si="144">+S60*1.7982%</f>
        <v>17549416.898118</v>
      </c>
      <c r="T64" s="277">
        <f t="shared" si="144"/>
        <v>5053322.8947240002</v>
      </c>
      <c r="U64" s="277">
        <f t="shared" si="144"/>
        <v>30940677.339012001</v>
      </c>
      <c r="V64" s="277">
        <f t="shared" si="144"/>
        <v>29192139.181458004</v>
      </c>
      <c r="W64" s="277">
        <f t="shared" si="144"/>
        <v>17045873.749314003</v>
      </c>
      <c r="X64" s="277">
        <f t="shared" si="144"/>
        <v>35254609.003098004</v>
      </c>
      <c r="Y64" s="277">
        <f t="shared" si="144"/>
        <v>0</v>
      </c>
      <c r="Z64" s="277">
        <f t="shared" si="144"/>
        <v>0</v>
      </c>
      <c r="AA64" s="281">
        <f t="shared" si="24"/>
        <v>135036039.06572402</v>
      </c>
      <c r="AB64" s="403">
        <f t="shared" si="12"/>
        <v>224097083.23935604</v>
      </c>
      <c r="AC64" s="326">
        <f t="shared" si="13"/>
        <v>1.1485991021198159</v>
      </c>
    </row>
    <row r="65" spans="1:29" ht="38.25" hidden="1" x14ac:dyDescent="0.2">
      <c r="A65" s="424"/>
      <c r="B65" s="323" t="s">
        <v>447</v>
      </c>
      <c r="C65" s="206" t="s">
        <v>140</v>
      </c>
      <c r="D65" s="324">
        <f>+D60*0.881118%</f>
        <v>61678260</v>
      </c>
      <c r="E65" s="325">
        <f>SUM('ADICIONES  2021'!C65:N65)</f>
        <v>33923043</v>
      </c>
      <c r="F65" s="277">
        <f t="shared" ref="F65:J65" si="145">+F60*0.881118%</f>
        <v>0</v>
      </c>
      <c r="G65" s="277">
        <f t="shared" si="145"/>
        <v>0</v>
      </c>
      <c r="H65" s="277">
        <f t="shared" si="145"/>
        <v>0</v>
      </c>
      <c r="I65" s="277">
        <f t="shared" si="145"/>
        <v>0</v>
      </c>
      <c r="J65" s="277">
        <f t="shared" si="145"/>
        <v>0</v>
      </c>
      <c r="K65" s="281">
        <f t="shared" si="1"/>
        <v>95601303</v>
      </c>
      <c r="L65" s="277">
        <f t="shared" ref="L65:Q65" si="146">+L60*0.881118%</f>
        <v>12674251.320421319</v>
      </c>
      <c r="M65" s="277">
        <f t="shared" si="146"/>
        <v>4683727.4790650401</v>
      </c>
      <c r="N65" s="277">
        <f t="shared" si="146"/>
        <v>9012619.5494693406</v>
      </c>
      <c r="O65" s="277">
        <f t="shared" si="146"/>
        <v>6128451.5680457996</v>
      </c>
      <c r="P65" s="277">
        <f t="shared" si="146"/>
        <v>6121671.3562246198</v>
      </c>
      <c r="Q65" s="277">
        <f t="shared" si="146"/>
        <v>5019190.3718535602</v>
      </c>
      <c r="R65" s="281">
        <f t="shared" si="9"/>
        <v>43639911.64507968</v>
      </c>
      <c r="S65" s="277">
        <f t="shared" ref="S65:Z65" si="147">+S60*0.881118%</f>
        <v>8599214.2800778206</v>
      </c>
      <c r="T65" s="277">
        <f t="shared" si="147"/>
        <v>2476128.2184147602</v>
      </c>
      <c r="U65" s="277">
        <f t="shared" si="147"/>
        <v>15160931.89611588</v>
      </c>
      <c r="V65" s="277">
        <f t="shared" si="147"/>
        <v>14304148.19891442</v>
      </c>
      <c r="W65" s="277">
        <f t="shared" si="147"/>
        <v>8352478.1371638598</v>
      </c>
      <c r="X65" s="277">
        <f t="shared" si="147"/>
        <v>17274758.411518019</v>
      </c>
      <c r="Y65" s="277">
        <f t="shared" si="147"/>
        <v>0</v>
      </c>
      <c r="Z65" s="277">
        <f t="shared" si="147"/>
        <v>0</v>
      </c>
      <c r="AA65" s="281">
        <f t="shared" si="24"/>
        <v>66167659.142204762</v>
      </c>
      <c r="AB65" s="403">
        <f t="shared" si="12"/>
        <v>109807570.78728443</v>
      </c>
      <c r="AC65" s="326">
        <f t="shared" si="13"/>
        <v>1.1485991021198156</v>
      </c>
    </row>
    <row r="66" spans="1:29" s="61" customFormat="1" ht="25.5" x14ac:dyDescent="0.2">
      <c r="A66" s="428">
        <v>1</v>
      </c>
      <c r="B66" s="318" t="s">
        <v>448</v>
      </c>
      <c r="C66" s="319" t="s">
        <v>449</v>
      </c>
      <c r="D66" s="283">
        <f>+D67+D73</f>
        <v>4200000000</v>
      </c>
      <c r="E66" s="322">
        <f>SUM('ADICIONES  2021'!C66:N66)</f>
        <v>3956000000</v>
      </c>
      <c r="F66" s="275">
        <f t="shared" ref="F66:J66" si="148">+F67+F73</f>
        <v>0</v>
      </c>
      <c r="G66" s="275">
        <f t="shared" si="148"/>
        <v>0</v>
      </c>
      <c r="H66" s="275">
        <f t="shared" si="148"/>
        <v>0</v>
      </c>
      <c r="I66" s="275">
        <f t="shared" si="148"/>
        <v>0</v>
      </c>
      <c r="J66" s="275">
        <f t="shared" si="148"/>
        <v>0</v>
      </c>
      <c r="K66" s="276">
        <f t="shared" si="1"/>
        <v>8156000000</v>
      </c>
      <c r="L66" s="275">
        <f t="shared" ref="L66:Q66" si="149">+L67+L73</f>
        <v>882060243</v>
      </c>
      <c r="M66" s="275">
        <f t="shared" si="149"/>
        <v>264330842</v>
      </c>
      <c r="N66" s="275">
        <f t="shared" si="149"/>
        <v>503335915</v>
      </c>
      <c r="O66" s="275">
        <f t="shared" si="149"/>
        <v>370551930</v>
      </c>
      <c r="P66" s="275">
        <f t="shared" si="149"/>
        <v>371259791</v>
      </c>
      <c r="Q66" s="275">
        <f t="shared" si="149"/>
        <v>422367558</v>
      </c>
      <c r="R66" s="276">
        <f t="shared" si="9"/>
        <v>2813906279</v>
      </c>
      <c r="S66" s="275">
        <f t="shared" ref="S66:Z66" si="150">+S67+S73</f>
        <v>483588651</v>
      </c>
      <c r="T66" s="275">
        <f t="shared" si="150"/>
        <v>399608791</v>
      </c>
      <c r="U66" s="275">
        <f t="shared" si="150"/>
        <v>1189603295</v>
      </c>
      <c r="V66" s="275">
        <f t="shared" si="150"/>
        <v>1370649081</v>
      </c>
      <c r="W66" s="275">
        <f t="shared" si="150"/>
        <v>1396779277</v>
      </c>
      <c r="X66" s="275">
        <f t="shared" si="150"/>
        <v>1484876832</v>
      </c>
      <c r="Y66" s="275">
        <f t="shared" si="150"/>
        <v>0</v>
      </c>
      <c r="Z66" s="275">
        <f t="shared" si="150"/>
        <v>0</v>
      </c>
      <c r="AA66" s="276">
        <f t="shared" si="24"/>
        <v>6325105927</v>
      </c>
      <c r="AB66" s="402">
        <f t="shared" si="12"/>
        <v>9139012206</v>
      </c>
      <c r="AC66" s="321">
        <f t="shared" si="13"/>
        <v>1.1205262636096125</v>
      </c>
    </row>
    <row r="67" spans="1:29" s="19" customFormat="1" ht="25.5" x14ac:dyDescent="0.2">
      <c r="A67" s="429">
        <v>1</v>
      </c>
      <c r="B67" s="323" t="s">
        <v>450</v>
      </c>
      <c r="C67" s="206" t="s">
        <v>451</v>
      </c>
      <c r="D67" s="331">
        <v>700000000</v>
      </c>
      <c r="E67" s="322">
        <f>SUM('ADICIONES  2021'!C67:N67)</f>
        <v>2066000000</v>
      </c>
      <c r="F67" s="276"/>
      <c r="G67" s="276"/>
      <c r="H67" s="276"/>
      <c r="I67" s="276"/>
      <c r="J67" s="276"/>
      <c r="K67" s="281">
        <f t="shared" si="1"/>
        <v>2766000000</v>
      </c>
      <c r="L67" s="276">
        <v>149187000</v>
      </c>
      <c r="M67" s="276">
        <v>32551848</v>
      </c>
      <c r="N67" s="276">
        <v>106242600</v>
      </c>
      <c r="O67" s="276">
        <v>87298800</v>
      </c>
      <c r="P67" s="276">
        <v>87561600</v>
      </c>
      <c r="Q67" s="276">
        <v>47219400</v>
      </c>
      <c r="R67" s="281">
        <f t="shared" si="9"/>
        <v>510061248</v>
      </c>
      <c r="S67" s="281">
        <v>52471200</v>
      </c>
      <c r="T67" s="281">
        <v>60113400</v>
      </c>
      <c r="U67" s="281">
        <v>604737732</v>
      </c>
      <c r="V67" s="281">
        <v>589752000</v>
      </c>
      <c r="W67" s="281">
        <v>514061400</v>
      </c>
      <c r="X67" s="281">
        <v>631210800</v>
      </c>
      <c r="Y67" s="281"/>
      <c r="Z67" s="276"/>
      <c r="AA67" s="276">
        <f t="shared" si="24"/>
        <v>2452346532</v>
      </c>
      <c r="AB67" s="403">
        <f t="shared" si="12"/>
        <v>2962407780</v>
      </c>
      <c r="AC67" s="326">
        <f t="shared" si="13"/>
        <v>1.071007874186551</v>
      </c>
    </row>
    <row r="68" spans="1:29" ht="25.5" hidden="1" x14ac:dyDescent="0.2">
      <c r="A68" s="424"/>
      <c r="B68" s="323" t="s">
        <v>452</v>
      </c>
      <c r="C68" s="206" t="s">
        <v>141</v>
      </c>
      <c r="D68" s="324">
        <f>+D67*87.230682%</f>
        <v>610614774</v>
      </c>
      <c r="E68" s="325">
        <f>SUM('ADICIONES  2021'!C68:N68)</f>
        <v>1802185890.1200001</v>
      </c>
      <c r="F68" s="277">
        <f t="shared" ref="F68:J68" si="151">+F67*87.230682%</f>
        <v>0</v>
      </c>
      <c r="G68" s="277">
        <f t="shared" si="151"/>
        <v>0</v>
      </c>
      <c r="H68" s="277">
        <f t="shared" si="151"/>
        <v>0</v>
      </c>
      <c r="I68" s="277">
        <f t="shared" si="151"/>
        <v>0</v>
      </c>
      <c r="J68" s="277">
        <f t="shared" si="151"/>
        <v>0</v>
      </c>
      <c r="K68" s="281">
        <f t="shared" si="1"/>
        <v>2412800664.1199999</v>
      </c>
      <c r="L68" s="277">
        <f t="shared" ref="L68:Q68" si="152">+L67*87.230682%</f>
        <v>130136837.55534001</v>
      </c>
      <c r="M68" s="277">
        <f t="shared" si="152"/>
        <v>28395199.014003363</v>
      </c>
      <c r="N68" s="277">
        <f t="shared" si="152"/>
        <v>92676144.554532006</v>
      </c>
      <c r="O68" s="277">
        <f t="shared" si="152"/>
        <v>76151338.617816001</v>
      </c>
      <c r="P68" s="277">
        <f t="shared" si="152"/>
        <v>76380580.850112006</v>
      </c>
      <c r="Q68" s="277">
        <f t="shared" si="152"/>
        <v>41189804.656308003</v>
      </c>
      <c r="R68" s="281">
        <f t="shared" si="9"/>
        <v>444929905.24811137</v>
      </c>
      <c r="S68" s="277">
        <f t="shared" ref="S68:Z68" si="153">+S67*87.230682%</f>
        <v>45770985.613584004</v>
      </c>
      <c r="T68" s="277">
        <f t="shared" si="153"/>
        <v>52437328.793388002</v>
      </c>
      <c r="U68" s="277">
        <f t="shared" si="153"/>
        <v>527516847.93493229</v>
      </c>
      <c r="V68" s="277">
        <f t="shared" si="153"/>
        <v>514444691.70864004</v>
      </c>
      <c r="W68" s="277">
        <f t="shared" si="153"/>
        <v>448419265.11874801</v>
      </c>
      <c r="X68" s="277">
        <f t="shared" si="153"/>
        <v>550609485.69765604</v>
      </c>
      <c r="Y68" s="277">
        <f t="shared" si="153"/>
        <v>0</v>
      </c>
      <c r="Z68" s="277">
        <f t="shared" si="153"/>
        <v>0</v>
      </c>
      <c r="AA68" s="281">
        <f t="shared" si="24"/>
        <v>2139198604.8669481</v>
      </c>
      <c r="AB68" s="403">
        <f t="shared" si="12"/>
        <v>2584128510.1150594</v>
      </c>
      <c r="AC68" s="326">
        <f t="shared" si="13"/>
        <v>1.071007874186551</v>
      </c>
    </row>
    <row r="69" spans="1:29" ht="25.5" hidden="1" x14ac:dyDescent="0.2">
      <c r="A69" s="424"/>
      <c r="B69" s="323" t="s">
        <v>453</v>
      </c>
      <c r="C69" s="206" t="s">
        <v>142</v>
      </c>
      <c r="D69" s="324">
        <f>+D67*0.1%</f>
        <v>700000</v>
      </c>
      <c r="E69" s="325">
        <f>SUM('ADICIONES  2021'!C69:N69)</f>
        <v>2066000</v>
      </c>
      <c r="F69" s="277">
        <f t="shared" ref="F69:J69" si="154">+F67*0.1%</f>
        <v>0</v>
      </c>
      <c r="G69" s="277">
        <f t="shared" si="154"/>
        <v>0</v>
      </c>
      <c r="H69" s="277">
        <f t="shared" si="154"/>
        <v>0</v>
      </c>
      <c r="I69" s="277">
        <f t="shared" si="154"/>
        <v>0</v>
      </c>
      <c r="J69" s="277">
        <f t="shared" si="154"/>
        <v>0</v>
      </c>
      <c r="K69" s="281">
        <f t="shared" si="1"/>
        <v>2766000</v>
      </c>
      <c r="L69" s="277">
        <f t="shared" ref="L69:Q69" si="155">+L67*0.1%</f>
        <v>149187</v>
      </c>
      <c r="M69" s="277">
        <f t="shared" si="155"/>
        <v>32551.848000000002</v>
      </c>
      <c r="N69" s="277">
        <f t="shared" si="155"/>
        <v>106242.6</v>
      </c>
      <c r="O69" s="277">
        <f t="shared" si="155"/>
        <v>87298.8</v>
      </c>
      <c r="P69" s="277">
        <f t="shared" si="155"/>
        <v>87561.600000000006</v>
      </c>
      <c r="Q69" s="277">
        <f t="shared" si="155"/>
        <v>47219.4</v>
      </c>
      <c r="R69" s="281">
        <f t="shared" si="9"/>
        <v>510061.24800000002</v>
      </c>
      <c r="S69" s="277">
        <f t="shared" ref="S69:Z69" si="156">+S67*0.1%</f>
        <v>52471.200000000004</v>
      </c>
      <c r="T69" s="277">
        <f t="shared" si="156"/>
        <v>60113.4</v>
      </c>
      <c r="U69" s="277">
        <f t="shared" si="156"/>
        <v>604737.73199999996</v>
      </c>
      <c r="V69" s="277">
        <f t="shared" si="156"/>
        <v>589752</v>
      </c>
      <c r="W69" s="277">
        <f t="shared" si="156"/>
        <v>514061.4</v>
      </c>
      <c r="X69" s="277">
        <f t="shared" si="156"/>
        <v>631210.80000000005</v>
      </c>
      <c r="Y69" s="277">
        <f t="shared" si="156"/>
        <v>0</v>
      </c>
      <c r="Z69" s="277">
        <f t="shared" si="156"/>
        <v>0</v>
      </c>
      <c r="AA69" s="281">
        <f t="shared" si="24"/>
        <v>2452346.5319999997</v>
      </c>
      <c r="AB69" s="403">
        <f t="shared" si="12"/>
        <v>2962407.78</v>
      </c>
      <c r="AC69" s="326">
        <f t="shared" si="13"/>
        <v>1.071007874186551</v>
      </c>
    </row>
    <row r="70" spans="1:29" ht="25.5" hidden="1" x14ac:dyDescent="0.2">
      <c r="A70" s="424"/>
      <c r="B70" s="323" t="s">
        <v>454</v>
      </c>
      <c r="C70" s="206" t="s">
        <v>143</v>
      </c>
      <c r="D70" s="324">
        <f>+D67*9.99%</f>
        <v>69930000</v>
      </c>
      <c r="E70" s="325">
        <f>SUM('ADICIONES  2021'!C70:N70)</f>
        <v>206393400</v>
      </c>
      <c r="F70" s="277">
        <f t="shared" ref="F70:J70" si="157">+F67*9.99%</f>
        <v>0</v>
      </c>
      <c r="G70" s="277">
        <f t="shared" si="157"/>
        <v>0</v>
      </c>
      <c r="H70" s="277">
        <f t="shared" si="157"/>
        <v>0</v>
      </c>
      <c r="I70" s="277">
        <f t="shared" si="157"/>
        <v>0</v>
      </c>
      <c r="J70" s="277">
        <f t="shared" si="157"/>
        <v>0</v>
      </c>
      <c r="K70" s="281">
        <f t="shared" si="1"/>
        <v>276323400</v>
      </c>
      <c r="L70" s="277">
        <f t="shared" ref="L70:Q70" si="158">+L67*9.99%</f>
        <v>14903781.300000001</v>
      </c>
      <c r="M70" s="277">
        <f t="shared" si="158"/>
        <v>3251929.6151999999</v>
      </c>
      <c r="N70" s="277">
        <f t="shared" si="158"/>
        <v>10613635.74</v>
      </c>
      <c r="O70" s="277">
        <f t="shared" si="158"/>
        <v>8721150.120000001</v>
      </c>
      <c r="P70" s="277">
        <f t="shared" si="158"/>
        <v>8747403.8399999999</v>
      </c>
      <c r="Q70" s="277">
        <f t="shared" si="158"/>
        <v>4717218.0600000005</v>
      </c>
      <c r="R70" s="281">
        <f t="shared" si="9"/>
        <v>50955118.675200015</v>
      </c>
      <c r="S70" s="277">
        <f t="shared" ref="S70:Z70" si="159">+S67*9.99%</f>
        <v>5241872.88</v>
      </c>
      <c r="T70" s="277">
        <f t="shared" si="159"/>
        <v>6005328.6600000001</v>
      </c>
      <c r="U70" s="277">
        <f t="shared" si="159"/>
        <v>60413299.426800005</v>
      </c>
      <c r="V70" s="277">
        <f t="shared" si="159"/>
        <v>58916224.800000004</v>
      </c>
      <c r="W70" s="277">
        <f t="shared" si="159"/>
        <v>51354733.859999999</v>
      </c>
      <c r="X70" s="277">
        <f t="shared" si="159"/>
        <v>63057958.920000002</v>
      </c>
      <c r="Y70" s="277">
        <f t="shared" si="159"/>
        <v>0</v>
      </c>
      <c r="Z70" s="277">
        <f t="shared" si="159"/>
        <v>0</v>
      </c>
      <c r="AA70" s="281">
        <f t="shared" si="24"/>
        <v>244989418.54680002</v>
      </c>
      <c r="AB70" s="403">
        <f t="shared" si="12"/>
        <v>295944537.222</v>
      </c>
      <c r="AC70" s="326">
        <f t="shared" si="13"/>
        <v>1.071007874186551</v>
      </c>
    </row>
    <row r="71" spans="1:29" s="112" customFormat="1" ht="25.5" hidden="1" x14ac:dyDescent="0.2">
      <c r="A71" s="424"/>
      <c r="B71" s="323" t="s">
        <v>455</v>
      </c>
      <c r="C71" s="329" t="s">
        <v>144</v>
      </c>
      <c r="D71" s="324">
        <f>+D67*1.7982%</f>
        <v>12587400.000000002</v>
      </c>
      <c r="E71" s="325">
        <f>SUM('ADICIONES  2021'!C71:N71)</f>
        <v>37150812</v>
      </c>
      <c r="F71" s="277">
        <f t="shared" ref="F71:J71" si="160">+F67*1.7982%</f>
        <v>0</v>
      </c>
      <c r="G71" s="277">
        <f t="shared" si="160"/>
        <v>0</v>
      </c>
      <c r="H71" s="277">
        <f t="shared" si="160"/>
        <v>0</v>
      </c>
      <c r="I71" s="277">
        <f t="shared" si="160"/>
        <v>0</v>
      </c>
      <c r="J71" s="277">
        <f t="shared" si="160"/>
        <v>0</v>
      </c>
      <c r="K71" s="281">
        <f t="shared" si="1"/>
        <v>49738212</v>
      </c>
      <c r="L71" s="277">
        <f t="shared" ref="L71:Q71" si="161">+L67*1.7982%</f>
        <v>2682680.6340000001</v>
      </c>
      <c r="M71" s="277">
        <f t="shared" si="161"/>
        <v>585347.33073600009</v>
      </c>
      <c r="N71" s="277">
        <f t="shared" si="161"/>
        <v>1910454.4332000001</v>
      </c>
      <c r="O71" s="277">
        <f t="shared" si="161"/>
        <v>1569807.0216000001</v>
      </c>
      <c r="P71" s="277">
        <f t="shared" si="161"/>
        <v>1574532.6912000002</v>
      </c>
      <c r="Q71" s="277">
        <f t="shared" si="161"/>
        <v>849099.25080000004</v>
      </c>
      <c r="R71" s="281">
        <f t="shared" si="9"/>
        <v>9171921.3615359999</v>
      </c>
      <c r="S71" s="277">
        <f t="shared" ref="S71:Z71" si="162">+S67*1.7982%</f>
        <v>943537.11840000004</v>
      </c>
      <c r="T71" s="277">
        <f t="shared" si="162"/>
        <v>1080959.1588000001</v>
      </c>
      <c r="U71" s="277">
        <f t="shared" si="162"/>
        <v>10874393.896824</v>
      </c>
      <c r="V71" s="277">
        <f t="shared" si="162"/>
        <v>10604920.464000002</v>
      </c>
      <c r="W71" s="277">
        <f t="shared" si="162"/>
        <v>9243852.094800001</v>
      </c>
      <c r="X71" s="277">
        <f t="shared" si="162"/>
        <v>11350432.605600001</v>
      </c>
      <c r="Y71" s="277">
        <f t="shared" si="162"/>
        <v>0</v>
      </c>
      <c r="Z71" s="277">
        <f t="shared" si="162"/>
        <v>0</v>
      </c>
      <c r="AA71" s="281">
        <f t="shared" si="24"/>
        <v>44098095.338424005</v>
      </c>
      <c r="AB71" s="403">
        <f t="shared" si="12"/>
        <v>53270016.699960008</v>
      </c>
      <c r="AC71" s="326">
        <f t="shared" si="13"/>
        <v>1.0710078741865512</v>
      </c>
    </row>
    <row r="72" spans="1:29" ht="38.25" hidden="1" x14ac:dyDescent="0.2">
      <c r="A72" s="424"/>
      <c r="B72" s="323" t="s">
        <v>456</v>
      </c>
      <c r="C72" s="206" t="s">
        <v>145</v>
      </c>
      <c r="D72" s="324">
        <f>+D67*0.881118%</f>
        <v>6167826</v>
      </c>
      <c r="E72" s="325">
        <f>SUM('ADICIONES  2021'!C72:N72)</f>
        <v>18203897.879999999</v>
      </c>
      <c r="F72" s="277">
        <f t="shared" ref="F72:J72" si="163">+F67*0.881118%</f>
        <v>0</v>
      </c>
      <c r="G72" s="277">
        <f t="shared" si="163"/>
        <v>0</v>
      </c>
      <c r="H72" s="277">
        <f t="shared" si="163"/>
        <v>0</v>
      </c>
      <c r="I72" s="277">
        <f t="shared" si="163"/>
        <v>0</v>
      </c>
      <c r="J72" s="277">
        <f t="shared" si="163"/>
        <v>0</v>
      </c>
      <c r="K72" s="281">
        <f t="shared" si="1"/>
        <v>24371723.879999999</v>
      </c>
      <c r="L72" s="277">
        <f t="shared" ref="L72:Q72" si="164">+L67*0.881118%</f>
        <v>1314513.5106599999</v>
      </c>
      <c r="M72" s="277">
        <f t="shared" si="164"/>
        <v>286820.19206064002</v>
      </c>
      <c r="N72" s="277">
        <f t="shared" si="164"/>
        <v>936122.67226799997</v>
      </c>
      <c r="O72" s="277">
        <f t="shared" si="164"/>
        <v>769205.44058399997</v>
      </c>
      <c r="P72" s="277">
        <f t="shared" si="164"/>
        <v>771521.01868800004</v>
      </c>
      <c r="Q72" s="277">
        <f t="shared" si="164"/>
        <v>416058.63289200002</v>
      </c>
      <c r="R72" s="281">
        <f t="shared" si="9"/>
        <v>4494241.4671526402</v>
      </c>
      <c r="S72" s="277">
        <f t="shared" ref="S72:Z72" si="165">+S67*0.881118%</f>
        <v>462333.18801600003</v>
      </c>
      <c r="T72" s="277">
        <f t="shared" si="165"/>
        <v>529669.98781199998</v>
      </c>
      <c r="U72" s="277">
        <f t="shared" si="165"/>
        <v>5328453.0094437599</v>
      </c>
      <c r="V72" s="277">
        <f t="shared" si="165"/>
        <v>5196411.0273599997</v>
      </c>
      <c r="W72" s="277">
        <f t="shared" si="165"/>
        <v>4529487.5264520003</v>
      </c>
      <c r="X72" s="277">
        <f t="shared" si="165"/>
        <v>5561711.9767439999</v>
      </c>
      <c r="Y72" s="277">
        <f t="shared" si="165"/>
        <v>0</v>
      </c>
      <c r="Z72" s="277">
        <f t="shared" si="165"/>
        <v>0</v>
      </c>
      <c r="AA72" s="281">
        <f t="shared" si="24"/>
        <v>21608066.715827759</v>
      </c>
      <c r="AB72" s="403">
        <f t="shared" si="12"/>
        <v>26102308.1829804</v>
      </c>
      <c r="AC72" s="326">
        <f t="shared" si="13"/>
        <v>1.071007874186551</v>
      </c>
    </row>
    <row r="73" spans="1:29" s="19" customFormat="1" ht="25.5" x14ac:dyDescent="0.2">
      <c r="A73" s="429">
        <v>1</v>
      </c>
      <c r="B73" s="323" t="s">
        <v>457</v>
      </c>
      <c r="C73" s="206" t="s">
        <v>458</v>
      </c>
      <c r="D73" s="330">
        <v>3500000000</v>
      </c>
      <c r="E73" s="322">
        <f>SUM('ADICIONES  2021'!C73:N73)</f>
        <v>1890000000</v>
      </c>
      <c r="F73" s="279"/>
      <c r="G73" s="279"/>
      <c r="H73" s="279"/>
      <c r="I73" s="279"/>
      <c r="J73" s="279"/>
      <c r="K73" s="281">
        <f t="shared" si="1"/>
        <v>5390000000</v>
      </c>
      <c r="L73" s="279">
        <v>732873243</v>
      </c>
      <c r="M73" s="279">
        <v>231778994</v>
      </c>
      <c r="N73" s="279">
        <v>397093315</v>
      </c>
      <c r="O73" s="279">
        <v>283253130</v>
      </c>
      <c r="P73" s="279">
        <v>283698191</v>
      </c>
      <c r="Q73" s="279">
        <v>375148158</v>
      </c>
      <c r="R73" s="281">
        <f t="shared" si="9"/>
        <v>2303845031</v>
      </c>
      <c r="S73" s="277">
        <v>431117451</v>
      </c>
      <c r="T73" s="277">
        <v>339495391</v>
      </c>
      <c r="U73" s="277">
        <v>584865563</v>
      </c>
      <c r="V73" s="277">
        <v>780897081</v>
      </c>
      <c r="W73" s="277">
        <v>882717877</v>
      </c>
      <c r="X73" s="277">
        <v>853666032</v>
      </c>
      <c r="Y73" s="277"/>
      <c r="Z73" s="279"/>
      <c r="AA73" s="276">
        <f t="shared" si="24"/>
        <v>3872759395</v>
      </c>
      <c r="AB73" s="403">
        <f t="shared" si="12"/>
        <v>6176604426</v>
      </c>
      <c r="AC73" s="326">
        <f t="shared" si="13"/>
        <v>1.1459377413729128</v>
      </c>
    </row>
    <row r="74" spans="1:29" ht="25.5" hidden="1" x14ac:dyDescent="0.2">
      <c r="A74" s="424"/>
      <c r="B74" s="323" t="s">
        <v>459</v>
      </c>
      <c r="C74" s="206" t="s">
        <v>146</v>
      </c>
      <c r="D74" s="324">
        <f>+D73*87.230682%</f>
        <v>3053073870</v>
      </c>
      <c r="E74" s="325">
        <f>SUM('ADICIONES  2021'!C74:N74)</f>
        <v>1500000000</v>
      </c>
      <c r="F74" s="277">
        <f t="shared" ref="F74:J74" si="166">+F73*87.230682%</f>
        <v>0</v>
      </c>
      <c r="G74" s="277">
        <f t="shared" si="166"/>
        <v>0</v>
      </c>
      <c r="H74" s="277">
        <f t="shared" si="166"/>
        <v>0</v>
      </c>
      <c r="I74" s="277">
        <f t="shared" si="166"/>
        <v>0</v>
      </c>
      <c r="J74" s="277">
        <f t="shared" si="166"/>
        <v>0</v>
      </c>
      <c r="K74" s="281">
        <f t="shared" si="1"/>
        <v>4553073870</v>
      </c>
      <c r="L74" s="277">
        <f t="shared" ref="L74:Q74" si="167">+L73*87.230682%</f>
        <v>639290328.06441724</v>
      </c>
      <c r="M74" s="277">
        <f t="shared" si="167"/>
        <v>202182397.19893909</v>
      </c>
      <c r="N74" s="277">
        <f t="shared" si="167"/>
        <v>346387206.85090834</v>
      </c>
      <c r="O74" s="277">
        <f t="shared" si="167"/>
        <v>247083637.08534661</v>
      </c>
      <c r="P74" s="277">
        <f t="shared" si="167"/>
        <v>247471866.83096263</v>
      </c>
      <c r="Q74" s="277">
        <f t="shared" si="167"/>
        <v>327244296.73383754</v>
      </c>
      <c r="R74" s="281">
        <f t="shared" si="9"/>
        <v>2009659732.7644117</v>
      </c>
      <c r="S74" s="277">
        <f t="shared" ref="S74:Z74" si="168">+S73*87.230682%</f>
        <v>376066692.72831583</v>
      </c>
      <c r="T74" s="277">
        <f t="shared" si="168"/>
        <v>296144144.92786664</v>
      </c>
      <c r="U74" s="277">
        <f t="shared" si="168"/>
        <v>510182219.38803971</v>
      </c>
      <c r="V74" s="277">
        <f t="shared" si="168"/>
        <v>681181849.47439241</v>
      </c>
      <c r="W74" s="277">
        <f t="shared" si="168"/>
        <v>770000824.24302113</v>
      </c>
      <c r="X74" s="277">
        <f t="shared" si="168"/>
        <v>744658701.71593833</v>
      </c>
      <c r="Y74" s="277">
        <f t="shared" si="168"/>
        <v>0</v>
      </c>
      <c r="Z74" s="277">
        <f t="shared" si="168"/>
        <v>0</v>
      </c>
      <c r="AA74" s="281">
        <f t="shared" si="24"/>
        <v>3378234432.4775743</v>
      </c>
      <c r="AB74" s="403">
        <f t="shared" si="12"/>
        <v>5387894165.2419863</v>
      </c>
      <c r="AC74" s="326">
        <f t="shared" si="13"/>
        <v>1.1833531190307673</v>
      </c>
    </row>
    <row r="75" spans="1:29" ht="25.5" hidden="1" x14ac:dyDescent="0.2">
      <c r="A75" s="424"/>
      <c r="B75" s="323" t="s">
        <v>460</v>
      </c>
      <c r="C75" s="206" t="s">
        <v>147</v>
      </c>
      <c r="D75" s="324">
        <f>+D73*0.1%</f>
        <v>3500000</v>
      </c>
      <c r="E75" s="325">
        <f>SUM('ADICIONES  2021'!C75:N75)</f>
        <v>1890000</v>
      </c>
      <c r="F75" s="277">
        <f t="shared" ref="F75:J75" si="169">+F73*0.1%</f>
        <v>0</v>
      </c>
      <c r="G75" s="277">
        <f t="shared" si="169"/>
        <v>0</v>
      </c>
      <c r="H75" s="277">
        <f t="shared" si="169"/>
        <v>0</v>
      </c>
      <c r="I75" s="277">
        <f t="shared" si="169"/>
        <v>0</v>
      </c>
      <c r="J75" s="277">
        <f t="shared" si="169"/>
        <v>0</v>
      </c>
      <c r="K75" s="281">
        <f t="shared" ref="K75:K139" si="170">+D75+E75-F75+G75-H75</f>
        <v>5390000</v>
      </c>
      <c r="L75" s="277">
        <f t="shared" ref="L75:Q75" si="171">+L73*0.1%</f>
        <v>732873.24300000002</v>
      </c>
      <c r="M75" s="277">
        <f t="shared" si="171"/>
        <v>231778.99400000001</v>
      </c>
      <c r="N75" s="277">
        <f t="shared" si="171"/>
        <v>397093.315</v>
      </c>
      <c r="O75" s="277">
        <f t="shared" si="171"/>
        <v>283253.13</v>
      </c>
      <c r="P75" s="277">
        <f t="shared" si="171"/>
        <v>283698.19099999999</v>
      </c>
      <c r="Q75" s="277">
        <f t="shared" si="171"/>
        <v>375148.158</v>
      </c>
      <c r="R75" s="281">
        <f t="shared" si="9"/>
        <v>2303845.031</v>
      </c>
      <c r="S75" s="277">
        <f t="shared" ref="S75:Z75" si="172">+S73*0.1%</f>
        <v>431117.451</v>
      </c>
      <c r="T75" s="277">
        <f t="shared" si="172"/>
        <v>339495.391</v>
      </c>
      <c r="U75" s="277">
        <f t="shared" si="172"/>
        <v>584865.56299999997</v>
      </c>
      <c r="V75" s="277">
        <f t="shared" si="172"/>
        <v>780897.08100000001</v>
      </c>
      <c r="W75" s="277">
        <f t="shared" si="172"/>
        <v>882717.87699999998</v>
      </c>
      <c r="X75" s="277">
        <f t="shared" si="172"/>
        <v>853666.03200000001</v>
      </c>
      <c r="Y75" s="277">
        <f t="shared" si="172"/>
        <v>0</v>
      </c>
      <c r="Z75" s="277">
        <f t="shared" si="172"/>
        <v>0</v>
      </c>
      <c r="AA75" s="281">
        <f t="shared" si="24"/>
        <v>3872759.3949999996</v>
      </c>
      <c r="AB75" s="403">
        <f t="shared" si="12"/>
        <v>6176604.425999999</v>
      </c>
      <c r="AC75" s="326">
        <f t="shared" si="13"/>
        <v>1.1459377413729126</v>
      </c>
    </row>
    <row r="76" spans="1:29" ht="25.5" hidden="1" x14ac:dyDescent="0.2">
      <c r="A76" s="424"/>
      <c r="B76" s="323" t="s">
        <v>461</v>
      </c>
      <c r="C76" s="206" t="s">
        <v>148</v>
      </c>
      <c r="D76" s="324">
        <f>+D73*9.99%</f>
        <v>349650000</v>
      </c>
      <c r="E76" s="325">
        <f>SUM('ADICIONES  2021'!C76:N76)</f>
        <v>188811000</v>
      </c>
      <c r="F76" s="277">
        <f t="shared" ref="F76:J76" si="173">+F73*9.99%</f>
        <v>0</v>
      </c>
      <c r="G76" s="277">
        <f t="shared" si="173"/>
        <v>0</v>
      </c>
      <c r="H76" s="277">
        <f t="shared" si="173"/>
        <v>0</v>
      </c>
      <c r="I76" s="277">
        <f t="shared" si="173"/>
        <v>0</v>
      </c>
      <c r="J76" s="277">
        <f t="shared" si="173"/>
        <v>0</v>
      </c>
      <c r="K76" s="281">
        <f t="shared" si="170"/>
        <v>538461000</v>
      </c>
      <c r="L76" s="277">
        <f t="shared" ref="L76:Q76" si="174">+L73*9.99%</f>
        <v>73214036.975700006</v>
      </c>
      <c r="M76" s="277">
        <f t="shared" si="174"/>
        <v>23154721.500599999</v>
      </c>
      <c r="N76" s="277">
        <f t="shared" si="174"/>
        <v>39669622.168499999</v>
      </c>
      <c r="O76" s="277">
        <f t="shared" si="174"/>
        <v>28296987.686999999</v>
      </c>
      <c r="P76" s="277">
        <f t="shared" si="174"/>
        <v>28341449.280900002</v>
      </c>
      <c r="Q76" s="277">
        <f t="shared" si="174"/>
        <v>37477300.984200001</v>
      </c>
      <c r="R76" s="281">
        <f t="shared" si="9"/>
        <v>230154118.59690002</v>
      </c>
      <c r="S76" s="277">
        <f t="shared" ref="S76:Z76" si="175">+S73*9.99%</f>
        <v>43068633.354900002</v>
      </c>
      <c r="T76" s="277">
        <f t="shared" si="175"/>
        <v>33915589.560900003</v>
      </c>
      <c r="U76" s="277">
        <f t="shared" si="175"/>
        <v>58428069.743700005</v>
      </c>
      <c r="V76" s="277">
        <f t="shared" si="175"/>
        <v>78011618.391900003</v>
      </c>
      <c r="W76" s="277">
        <f t="shared" si="175"/>
        <v>88183515.912300006</v>
      </c>
      <c r="X76" s="277">
        <f t="shared" si="175"/>
        <v>85281236.596799999</v>
      </c>
      <c r="Y76" s="277">
        <f t="shared" si="175"/>
        <v>0</v>
      </c>
      <c r="Z76" s="277">
        <f t="shared" si="175"/>
        <v>0</v>
      </c>
      <c r="AA76" s="281">
        <f t="shared" si="24"/>
        <v>386888663.56050003</v>
      </c>
      <c r="AB76" s="403">
        <f t="shared" si="12"/>
        <v>617042782.15740001</v>
      </c>
      <c r="AC76" s="326">
        <f t="shared" si="13"/>
        <v>1.1459377413729128</v>
      </c>
    </row>
    <row r="77" spans="1:29" ht="25.5" hidden="1" x14ac:dyDescent="0.2">
      <c r="A77" s="424"/>
      <c r="B77" s="323" t="s">
        <v>462</v>
      </c>
      <c r="C77" s="206" t="s">
        <v>149</v>
      </c>
      <c r="D77" s="324">
        <f>+D73*1.7982%</f>
        <v>62937000.000000007</v>
      </c>
      <c r="E77" s="325">
        <f>SUM('ADICIONES  2021'!C77:N77)</f>
        <v>33985980</v>
      </c>
      <c r="F77" s="277">
        <f t="shared" ref="F77:J77" si="176">+F73*1.7982%</f>
        <v>0</v>
      </c>
      <c r="G77" s="277">
        <f t="shared" si="176"/>
        <v>0</v>
      </c>
      <c r="H77" s="277">
        <f t="shared" si="176"/>
        <v>0</v>
      </c>
      <c r="I77" s="277">
        <f t="shared" si="176"/>
        <v>0</v>
      </c>
      <c r="J77" s="277">
        <f t="shared" si="176"/>
        <v>0</v>
      </c>
      <c r="K77" s="281">
        <f t="shared" si="170"/>
        <v>96922980</v>
      </c>
      <c r="L77" s="277">
        <f t="shared" ref="L77:Q77" si="177">+L73*1.7982%</f>
        <v>13178526.655626001</v>
      </c>
      <c r="M77" s="277">
        <f t="shared" si="177"/>
        <v>4167849.8701080005</v>
      </c>
      <c r="N77" s="277">
        <f t="shared" si="177"/>
        <v>7140531.9903300004</v>
      </c>
      <c r="O77" s="277">
        <f t="shared" si="177"/>
        <v>5093457.7836600002</v>
      </c>
      <c r="P77" s="277">
        <f t="shared" si="177"/>
        <v>5101460.8705620002</v>
      </c>
      <c r="Q77" s="277">
        <f t="shared" si="177"/>
        <v>6745914.1771560004</v>
      </c>
      <c r="R77" s="281">
        <f t="shared" ref="R77:R141" si="178">SUM(L77:Q77)</f>
        <v>41427741.347442001</v>
      </c>
      <c r="S77" s="277">
        <f t="shared" ref="S77:Z77" si="179">+S73*1.7982%</f>
        <v>7752354.0038820002</v>
      </c>
      <c r="T77" s="277">
        <f t="shared" si="179"/>
        <v>6104806.1209620005</v>
      </c>
      <c r="U77" s="277">
        <f t="shared" si="179"/>
        <v>10517052.553866001</v>
      </c>
      <c r="V77" s="277">
        <f t="shared" si="179"/>
        <v>14042091.310542</v>
      </c>
      <c r="W77" s="277">
        <f t="shared" si="179"/>
        <v>15873032.864214001</v>
      </c>
      <c r="X77" s="277">
        <f t="shared" si="179"/>
        <v>15350622.587424001</v>
      </c>
      <c r="Y77" s="277">
        <f t="shared" si="179"/>
        <v>0</v>
      </c>
      <c r="Z77" s="277">
        <f t="shared" si="179"/>
        <v>0</v>
      </c>
      <c r="AA77" s="281">
        <f t="shared" si="24"/>
        <v>69639959.440889999</v>
      </c>
      <c r="AB77" s="403">
        <f t="shared" ref="AB77:AB141" si="180">+R77+AA77</f>
        <v>111067700.788332</v>
      </c>
      <c r="AC77" s="326">
        <f t="shared" ref="AC77:AC141" si="181">+AB77/K77</f>
        <v>1.1459377413729128</v>
      </c>
    </row>
    <row r="78" spans="1:29" ht="38.25" hidden="1" x14ac:dyDescent="0.2">
      <c r="A78" s="424"/>
      <c r="B78" s="323" t="s">
        <v>463</v>
      </c>
      <c r="C78" s="206" t="s">
        <v>150</v>
      </c>
      <c r="D78" s="324">
        <f>+D73*0.881118%</f>
        <v>30839130</v>
      </c>
      <c r="E78" s="325">
        <f>SUM('ADICIONES  2021'!C78:N78)</f>
        <v>16653130.199999999</v>
      </c>
      <c r="F78" s="277">
        <f t="shared" ref="F78:J78" si="182">+F73*0.881118%</f>
        <v>0</v>
      </c>
      <c r="G78" s="277">
        <f t="shared" si="182"/>
        <v>0</v>
      </c>
      <c r="H78" s="277">
        <f t="shared" si="182"/>
        <v>0</v>
      </c>
      <c r="I78" s="277">
        <f t="shared" si="182"/>
        <v>0</v>
      </c>
      <c r="J78" s="277">
        <f t="shared" si="182"/>
        <v>0</v>
      </c>
      <c r="K78" s="281">
        <f t="shared" si="170"/>
        <v>47492260.200000003</v>
      </c>
      <c r="L78" s="277">
        <f t="shared" ref="L78:Q78" si="183">+L73*0.881118%</f>
        <v>6457478.0612567402</v>
      </c>
      <c r="M78" s="277">
        <f t="shared" si="183"/>
        <v>2042246.43635292</v>
      </c>
      <c r="N78" s="277">
        <f t="shared" si="183"/>
        <v>3498860.6752617001</v>
      </c>
      <c r="O78" s="277">
        <f t="shared" si="183"/>
        <v>2495794.3139934</v>
      </c>
      <c r="P78" s="277">
        <f t="shared" si="183"/>
        <v>2499715.8265753798</v>
      </c>
      <c r="Q78" s="277">
        <f t="shared" si="183"/>
        <v>3305497.9468064401</v>
      </c>
      <c r="R78" s="281">
        <f t="shared" si="178"/>
        <v>20299593.260246582</v>
      </c>
      <c r="S78" s="277">
        <f t="shared" ref="S78:Z78" si="184">+S73*0.881118%</f>
        <v>3798653.4619021802</v>
      </c>
      <c r="T78" s="277">
        <f t="shared" si="184"/>
        <v>2991354.9992713802</v>
      </c>
      <c r="U78" s="277">
        <f t="shared" si="184"/>
        <v>5153355.7513943398</v>
      </c>
      <c r="V78" s="277">
        <f t="shared" si="184"/>
        <v>6880624.7421655804</v>
      </c>
      <c r="W78" s="277">
        <f t="shared" si="184"/>
        <v>7777786.1034648605</v>
      </c>
      <c r="X78" s="277">
        <f t="shared" si="184"/>
        <v>7521805.0678377599</v>
      </c>
      <c r="Y78" s="277">
        <f t="shared" si="184"/>
        <v>0</v>
      </c>
      <c r="Z78" s="277">
        <f t="shared" si="184"/>
        <v>0</v>
      </c>
      <c r="AA78" s="281">
        <f t="shared" si="24"/>
        <v>34123580.1260361</v>
      </c>
      <c r="AB78" s="403">
        <f t="shared" si="180"/>
        <v>54423173.386282682</v>
      </c>
      <c r="AC78" s="326">
        <f t="shared" si="181"/>
        <v>1.1459377413729128</v>
      </c>
    </row>
    <row r="79" spans="1:29" s="61" customFormat="1" ht="25.5" x14ac:dyDescent="0.2">
      <c r="A79" s="428">
        <v>1</v>
      </c>
      <c r="B79" s="318" t="s">
        <v>464</v>
      </c>
      <c r="C79" s="319" t="s">
        <v>465</v>
      </c>
      <c r="D79" s="283">
        <f>+D80+D87</f>
        <v>121699200000</v>
      </c>
      <c r="E79" s="322">
        <f>SUM('ADICIONES  2021'!C79:N79)</f>
        <v>2355000000</v>
      </c>
      <c r="F79" s="275">
        <f t="shared" ref="F79:J79" si="185">+F80+F87</f>
        <v>0</v>
      </c>
      <c r="G79" s="275">
        <f t="shared" si="185"/>
        <v>350000000</v>
      </c>
      <c r="H79" s="275">
        <f t="shared" si="185"/>
        <v>1559810323.22</v>
      </c>
      <c r="I79" s="275">
        <f t="shared" si="185"/>
        <v>0</v>
      </c>
      <c r="J79" s="275">
        <f t="shared" si="185"/>
        <v>0</v>
      </c>
      <c r="K79" s="276">
        <f t="shared" si="170"/>
        <v>122844389676.78</v>
      </c>
      <c r="L79" s="275">
        <f t="shared" ref="L79:Q79" si="186">+L80+L87</f>
        <v>14313551440.780798</v>
      </c>
      <c r="M79" s="275">
        <f t="shared" si="186"/>
        <v>12509345161.062401</v>
      </c>
      <c r="N79" s="275">
        <f t="shared" si="186"/>
        <v>9970196546.1247997</v>
      </c>
      <c r="O79" s="275">
        <f t="shared" si="186"/>
        <v>10331226345.958399</v>
      </c>
      <c r="P79" s="275">
        <f t="shared" si="186"/>
        <v>10668352261.235199</v>
      </c>
      <c r="Q79" s="275">
        <f t="shared" si="186"/>
        <v>9916741233.6767998</v>
      </c>
      <c r="R79" s="276">
        <f t="shared" si="178"/>
        <v>67709412988.838394</v>
      </c>
      <c r="S79" s="275">
        <f t="shared" ref="S79:Z79" si="187">+S80+S87</f>
        <v>8991385598.5791988</v>
      </c>
      <c r="T79" s="275">
        <f t="shared" si="187"/>
        <v>9352865642.8927994</v>
      </c>
      <c r="U79" s="275">
        <f t="shared" si="187"/>
        <v>11881615005.567999</v>
      </c>
      <c r="V79" s="275">
        <f t="shared" si="187"/>
        <v>11284242433.433598</v>
      </c>
      <c r="W79" s="275">
        <f t="shared" si="187"/>
        <v>12385412457.843199</v>
      </c>
      <c r="X79" s="275">
        <f>+X80+X87</f>
        <v>12350815462.1056</v>
      </c>
      <c r="Y79" s="275">
        <f t="shared" si="187"/>
        <v>-1796154912.4765136</v>
      </c>
      <c r="Z79" s="275">
        <f t="shared" si="187"/>
        <v>0</v>
      </c>
      <c r="AA79" s="276">
        <f t="shared" si="24"/>
        <v>64450181687.945885</v>
      </c>
      <c r="AB79" s="402">
        <f t="shared" si="180"/>
        <v>132159594676.78427</v>
      </c>
      <c r="AC79" s="321">
        <f t="shared" si="181"/>
        <v>1.0758293075045089</v>
      </c>
    </row>
    <row r="80" spans="1:29" s="19" customFormat="1" ht="25.5" x14ac:dyDescent="0.2">
      <c r="A80" s="429">
        <v>1</v>
      </c>
      <c r="B80" s="323" t="s">
        <v>952</v>
      </c>
      <c r="C80" s="206" t="s">
        <v>953</v>
      </c>
      <c r="D80" s="283">
        <f>SUM(D81:D86)</f>
        <v>117699200000</v>
      </c>
      <c r="E80" s="322">
        <f>SUM('ADICIONES  2021'!C80:N80)</f>
        <v>2355000000</v>
      </c>
      <c r="F80" s="279"/>
      <c r="G80" s="279">
        <f>SUM(G81:G86)</f>
        <v>350000000</v>
      </c>
      <c r="H80" s="279">
        <f>SUM(H81:H86)</f>
        <v>1559810323.22</v>
      </c>
      <c r="I80" s="279"/>
      <c r="J80" s="279"/>
      <c r="K80" s="281">
        <f t="shared" si="170"/>
        <v>118844389676.78</v>
      </c>
      <c r="L80" s="279">
        <f t="shared" ref="L80:P80" si="188">SUM(L81:L86)</f>
        <v>14180402440.780798</v>
      </c>
      <c r="M80" s="279">
        <f t="shared" si="188"/>
        <v>12378033161.062401</v>
      </c>
      <c r="N80" s="279">
        <f t="shared" si="188"/>
        <v>9716462546.1247997</v>
      </c>
      <c r="O80" s="279">
        <f t="shared" si="188"/>
        <v>10243426345.958399</v>
      </c>
      <c r="P80" s="279">
        <f t="shared" si="188"/>
        <v>10564969261.235199</v>
      </c>
      <c r="Q80" s="279">
        <f>SUM(Q81:Q86)</f>
        <v>9823046233.6767998</v>
      </c>
      <c r="R80" s="281">
        <f t="shared" si="178"/>
        <v>66906339988.838394</v>
      </c>
      <c r="S80" s="277">
        <f t="shared" ref="S80:W80" si="189">SUM(S81:S86)</f>
        <v>8935814598.5791988</v>
      </c>
      <c r="T80" s="277">
        <f t="shared" si="189"/>
        <v>9188468642.8927994</v>
      </c>
      <c r="U80" s="277">
        <f t="shared" si="189"/>
        <v>11814415005.567999</v>
      </c>
      <c r="V80" s="277">
        <f t="shared" si="189"/>
        <v>11114948433.433598</v>
      </c>
      <c r="W80" s="277">
        <f t="shared" si="189"/>
        <v>12235031457.843199</v>
      </c>
      <c r="X80" s="277">
        <f>SUM(X81:X86)</f>
        <v>12233580462.1056</v>
      </c>
      <c r="Y80" s="277">
        <f>SUM(Y81:Y86)</f>
        <v>-1796154912.4765136</v>
      </c>
      <c r="Z80" s="279"/>
      <c r="AA80" s="276">
        <f t="shared" si="24"/>
        <v>63726103687.945885</v>
      </c>
      <c r="AB80" s="403">
        <f t="shared" si="180"/>
        <v>130632443676.78427</v>
      </c>
      <c r="AC80" s="326">
        <f t="shared" si="181"/>
        <v>1.099188981760638</v>
      </c>
    </row>
    <row r="81" spans="1:29" ht="25.5" hidden="1" x14ac:dyDescent="0.2">
      <c r="A81" s="424"/>
      <c r="B81" s="323" t="s">
        <v>954</v>
      </c>
      <c r="C81" s="206" t="s">
        <v>955</v>
      </c>
      <c r="D81" s="324">
        <v>101737552500</v>
      </c>
      <c r="E81" s="325">
        <f>SUM('ADICIONES  2021'!C81:N81)</f>
        <v>1862742791.0999999</v>
      </c>
      <c r="F81" s="277">
        <f>+F80*81.390042%</f>
        <v>0</v>
      </c>
      <c r="G81" s="277">
        <v>350000000</v>
      </c>
      <c r="H81" s="277">
        <v>1559810323.22</v>
      </c>
      <c r="I81" s="277">
        <f t="shared" ref="I81:J81" si="190">+I80*81.390042%</f>
        <v>0</v>
      </c>
      <c r="J81" s="277">
        <f t="shared" si="190"/>
        <v>0</v>
      </c>
      <c r="K81" s="281">
        <f t="shared" si="170"/>
        <v>102390484967.88</v>
      </c>
      <c r="L81" s="277">
        <f>15060003000*81.390042%</f>
        <v>12257342766.901258</v>
      </c>
      <c r="M81" s="277">
        <f>13145834000*81.390042%</f>
        <v>10699399813.850279</v>
      </c>
      <c r="N81" s="277">
        <f>10319168000*81.390042%</f>
        <v>8398775169.2505598</v>
      </c>
      <c r="O81" s="277">
        <f>10878819000*81.390042%</f>
        <v>8854275353.2039795</v>
      </c>
      <c r="P81" s="277">
        <f>11220307000*81.390042%</f>
        <v>9132212579.8289394</v>
      </c>
      <c r="Q81" s="277">
        <f>10432363000*81.390042%</f>
        <v>8490904627.2924595</v>
      </c>
      <c r="R81" s="281">
        <f t="shared" si="178"/>
        <v>57832910310.327477</v>
      </c>
      <c r="S81" s="277">
        <f>9490097000*81.390042%</f>
        <v>7723993934.1407394</v>
      </c>
      <c r="T81" s="277">
        <f>9758423000*81.390042%</f>
        <v>7942384578.2376595</v>
      </c>
      <c r="U81" s="277">
        <f>12547255000*81.390042%</f>
        <v>10212216114.347099</v>
      </c>
      <c r="V81" s="277">
        <f>11804401000*81.390042%</f>
        <v>9607606931.7484188</v>
      </c>
      <c r="W81" s="277">
        <f>12993962000*81.390042%</f>
        <v>10575791129.26404</v>
      </c>
      <c r="X81" s="277">
        <f>12992421000*81.390042%</f>
        <v>10574536908.71682</v>
      </c>
      <c r="Y81" s="277">
        <v>-1796155040.169693</v>
      </c>
      <c r="Z81" s="277">
        <f t="shared" ref="Z81" si="191">+Z80*81.390042%</f>
        <v>0</v>
      </c>
      <c r="AA81" s="281">
        <f t="shared" si="24"/>
        <v>54840374556.28508</v>
      </c>
      <c r="AB81" s="403">
        <f t="shared" si="180"/>
        <v>112673284866.61255</v>
      </c>
      <c r="AC81" s="326">
        <f t="shared" si="181"/>
        <v>1.1004272994893838</v>
      </c>
    </row>
    <row r="82" spans="1:29" ht="25.5" hidden="1" x14ac:dyDescent="0.2">
      <c r="A82" s="424"/>
      <c r="B82" s="323" t="s">
        <v>954</v>
      </c>
      <c r="C82" s="206" t="s">
        <v>955</v>
      </c>
      <c r="D82" s="324"/>
      <c r="E82" s="325">
        <f>SUM('ADICIONES  2021'!C82:N82)</f>
        <v>0</v>
      </c>
      <c r="F82" s="277"/>
      <c r="G82" s="277"/>
      <c r="H82" s="277"/>
      <c r="I82" s="277"/>
      <c r="J82" s="277"/>
      <c r="K82" s="281">
        <f t="shared" si="170"/>
        <v>0</v>
      </c>
      <c r="L82" s="277"/>
      <c r="M82" s="277"/>
      <c r="N82" s="277"/>
      <c r="O82" s="277"/>
      <c r="P82" s="277"/>
      <c r="Q82" s="277"/>
      <c r="R82" s="281">
        <f t="shared" si="178"/>
        <v>0</v>
      </c>
      <c r="S82" s="277"/>
      <c r="T82" s="277"/>
      <c r="U82" s="277"/>
      <c r="V82" s="277"/>
      <c r="W82" s="277"/>
      <c r="X82" s="277"/>
      <c r="Y82" s="277"/>
      <c r="Z82" s="277"/>
      <c r="AA82" s="281">
        <f t="shared" ref="AA82" si="192">SUM(S82:Z82)</f>
        <v>0</v>
      </c>
      <c r="AB82" s="403">
        <f t="shared" si="180"/>
        <v>0</v>
      </c>
      <c r="AC82" s="326" t="e">
        <f t="shared" si="181"/>
        <v>#DIV/0!</v>
      </c>
    </row>
    <row r="83" spans="1:29" ht="25.5" hidden="1" x14ac:dyDescent="0.2">
      <c r="A83" s="424"/>
      <c r="B83" s="323" t="s">
        <v>956</v>
      </c>
      <c r="C83" s="206" t="s">
        <v>957</v>
      </c>
      <c r="D83" s="324">
        <v>125000000</v>
      </c>
      <c r="E83" s="325">
        <f>SUM('ADICIONES  2021'!C83:N83)</f>
        <v>3855000</v>
      </c>
      <c r="F83" s="277">
        <f t="shared" ref="F83:J83" si="193">+F80*0.1%</f>
        <v>0</v>
      </c>
      <c r="G83" s="277">
        <v>0</v>
      </c>
      <c r="H83" s="277"/>
      <c r="I83" s="277">
        <f t="shared" si="193"/>
        <v>0</v>
      </c>
      <c r="J83" s="277">
        <f t="shared" si="193"/>
        <v>0</v>
      </c>
      <c r="K83" s="281">
        <f t="shared" si="170"/>
        <v>128855000</v>
      </c>
      <c r="L83" s="277">
        <f>15060003000*0.1%</f>
        <v>15060003</v>
      </c>
      <c r="M83" s="277">
        <f>13145834000*0.1%</f>
        <v>13145834</v>
      </c>
      <c r="N83" s="277">
        <f>10319168000*0.1%</f>
        <v>10319168</v>
      </c>
      <c r="O83" s="277">
        <f>10878819000*0.1%</f>
        <v>10878819</v>
      </c>
      <c r="P83" s="277">
        <f>11220307000*0.1%</f>
        <v>11220307</v>
      </c>
      <c r="Q83" s="277">
        <f>10432363000*0.1%</f>
        <v>10432363</v>
      </c>
      <c r="R83" s="281">
        <f t="shared" si="178"/>
        <v>71056494</v>
      </c>
      <c r="S83" s="277">
        <f>9490097000*0.1%</f>
        <v>9490097</v>
      </c>
      <c r="T83" s="277">
        <f>9758423000*0.1%</f>
        <v>9758423</v>
      </c>
      <c r="U83" s="277">
        <f>12547255000*0.1%</f>
        <v>12547255</v>
      </c>
      <c r="V83" s="277">
        <f>11804401000*0.1%</f>
        <v>11804401</v>
      </c>
      <c r="W83" s="277">
        <f>12993962000*0.1%</f>
        <v>12993962</v>
      </c>
      <c r="X83" s="277">
        <f>12992421000*0.1%</f>
        <v>12992421</v>
      </c>
      <c r="Y83" s="277">
        <v>1</v>
      </c>
      <c r="Z83" s="277">
        <f t="shared" ref="Z83" si="194">+Z80*0.1%</f>
        <v>0</v>
      </c>
      <c r="AA83" s="281">
        <f t="shared" ref="AA83:AA146" si="195">SUM(S83:Z83)</f>
        <v>69586560</v>
      </c>
      <c r="AB83" s="403">
        <f t="shared" si="180"/>
        <v>140643054</v>
      </c>
      <c r="AC83" s="326">
        <f t="shared" si="181"/>
        <v>1.0914830933995576</v>
      </c>
    </row>
    <row r="84" spans="1:29" ht="14.25" hidden="1" x14ac:dyDescent="0.2">
      <c r="A84" s="424"/>
      <c r="B84" s="323" t="s">
        <v>958</v>
      </c>
      <c r="C84" s="206" t="s">
        <v>959</v>
      </c>
      <c r="D84" s="324">
        <v>12487500000</v>
      </c>
      <c r="E84" s="325">
        <f>SUM('ADICIONES  2021'!C84:N84)</f>
        <v>385114500</v>
      </c>
      <c r="F84" s="277">
        <f t="shared" ref="F84:J84" si="196">+F80*9.99%</f>
        <v>0</v>
      </c>
      <c r="G84" s="277">
        <v>0</v>
      </c>
      <c r="H84" s="277"/>
      <c r="I84" s="277">
        <f t="shared" si="196"/>
        <v>0</v>
      </c>
      <c r="J84" s="277">
        <f t="shared" si="196"/>
        <v>0</v>
      </c>
      <c r="K84" s="281">
        <f t="shared" si="170"/>
        <v>12872614500</v>
      </c>
      <c r="L84" s="277">
        <f>15060003000*9.99%</f>
        <v>1504494299.7</v>
      </c>
      <c r="M84" s="277">
        <f>13145834000*9.99%</f>
        <v>1313268816.6000001</v>
      </c>
      <c r="N84" s="277">
        <f>10319168000*9.99%</f>
        <v>1030884883.2</v>
      </c>
      <c r="O84" s="277">
        <f>10878819000*9.99%</f>
        <v>1086794018.1000001</v>
      </c>
      <c r="P84" s="277">
        <f>11220307000*9.99%</f>
        <v>1120908669.3</v>
      </c>
      <c r="Q84" s="277">
        <f>10432363000*9.99%</f>
        <v>1042193063.7</v>
      </c>
      <c r="R84" s="281">
        <f t="shared" si="178"/>
        <v>7098543750.6000004</v>
      </c>
      <c r="S84" s="277">
        <f>9490097000*9.99%</f>
        <v>948060690.30000007</v>
      </c>
      <c r="T84" s="277">
        <f>9758423000*9.99%</f>
        <v>974866457.70000005</v>
      </c>
      <c r="U84" s="277">
        <f>12547255000*9.99%</f>
        <v>1253470774.5</v>
      </c>
      <c r="V84" s="277">
        <f>11804401000*9.99%</f>
        <v>1179259659.9000001</v>
      </c>
      <c r="W84" s="277">
        <f>12993962000*9.99%</f>
        <v>1298096803.8</v>
      </c>
      <c r="X84" s="277">
        <f>12992421000*9.99%</f>
        <v>1297942857.9000001</v>
      </c>
      <c r="Y84" s="277">
        <v>99.899999618530273</v>
      </c>
      <c r="Z84" s="277">
        <f t="shared" ref="Z84" si="197">+Z80*9.99%</f>
        <v>0</v>
      </c>
      <c r="AA84" s="281">
        <f t="shared" si="195"/>
        <v>6951697344</v>
      </c>
      <c r="AB84" s="403">
        <f t="shared" si="180"/>
        <v>14050241094.6</v>
      </c>
      <c r="AC84" s="326">
        <f t="shared" si="181"/>
        <v>1.0914830933995576</v>
      </c>
    </row>
    <row r="85" spans="1:29" ht="25.5" hidden="1" x14ac:dyDescent="0.2">
      <c r="A85" s="424"/>
      <c r="B85" s="323" t="s">
        <v>960</v>
      </c>
      <c r="C85" s="206" t="s">
        <v>961</v>
      </c>
      <c r="D85" s="332">
        <v>2247750000</v>
      </c>
      <c r="E85" s="325">
        <f>SUM('ADICIONES  2021'!C85:N85)</f>
        <v>69320610</v>
      </c>
      <c r="F85" s="277">
        <f t="shared" ref="F85:J85" si="198">+F80*1.7982%</f>
        <v>0</v>
      </c>
      <c r="G85" s="277">
        <v>0</v>
      </c>
      <c r="H85" s="277"/>
      <c r="I85" s="277">
        <f t="shared" si="198"/>
        <v>0</v>
      </c>
      <c r="J85" s="277">
        <f t="shared" si="198"/>
        <v>0</v>
      </c>
      <c r="K85" s="281">
        <f t="shared" si="170"/>
        <v>2317070610</v>
      </c>
      <c r="L85" s="277">
        <f>15060003000*1.7982%</f>
        <v>270808973.94600004</v>
      </c>
      <c r="M85" s="277">
        <f>13145834000*1.7982%</f>
        <v>236388386.98800001</v>
      </c>
      <c r="N85" s="277">
        <f>10319168000*1.7982%</f>
        <v>185559278.97600001</v>
      </c>
      <c r="O85" s="277">
        <f>10878819000*1.7982%</f>
        <v>195622923.25800002</v>
      </c>
      <c r="P85" s="277">
        <f>11220307000*1.7982%</f>
        <v>201763560.47400001</v>
      </c>
      <c r="Q85" s="277">
        <f>10432363000*1.7982%</f>
        <v>187594751.46600002</v>
      </c>
      <c r="R85" s="281">
        <f t="shared" si="178"/>
        <v>1277737875.1080003</v>
      </c>
      <c r="S85" s="277">
        <f>9490097000*1.7982%</f>
        <v>170650924.25400001</v>
      </c>
      <c r="T85" s="277">
        <f>9758423000*1.7982%</f>
        <v>175475962.38600001</v>
      </c>
      <c r="U85" s="277">
        <f>12547255000*1.7982%</f>
        <v>225624739.41000003</v>
      </c>
      <c r="V85" s="277">
        <f>11804401000*1.7982%</f>
        <v>212266738.78200001</v>
      </c>
      <c r="W85" s="277">
        <f>12993962000*1.7982%</f>
        <v>233657424.68400002</v>
      </c>
      <c r="X85" s="277">
        <f>12992421000*1.7982%</f>
        <v>233629714.42200002</v>
      </c>
      <c r="Y85" s="277">
        <v>17.98199987411499</v>
      </c>
      <c r="Z85" s="277">
        <f t="shared" ref="Z85" si="199">+Z80*1.7982%</f>
        <v>0</v>
      </c>
      <c r="AA85" s="281">
        <f t="shared" si="195"/>
        <v>1251305521.9199998</v>
      </c>
      <c r="AB85" s="403">
        <f t="shared" si="180"/>
        <v>2529043397.0279999</v>
      </c>
      <c r="AC85" s="326">
        <f t="shared" si="181"/>
        <v>1.0914830933995576</v>
      </c>
    </row>
    <row r="86" spans="1:29" ht="38.25" hidden="1" x14ac:dyDescent="0.2">
      <c r="A86" s="424"/>
      <c r="B86" s="323" t="s">
        <v>962</v>
      </c>
      <c r="C86" s="206" t="s">
        <v>963</v>
      </c>
      <c r="D86" s="324">
        <v>1101397500</v>
      </c>
      <c r="E86" s="325">
        <f>SUM('ADICIONES  2021'!C86:N86)</f>
        <v>33967098.899999999</v>
      </c>
      <c r="F86" s="277">
        <f t="shared" ref="F86:J86" si="200">+F80*0.881118%</f>
        <v>0</v>
      </c>
      <c r="G86" s="277">
        <v>0</v>
      </c>
      <c r="H86" s="277"/>
      <c r="I86" s="277">
        <f t="shared" si="200"/>
        <v>0</v>
      </c>
      <c r="J86" s="277">
        <f t="shared" si="200"/>
        <v>0</v>
      </c>
      <c r="K86" s="281">
        <f t="shared" si="170"/>
        <v>1135364598.9000001</v>
      </c>
      <c r="L86" s="277">
        <f>15060003000*0.881118%</f>
        <v>132696397.23354</v>
      </c>
      <c r="M86" s="277">
        <f>13145834000*0.881118%</f>
        <v>115830309.62412</v>
      </c>
      <c r="N86" s="277">
        <f>10319168000*0.881118%</f>
        <v>90924046.698239997</v>
      </c>
      <c r="O86" s="277">
        <f>10878819000*0.881118%</f>
        <v>95855232.396420002</v>
      </c>
      <c r="P86" s="277">
        <f>11220307000*0.881118%</f>
        <v>98864144.632259995</v>
      </c>
      <c r="Q86" s="277">
        <f>10432363000*0.881118%</f>
        <v>91921428.218339995</v>
      </c>
      <c r="R86" s="281">
        <f t="shared" si="178"/>
        <v>626091558.80291998</v>
      </c>
      <c r="S86" s="277">
        <f>9490097000*0.881118%</f>
        <v>83618952.884460002</v>
      </c>
      <c r="T86" s="277">
        <f>9758423000*0.881118%</f>
        <v>85983221.569140002</v>
      </c>
      <c r="U86" s="277">
        <f>12547255000*0.881118%</f>
        <v>110556122.3109</v>
      </c>
      <c r="V86" s="277">
        <f>11804401000*0.881118%</f>
        <v>104010702.00318</v>
      </c>
      <c r="W86" s="277">
        <f>12993962000*0.881118%</f>
        <v>114492138.09516001</v>
      </c>
      <c r="X86" s="277">
        <f>12992421000*0.881118%</f>
        <v>114478560.06678</v>
      </c>
      <c r="Y86" s="277">
        <v>8.8111798763275146</v>
      </c>
      <c r="Z86" s="277">
        <f t="shared" ref="Z86" si="201">+Z80*0.881118%</f>
        <v>0</v>
      </c>
      <c r="AA86" s="281">
        <f t="shared" si="195"/>
        <v>613139705.7407999</v>
      </c>
      <c r="AB86" s="403">
        <f t="shared" si="180"/>
        <v>1239231264.5437198</v>
      </c>
      <c r="AC86" s="326">
        <f t="shared" si="181"/>
        <v>1.0914830933995574</v>
      </c>
    </row>
    <row r="87" spans="1:29" s="19" customFormat="1" ht="25.5" x14ac:dyDescent="0.2">
      <c r="A87" s="429">
        <v>1</v>
      </c>
      <c r="B87" s="323" t="s">
        <v>466</v>
      </c>
      <c r="C87" s="206" t="s">
        <v>467</v>
      </c>
      <c r="D87" s="283">
        <v>4000000000</v>
      </c>
      <c r="E87" s="322">
        <f>SUM('ADICIONES  2021'!C87:N87)</f>
        <v>0</v>
      </c>
      <c r="F87" s="279"/>
      <c r="G87" s="279"/>
      <c r="H87" s="279"/>
      <c r="I87" s="279"/>
      <c r="J87" s="279"/>
      <c r="K87" s="281">
        <f t="shared" si="170"/>
        <v>4000000000</v>
      </c>
      <c r="L87" s="279">
        <v>133149000</v>
      </c>
      <c r="M87" s="279">
        <v>131312000</v>
      </c>
      <c r="N87" s="279">
        <v>253734000</v>
      </c>
      <c r="O87" s="279">
        <v>87800000</v>
      </c>
      <c r="P87" s="279">
        <v>103383000</v>
      </c>
      <c r="Q87" s="279">
        <v>93695000</v>
      </c>
      <c r="R87" s="281">
        <f t="shared" si="178"/>
        <v>803073000</v>
      </c>
      <c r="S87" s="277">
        <v>55571000</v>
      </c>
      <c r="T87" s="277">
        <v>164397000</v>
      </c>
      <c r="U87" s="277">
        <v>67200000</v>
      </c>
      <c r="V87" s="277">
        <v>169294000</v>
      </c>
      <c r="W87" s="277">
        <v>150381000</v>
      </c>
      <c r="X87" s="277">
        <v>117235000</v>
      </c>
      <c r="Y87" s="277"/>
      <c r="Z87" s="279"/>
      <c r="AA87" s="276">
        <f t="shared" si="195"/>
        <v>724078000</v>
      </c>
      <c r="AB87" s="403">
        <f t="shared" si="180"/>
        <v>1527151000</v>
      </c>
      <c r="AC87" s="326">
        <f t="shared" si="181"/>
        <v>0.38178774999999998</v>
      </c>
    </row>
    <row r="88" spans="1:29" ht="25.5" hidden="1" x14ac:dyDescent="0.2">
      <c r="A88" s="424"/>
      <c r="B88" s="323" t="s">
        <v>468</v>
      </c>
      <c r="C88" s="206" t="s">
        <v>151</v>
      </c>
      <c r="D88" s="324">
        <f>+D87*87.230682%</f>
        <v>3489227280</v>
      </c>
      <c r="E88" s="325">
        <f>SUM('ADICIONES  2021'!C88:N88)</f>
        <v>0</v>
      </c>
      <c r="F88" s="277">
        <f t="shared" ref="F88:J88" si="202">+F87*87.230682%</f>
        <v>0</v>
      </c>
      <c r="G88" s="277">
        <f t="shared" si="202"/>
        <v>0</v>
      </c>
      <c r="H88" s="277">
        <f t="shared" si="202"/>
        <v>0</v>
      </c>
      <c r="I88" s="277">
        <f t="shared" si="202"/>
        <v>0</v>
      </c>
      <c r="J88" s="277">
        <f t="shared" si="202"/>
        <v>0</v>
      </c>
      <c r="K88" s="281">
        <f t="shared" si="170"/>
        <v>3489227280</v>
      </c>
      <c r="L88" s="277">
        <f t="shared" ref="L88:Q88" si="203">+L87*87.230682%</f>
        <v>116146780.77618</v>
      </c>
      <c r="M88" s="277">
        <f t="shared" si="203"/>
        <v>114544353.14784001</v>
      </c>
      <c r="N88" s="277">
        <f t="shared" si="203"/>
        <v>221333898.66588002</v>
      </c>
      <c r="O88" s="277">
        <f t="shared" si="203"/>
        <v>76588538.796000004</v>
      </c>
      <c r="P88" s="277">
        <f t="shared" si="203"/>
        <v>90181695.97206001</v>
      </c>
      <c r="Q88" s="277">
        <f t="shared" si="203"/>
        <v>81730787.499899998</v>
      </c>
      <c r="R88" s="281">
        <f t="shared" si="178"/>
        <v>700526054.85785997</v>
      </c>
      <c r="S88" s="277">
        <f t="shared" ref="S88:Z88" si="204">+S87*87.230682%</f>
        <v>48474962.294220001</v>
      </c>
      <c r="T88" s="277">
        <f t="shared" si="204"/>
        <v>143404624.28754002</v>
      </c>
      <c r="U88" s="277">
        <f t="shared" si="204"/>
        <v>58619018.304000005</v>
      </c>
      <c r="V88" s="277">
        <f t="shared" si="204"/>
        <v>147676310.78508002</v>
      </c>
      <c r="W88" s="277">
        <f t="shared" si="204"/>
        <v>131178371.89842001</v>
      </c>
      <c r="X88" s="277">
        <f t="shared" si="204"/>
        <v>102264890.04270001</v>
      </c>
      <c r="Y88" s="277">
        <f t="shared" si="204"/>
        <v>0</v>
      </c>
      <c r="Z88" s="277">
        <f t="shared" si="204"/>
        <v>0</v>
      </c>
      <c r="AA88" s="281">
        <f t="shared" si="195"/>
        <v>631618177.61196005</v>
      </c>
      <c r="AB88" s="403">
        <f t="shared" si="180"/>
        <v>1332144232.46982</v>
      </c>
      <c r="AC88" s="326">
        <f t="shared" si="181"/>
        <v>0.38178774999999998</v>
      </c>
    </row>
    <row r="89" spans="1:29" ht="25.5" hidden="1" x14ac:dyDescent="0.2">
      <c r="A89" s="424"/>
      <c r="B89" s="323" t="s">
        <v>469</v>
      </c>
      <c r="C89" s="206" t="s">
        <v>152</v>
      </c>
      <c r="D89" s="324">
        <f>+D87*0.1%</f>
        <v>4000000</v>
      </c>
      <c r="E89" s="325">
        <f>SUM('ADICIONES  2021'!C89:N89)</f>
        <v>0</v>
      </c>
      <c r="F89" s="277">
        <f t="shared" ref="F89:J89" si="205">+F87*0.1%</f>
        <v>0</v>
      </c>
      <c r="G89" s="277">
        <f t="shared" si="205"/>
        <v>0</v>
      </c>
      <c r="H89" s="277">
        <f t="shared" si="205"/>
        <v>0</v>
      </c>
      <c r="I89" s="277">
        <f t="shared" si="205"/>
        <v>0</v>
      </c>
      <c r="J89" s="277">
        <f t="shared" si="205"/>
        <v>0</v>
      </c>
      <c r="K89" s="281">
        <f t="shared" si="170"/>
        <v>4000000</v>
      </c>
      <c r="L89" s="277">
        <f t="shared" ref="L89:Q89" si="206">+L87*0.1%</f>
        <v>133149</v>
      </c>
      <c r="M89" s="277">
        <f t="shared" si="206"/>
        <v>131312</v>
      </c>
      <c r="N89" s="277">
        <f t="shared" si="206"/>
        <v>253734</v>
      </c>
      <c r="O89" s="277">
        <f t="shared" si="206"/>
        <v>87800</v>
      </c>
      <c r="P89" s="277">
        <f t="shared" si="206"/>
        <v>103383</v>
      </c>
      <c r="Q89" s="277">
        <f t="shared" si="206"/>
        <v>93695</v>
      </c>
      <c r="R89" s="281">
        <f t="shared" si="178"/>
        <v>803073</v>
      </c>
      <c r="S89" s="277">
        <f t="shared" ref="S89:Z89" si="207">+S87*0.1%</f>
        <v>55571</v>
      </c>
      <c r="T89" s="277">
        <f t="shared" si="207"/>
        <v>164397</v>
      </c>
      <c r="U89" s="277">
        <f t="shared" si="207"/>
        <v>67200</v>
      </c>
      <c r="V89" s="277">
        <f t="shared" si="207"/>
        <v>169294</v>
      </c>
      <c r="W89" s="277">
        <f t="shared" si="207"/>
        <v>150381</v>
      </c>
      <c r="X89" s="277">
        <f t="shared" si="207"/>
        <v>117235</v>
      </c>
      <c r="Y89" s="277">
        <f t="shared" si="207"/>
        <v>0</v>
      </c>
      <c r="Z89" s="277">
        <f t="shared" si="207"/>
        <v>0</v>
      </c>
      <c r="AA89" s="281">
        <f t="shared" si="195"/>
        <v>724078</v>
      </c>
      <c r="AB89" s="403">
        <f t="shared" si="180"/>
        <v>1527151</v>
      </c>
      <c r="AC89" s="326">
        <f t="shared" si="181"/>
        <v>0.38178774999999998</v>
      </c>
    </row>
    <row r="90" spans="1:29" ht="25.5" hidden="1" x14ac:dyDescent="0.2">
      <c r="A90" s="424"/>
      <c r="B90" s="323" t="s">
        <v>470</v>
      </c>
      <c r="C90" s="329" t="s">
        <v>153</v>
      </c>
      <c r="D90" s="324">
        <f>+D87*9.99%</f>
        <v>399600000</v>
      </c>
      <c r="E90" s="325">
        <f>SUM('ADICIONES  2021'!C90:N90)</f>
        <v>0</v>
      </c>
      <c r="F90" s="277">
        <f t="shared" ref="F90:J90" si="208">+F87*9.99%</f>
        <v>0</v>
      </c>
      <c r="G90" s="277">
        <f t="shared" si="208"/>
        <v>0</v>
      </c>
      <c r="H90" s="277">
        <f t="shared" si="208"/>
        <v>0</v>
      </c>
      <c r="I90" s="277">
        <f t="shared" si="208"/>
        <v>0</v>
      </c>
      <c r="J90" s="277">
        <f t="shared" si="208"/>
        <v>0</v>
      </c>
      <c r="K90" s="281">
        <f t="shared" si="170"/>
        <v>399600000</v>
      </c>
      <c r="L90" s="277">
        <f t="shared" ref="L90:Q90" si="209">+L87*9.99%</f>
        <v>13301585.1</v>
      </c>
      <c r="M90" s="277">
        <f t="shared" si="209"/>
        <v>13118068.800000001</v>
      </c>
      <c r="N90" s="277">
        <f t="shared" si="209"/>
        <v>25348026.600000001</v>
      </c>
      <c r="O90" s="277">
        <f t="shared" si="209"/>
        <v>8771220</v>
      </c>
      <c r="P90" s="277">
        <f t="shared" si="209"/>
        <v>10327961.700000001</v>
      </c>
      <c r="Q90" s="277">
        <f t="shared" si="209"/>
        <v>9360130.5</v>
      </c>
      <c r="R90" s="281">
        <f t="shared" si="178"/>
        <v>80226992.700000003</v>
      </c>
      <c r="S90" s="277">
        <f t="shared" ref="S90:Z90" si="210">+S87*9.99%</f>
        <v>5551542.9000000004</v>
      </c>
      <c r="T90" s="277">
        <f t="shared" si="210"/>
        <v>16423260.300000001</v>
      </c>
      <c r="U90" s="277">
        <f t="shared" si="210"/>
        <v>6713280</v>
      </c>
      <c r="V90" s="277">
        <f t="shared" si="210"/>
        <v>16912470.600000001</v>
      </c>
      <c r="W90" s="277">
        <f t="shared" si="210"/>
        <v>15023061.9</v>
      </c>
      <c r="X90" s="277">
        <f t="shared" si="210"/>
        <v>11711776.5</v>
      </c>
      <c r="Y90" s="277">
        <f t="shared" si="210"/>
        <v>0</v>
      </c>
      <c r="Z90" s="277">
        <f t="shared" si="210"/>
        <v>0</v>
      </c>
      <c r="AA90" s="281">
        <f t="shared" si="195"/>
        <v>72335392.200000003</v>
      </c>
      <c r="AB90" s="403">
        <f t="shared" si="180"/>
        <v>152562384.90000001</v>
      </c>
      <c r="AC90" s="326">
        <f t="shared" si="181"/>
        <v>0.38178775000000004</v>
      </c>
    </row>
    <row r="91" spans="1:29" ht="25.5" hidden="1" x14ac:dyDescent="0.2">
      <c r="A91" s="424"/>
      <c r="B91" s="323" t="s">
        <v>471</v>
      </c>
      <c r="C91" s="206" t="s">
        <v>154</v>
      </c>
      <c r="D91" s="324">
        <f>+D87*1.7982%</f>
        <v>71928000</v>
      </c>
      <c r="E91" s="325">
        <f>SUM('ADICIONES  2021'!C91:N91)</f>
        <v>0</v>
      </c>
      <c r="F91" s="277">
        <f t="shared" ref="F91:J91" si="211">+F87*1.7982%</f>
        <v>0</v>
      </c>
      <c r="G91" s="277">
        <f t="shared" si="211"/>
        <v>0</v>
      </c>
      <c r="H91" s="277">
        <f t="shared" si="211"/>
        <v>0</v>
      </c>
      <c r="I91" s="277">
        <f t="shared" si="211"/>
        <v>0</v>
      </c>
      <c r="J91" s="277">
        <f t="shared" si="211"/>
        <v>0</v>
      </c>
      <c r="K91" s="281">
        <f t="shared" si="170"/>
        <v>71928000</v>
      </c>
      <c r="L91" s="277">
        <f t="shared" ref="L91:Q91" si="212">+L87*1.7982%</f>
        <v>2394285.318</v>
      </c>
      <c r="M91" s="277">
        <f t="shared" si="212"/>
        <v>2361252.3840000001</v>
      </c>
      <c r="N91" s="277">
        <f t="shared" si="212"/>
        <v>4562644.7880000006</v>
      </c>
      <c r="O91" s="277">
        <f t="shared" si="212"/>
        <v>1578819.6</v>
      </c>
      <c r="P91" s="277">
        <f t="shared" si="212"/>
        <v>1859033.1060000001</v>
      </c>
      <c r="Q91" s="277">
        <f t="shared" si="212"/>
        <v>1684823.4900000002</v>
      </c>
      <c r="R91" s="281">
        <f t="shared" si="178"/>
        <v>14440858.686000001</v>
      </c>
      <c r="S91" s="277">
        <f t="shared" ref="S91:Z91" si="213">+S87*1.7982%</f>
        <v>999277.72200000007</v>
      </c>
      <c r="T91" s="277">
        <f t="shared" si="213"/>
        <v>2956186.8540000003</v>
      </c>
      <c r="U91" s="277">
        <f t="shared" si="213"/>
        <v>1208390.4000000001</v>
      </c>
      <c r="V91" s="277">
        <f t="shared" si="213"/>
        <v>3044244.7080000001</v>
      </c>
      <c r="W91" s="277">
        <f t="shared" si="213"/>
        <v>2704151.142</v>
      </c>
      <c r="X91" s="277">
        <f t="shared" si="213"/>
        <v>2108119.77</v>
      </c>
      <c r="Y91" s="277">
        <f t="shared" si="213"/>
        <v>0</v>
      </c>
      <c r="Z91" s="277">
        <f t="shared" si="213"/>
        <v>0</v>
      </c>
      <c r="AA91" s="281">
        <f t="shared" si="195"/>
        <v>13020370.596000001</v>
      </c>
      <c r="AB91" s="403">
        <f t="shared" si="180"/>
        <v>27461229.282000002</v>
      </c>
      <c r="AC91" s="326">
        <f t="shared" si="181"/>
        <v>0.38178775000000004</v>
      </c>
    </row>
    <row r="92" spans="1:29" ht="38.25" hidden="1" x14ac:dyDescent="0.2">
      <c r="A92" s="424"/>
      <c r="B92" s="323" t="s">
        <v>472</v>
      </c>
      <c r="C92" s="206" t="s">
        <v>155</v>
      </c>
      <c r="D92" s="324">
        <f>+D87*0.881118%</f>
        <v>35244720</v>
      </c>
      <c r="E92" s="325">
        <f>SUM('ADICIONES  2021'!C92:N92)</f>
        <v>0</v>
      </c>
      <c r="F92" s="277">
        <f t="shared" ref="F92:J92" si="214">+F87*0.881118%</f>
        <v>0</v>
      </c>
      <c r="G92" s="277">
        <f t="shared" si="214"/>
        <v>0</v>
      </c>
      <c r="H92" s="277">
        <f t="shared" si="214"/>
        <v>0</v>
      </c>
      <c r="I92" s="277">
        <f t="shared" si="214"/>
        <v>0</v>
      </c>
      <c r="J92" s="277">
        <f t="shared" si="214"/>
        <v>0</v>
      </c>
      <c r="K92" s="281">
        <f t="shared" si="170"/>
        <v>35244720</v>
      </c>
      <c r="L92" s="277">
        <f t="shared" ref="L92:Q92" si="215">+L87*0.881118%</f>
        <v>1173199.8058199999</v>
      </c>
      <c r="M92" s="277">
        <f t="shared" si="215"/>
        <v>1157013.6681600001</v>
      </c>
      <c r="N92" s="277">
        <f t="shared" si="215"/>
        <v>2235695.94612</v>
      </c>
      <c r="O92" s="277">
        <f t="shared" si="215"/>
        <v>773621.60400000005</v>
      </c>
      <c r="P92" s="277">
        <f t="shared" si="215"/>
        <v>910926.22193999996</v>
      </c>
      <c r="Q92" s="277">
        <f t="shared" si="215"/>
        <v>825563.51009999996</v>
      </c>
      <c r="R92" s="281">
        <f t="shared" si="178"/>
        <v>7076020.7561399993</v>
      </c>
      <c r="S92" s="277">
        <f t="shared" ref="S92:Z92" si="216">+S87*0.881118%</f>
        <v>489646.08377999999</v>
      </c>
      <c r="T92" s="277">
        <f t="shared" si="216"/>
        <v>1448531.55846</v>
      </c>
      <c r="U92" s="277">
        <f t="shared" si="216"/>
        <v>592111.29599999997</v>
      </c>
      <c r="V92" s="277">
        <f t="shared" si="216"/>
        <v>1491679.90692</v>
      </c>
      <c r="W92" s="277">
        <f t="shared" si="216"/>
        <v>1325034.0595800001</v>
      </c>
      <c r="X92" s="277">
        <f t="shared" si="216"/>
        <v>1032978.6873</v>
      </c>
      <c r="Y92" s="277">
        <f t="shared" si="216"/>
        <v>0</v>
      </c>
      <c r="Z92" s="277">
        <f t="shared" si="216"/>
        <v>0</v>
      </c>
      <c r="AA92" s="281">
        <f t="shared" si="195"/>
        <v>6379981.5920400005</v>
      </c>
      <c r="AB92" s="403">
        <f t="shared" si="180"/>
        <v>13456002.34818</v>
      </c>
      <c r="AC92" s="326">
        <f t="shared" si="181"/>
        <v>0.38178774999999998</v>
      </c>
    </row>
    <row r="93" spans="1:29" s="61" customFormat="1" ht="15.75" hidden="1" x14ac:dyDescent="0.2">
      <c r="A93" s="425"/>
      <c r="B93" s="318" t="s">
        <v>473</v>
      </c>
      <c r="C93" s="319" t="s">
        <v>474</v>
      </c>
      <c r="D93" s="283">
        <f>+D94</f>
        <v>16000000000</v>
      </c>
      <c r="E93" s="322">
        <f>SUM('ADICIONES  2021'!C93:N93)</f>
        <v>0</v>
      </c>
      <c r="F93" s="275">
        <f t="shared" ref="F93:Z93" si="217">+F94</f>
        <v>0</v>
      </c>
      <c r="G93" s="275">
        <f t="shared" si="217"/>
        <v>0</v>
      </c>
      <c r="H93" s="275">
        <f t="shared" si="217"/>
        <v>0</v>
      </c>
      <c r="I93" s="275">
        <f t="shared" si="217"/>
        <v>0</v>
      </c>
      <c r="J93" s="275">
        <f t="shared" si="217"/>
        <v>0</v>
      </c>
      <c r="K93" s="276">
        <f t="shared" si="170"/>
        <v>16000000000</v>
      </c>
      <c r="L93" s="275">
        <f t="shared" si="217"/>
        <v>2256310592</v>
      </c>
      <c r="M93" s="275">
        <f t="shared" si="217"/>
        <v>501577217</v>
      </c>
      <c r="N93" s="275">
        <f t="shared" si="217"/>
        <v>1172862674</v>
      </c>
      <c r="O93" s="275">
        <f t="shared" si="217"/>
        <v>1313844793</v>
      </c>
      <c r="P93" s="275">
        <f t="shared" si="217"/>
        <v>1447433120</v>
      </c>
      <c r="Q93" s="275">
        <f t="shared" si="217"/>
        <v>1215837824</v>
      </c>
      <c r="R93" s="276">
        <f t="shared" si="178"/>
        <v>7907866220</v>
      </c>
      <c r="S93" s="275">
        <f t="shared" si="217"/>
        <v>1045183945</v>
      </c>
      <c r="T93" s="275">
        <f t="shared" si="217"/>
        <v>1197661255</v>
      </c>
      <c r="U93" s="275">
        <f t="shared" si="217"/>
        <v>1908985568</v>
      </c>
      <c r="V93" s="275">
        <f t="shared" si="217"/>
        <v>1253732511</v>
      </c>
      <c r="W93" s="275">
        <f t="shared" si="217"/>
        <v>1437718960</v>
      </c>
      <c r="X93" s="275">
        <f t="shared" si="217"/>
        <v>1299091424</v>
      </c>
      <c r="Y93" s="275">
        <f t="shared" si="217"/>
        <v>0</v>
      </c>
      <c r="Z93" s="275">
        <f t="shared" si="217"/>
        <v>0</v>
      </c>
      <c r="AA93" s="276">
        <f t="shared" si="195"/>
        <v>8142373663</v>
      </c>
      <c r="AB93" s="402">
        <f t="shared" si="180"/>
        <v>16050239883</v>
      </c>
      <c r="AC93" s="321">
        <f t="shared" si="181"/>
        <v>1.0031399926875</v>
      </c>
    </row>
    <row r="94" spans="1:29" s="61" customFormat="1" ht="25.5" x14ac:dyDescent="0.2">
      <c r="A94" s="428">
        <v>1</v>
      </c>
      <c r="B94" s="318" t="s">
        <v>475</v>
      </c>
      <c r="C94" s="319" t="s">
        <v>476</v>
      </c>
      <c r="D94" s="283">
        <f>+D95+D102</f>
        <v>16000000000</v>
      </c>
      <c r="E94" s="322">
        <f>SUM('ADICIONES  2021'!C94:N94)</f>
        <v>0</v>
      </c>
      <c r="F94" s="275">
        <f t="shared" ref="F94:J94" si="218">+F95+F102</f>
        <v>0</v>
      </c>
      <c r="G94" s="275">
        <f t="shared" si="218"/>
        <v>0</v>
      </c>
      <c r="H94" s="275">
        <f t="shared" si="218"/>
        <v>0</v>
      </c>
      <c r="I94" s="275">
        <f t="shared" si="218"/>
        <v>0</v>
      </c>
      <c r="J94" s="275">
        <f t="shared" si="218"/>
        <v>0</v>
      </c>
      <c r="K94" s="276">
        <f t="shared" si="170"/>
        <v>16000000000</v>
      </c>
      <c r="L94" s="275">
        <f t="shared" ref="L94:Q94" si="219">+L95+L102</f>
        <v>2256310592</v>
      </c>
      <c r="M94" s="275">
        <f t="shared" si="219"/>
        <v>501577217</v>
      </c>
      <c r="N94" s="275">
        <f t="shared" si="219"/>
        <v>1172862674</v>
      </c>
      <c r="O94" s="275">
        <f t="shared" si="219"/>
        <v>1313844793</v>
      </c>
      <c r="P94" s="275">
        <f t="shared" si="219"/>
        <v>1447433120</v>
      </c>
      <c r="Q94" s="275">
        <f t="shared" si="219"/>
        <v>1215837824</v>
      </c>
      <c r="R94" s="276">
        <f t="shared" si="178"/>
        <v>7907866220</v>
      </c>
      <c r="S94" s="275">
        <f t="shared" ref="S94:Z94" si="220">+S95+S102</f>
        <v>1045183945</v>
      </c>
      <c r="T94" s="275">
        <f t="shared" si="220"/>
        <v>1197661255</v>
      </c>
      <c r="U94" s="275">
        <f t="shared" si="220"/>
        <v>1908985568</v>
      </c>
      <c r="V94" s="275">
        <f t="shared" si="220"/>
        <v>1253732511</v>
      </c>
      <c r="W94" s="275">
        <f t="shared" si="220"/>
        <v>1437718960</v>
      </c>
      <c r="X94" s="275">
        <f t="shared" si="220"/>
        <v>1299091424</v>
      </c>
      <c r="Y94" s="275">
        <f t="shared" si="220"/>
        <v>0</v>
      </c>
      <c r="Z94" s="275">
        <f t="shared" si="220"/>
        <v>0</v>
      </c>
      <c r="AA94" s="276">
        <f t="shared" si="195"/>
        <v>8142373663</v>
      </c>
      <c r="AB94" s="402">
        <f t="shared" si="180"/>
        <v>16050239883</v>
      </c>
      <c r="AC94" s="321">
        <f t="shared" si="181"/>
        <v>1.0031399926875</v>
      </c>
    </row>
    <row r="95" spans="1:29" s="19" customFormat="1" ht="25.5" x14ac:dyDescent="0.2">
      <c r="A95" s="429">
        <v>1</v>
      </c>
      <c r="B95" s="323" t="s">
        <v>477</v>
      </c>
      <c r="C95" s="206" t="s">
        <v>478</v>
      </c>
      <c r="D95" s="331">
        <v>0</v>
      </c>
      <c r="E95" s="322">
        <f>SUM('ADICIONES  2021'!C95:N95)</f>
        <v>0</v>
      </c>
      <c r="F95" s="276"/>
      <c r="G95" s="276"/>
      <c r="H95" s="276"/>
      <c r="I95" s="276"/>
      <c r="J95" s="276"/>
      <c r="K95" s="281">
        <f t="shared" si="170"/>
        <v>0</v>
      </c>
      <c r="L95" s="276">
        <v>0</v>
      </c>
      <c r="M95" s="276">
        <v>0</v>
      </c>
      <c r="N95" s="276">
        <v>0</v>
      </c>
      <c r="O95" s="276">
        <v>0</v>
      </c>
      <c r="P95" s="276">
        <v>0</v>
      </c>
      <c r="Q95" s="276">
        <v>0</v>
      </c>
      <c r="R95" s="281">
        <f t="shared" si="178"/>
        <v>0</v>
      </c>
      <c r="S95" s="281">
        <v>0</v>
      </c>
      <c r="T95" s="281">
        <v>0</v>
      </c>
      <c r="U95" s="281">
        <v>0</v>
      </c>
      <c r="V95" s="281">
        <v>0</v>
      </c>
      <c r="W95" s="281">
        <v>0</v>
      </c>
      <c r="X95" s="281">
        <v>0</v>
      </c>
      <c r="Y95" s="281"/>
      <c r="Z95" s="276"/>
      <c r="AA95" s="276">
        <f t="shared" si="195"/>
        <v>0</v>
      </c>
      <c r="AB95" s="403">
        <f t="shared" si="180"/>
        <v>0</v>
      </c>
      <c r="AC95" s="326">
        <v>0</v>
      </c>
    </row>
    <row r="96" spans="1:29" ht="25.5" hidden="1" x14ac:dyDescent="0.2">
      <c r="A96" s="424"/>
      <c r="B96" s="323" t="s">
        <v>479</v>
      </c>
      <c r="C96" s="206" t="s">
        <v>156</v>
      </c>
      <c r="D96" s="324">
        <f>+D95*82.8691479%</f>
        <v>0</v>
      </c>
      <c r="E96" s="325">
        <f>SUM('ADICIONES  2021'!C96:N96)</f>
        <v>0</v>
      </c>
      <c r="F96" s="277">
        <f t="shared" ref="F96:J96" si="221">+F95*82.8691479%</f>
        <v>0</v>
      </c>
      <c r="G96" s="277">
        <f t="shared" si="221"/>
        <v>0</v>
      </c>
      <c r="H96" s="277">
        <f t="shared" si="221"/>
        <v>0</v>
      </c>
      <c r="I96" s="277">
        <f t="shared" si="221"/>
        <v>0</v>
      </c>
      <c r="J96" s="277">
        <f t="shared" si="221"/>
        <v>0</v>
      </c>
      <c r="K96" s="281">
        <f t="shared" si="170"/>
        <v>0</v>
      </c>
      <c r="L96" s="277">
        <f t="shared" ref="L96:Q96" si="222">+L95*82.8691479%</f>
        <v>0</v>
      </c>
      <c r="M96" s="277">
        <f t="shared" si="222"/>
        <v>0</v>
      </c>
      <c r="N96" s="277">
        <f t="shared" si="222"/>
        <v>0</v>
      </c>
      <c r="O96" s="277">
        <f t="shared" si="222"/>
        <v>0</v>
      </c>
      <c r="P96" s="277">
        <f t="shared" si="222"/>
        <v>0</v>
      </c>
      <c r="Q96" s="277">
        <f t="shared" si="222"/>
        <v>0</v>
      </c>
      <c r="R96" s="281">
        <f t="shared" si="178"/>
        <v>0</v>
      </c>
      <c r="S96" s="277">
        <f t="shared" ref="S96:Z96" si="223">+S95*82.8691479%</f>
        <v>0</v>
      </c>
      <c r="T96" s="277">
        <f t="shared" si="223"/>
        <v>0</v>
      </c>
      <c r="U96" s="277">
        <f t="shared" si="223"/>
        <v>0</v>
      </c>
      <c r="V96" s="277">
        <f t="shared" si="223"/>
        <v>0</v>
      </c>
      <c r="W96" s="277">
        <f t="shared" si="223"/>
        <v>0</v>
      </c>
      <c r="X96" s="277">
        <f t="shared" si="223"/>
        <v>0</v>
      </c>
      <c r="Y96" s="277">
        <f t="shared" si="223"/>
        <v>0</v>
      </c>
      <c r="Z96" s="277">
        <f t="shared" si="223"/>
        <v>0</v>
      </c>
      <c r="AA96" s="281">
        <f t="shared" si="195"/>
        <v>0</v>
      </c>
      <c r="AB96" s="403">
        <f t="shared" si="180"/>
        <v>0</v>
      </c>
      <c r="AC96" s="326">
        <v>0</v>
      </c>
    </row>
    <row r="97" spans="1:29" ht="25.5" hidden="1" x14ac:dyDescent="0.2">
      <c r="A97" s="424"/>
      <c r="B97" s="323" t="s">
        <v>480</v>
      </c>
      <c r="C97" s="206" t="s">
        <v>157</v>
      </c>
      <c r="D97" s="324">
        <f>+D95*0.095%</f>
        <v>0</v>
      </c>
      <c r="E97" s="325">
        <f>SUM('ADICIONES  2021'!C97:N97)</f>
        <v>0</v>
      </c>
      <c r="F97" s="277">
        <f t="shared" ref="F97:J97" si="224">+F95*0.095%</f>
        <v>0</v>
      </c>
      <c r="G97" s="277">
        <f t="shared" si="224"/>
        <v>0</v>
      </c>
      <c r="H97" s="277">
        <f t="shared" si="224"/>
        <v>0</v>
      </c>
      <c r="I97" s="277">
        <f t="shared" si="224"/>
        <v>0</v>
      </c>
      <c r="J97" s="277">
        <f t="shared" si="224"/>
        <v>0</v>
      </c>
      <c r="K97" s="281">
        <f t="shared" si="170"/>
        <v>0</v>
      </c>
      <c r="L97" s="277">
        <f t="shared" ref="L97:Q97" si="225">+L95*0.095%</f>
        <v>0</v>
      </c>
      <c r="M97" s="277">
        <f t="shared" si="225"/>
        <v>0</v>
      </c>
      <c r="N97" s="277">
        <f t="shared" si="225"/>
        <v>0</v>
      </c>
      <c r="O97" s="277">
        <f t="shared" si="225"/>
        <v>0</v>
      </c>
      <c r="P97" s="277">
        <f t="shared" si="225"/>
        <v>0</v>
      </c>
      <c r="Q97" s="277">
        <f t="shared" si="225"/>
        <v>0</v>
      </c>
      <c r="R97" s="281">
        <f t="shared" si="178"/>
        <v>0</v>
      </c>
      <c r="S97" s="277">
        <f t="shared" ref="S97:Z97" si="226">+S95*0.095%</f>
        <v>0</v>
      </c>
      <c r="T97" s="277">
        <f t="shared" si="226"/>
        <v>0</v>
      </c>
      <c r="U97" s="277">
        <f t="shared" si="226"/>
        <v>0</v>
      </c>
      <c r="V97" s="277">
        <f t="shared" si="226"/>
        <v>0</v>
      </c>
      <c r="W97" s="277">
        <f t="shared" si="226"/>
        <v>0</v>
      </c>
      <c r="X97" s="277">
        <f t="shared" si="226"/>
        <v>0</v>
      </c>
      <c r="Y97" s="277">
        <f t="shared" si="226"/>
        <v>0</v>
      </c>
      <c r="Z97" s="277">
        <f t="shared" si="226"/>
        <v>0</v>
      </c>
      <c r="AA97" s="281">
        <f t="shared" si="195"/>
        <v>0</v>
      </c>
      <c r="AB97" s="403">
        <f t="shared" si="180"/>
        <v>0</v>
      </c>
      <c r="AC97" s="326">
        <v>0</v>
      </c>
    </row>
    <row r="98" spans="1:29" ht="25.5" hidden="1" x14ac:dyDescent="0.2">
      <c r="A98" s="424"/>
      <c r="B98" s="323" t="s">
        <v>481</v>
      </c>
      <c r="C98" s="206" t="s">
        <v>158</v>
      </c>
      <c r="D98" s="324">
        <f>+D95*5%</f>
        <v>0</v>
      </c>
      <c r="E98" s="325">
        <f>SUM('ADICIONES  2021'!C98:N98)</f>
        <v>0</v>
      </c>
      <c r="F98" s="277">
        <f t="shared" ref="F98:J98" si="227">+F95*5%</f>
        <v>0</v>
      </c>
      <c r="G98" s="277">
        <f t="shared" si="227"/>
        <v>0</v>
      </c>
      <c r="H98" s="277">
        <f t="shared" si="227"/>
        <v>0</v>
      </c>
      <c r="I98" s="277">
        <f t="shared" si="227"/>
        <v>0</v>
      </c>
      <c r="J98" s="277">
        <f t="shared" si="227"/>
        <v>0</v>
      </c>
      <c r="K98" s="281">
        <f t="shared" si="170"/>
        <v>0</v>
      </c>
      <c r="L98" s="277">
        <f t="shared" ref="L98:Q98" si="228">+L95*5%</f>
        <v>0</v>
      </c>
      <c r="M98" s="277">
        <f t="shared" si="228"/>
        <v>0</v>
      </c>
      <c r="N98" s="277">
        <f t="shared" si="228"/>
        <v>0</v>
      </c>
      <c r="O98" s="277">
        <f t="shared" si="228"/>
        <v>0</v>
      </c>
      <c r="P98" s="277">
        <f t="shared" si="228"/>
        <v>0</v>
      </c>
      <c r="Q98" s="277">
        <f t="shared" si="228"/>
        <v>0</v>
      </c>
      <c r="R98" s="281">
        <f t="shared" si="178"/>
        <v>0</v>
      </c>
      <c r="S98" s="277">
        <f t="shared" ref="S98:Z98" si="229">+S95*5%</f>
        <v>0</v>
      </c>
      <c r="T98" s="277">
        <f t="shared" si="229"/>
        <v>0</v>
      </c>
      <c r="U98" s="277">
        <f t="shared" si="229"/>
        <v>0</v>
      </c>
      <c r="V98" s="277">
        <f t="shared" si="229"/>
        <v>0</v>
      </c>
      <c r="W98" s="277">
        <f t="shared" si="229"/>
        <v>0</v>
      </c>
      <c r="X98" s="277">
        <f t="shared" si="229"/>
        <v>0</v>
      </c>
      <c r="Y98" s="277">
        <f t="shared" si="229"/>
        <v>0</v>
      </c>
      <c r="Z98" s="277">
        <f t="shared" si="229"/>
        <v>0</v>
      </c>
      <c r="AA98" s="281">
        <f t="shared" si="195"/>
        <v>0</v>
      </c>
      <c r="AB98" s="403">
        <f t="shared" si="180"/>
        <v>0</v>
      </c>
      <c r="AC98" s="326">
        <v>0</v>
      </c>
    </row>
    <row r="99" spans="1:29" ht="25.5" hidden="1" x14ac:dyDescent="0.2">
      <c r="A99" s="424"/>
      <c r="B99" s="323" t="s">
        <v>482</v>
      </c>
      <c r="C99" s="329" t="s">
        <v>159</v>
      </c>
      <c r="D99" s="324">
        <f>+D95*9.4905%</f>
        <v>0</v>
      </c>
      <c r="E99" s="325">
        <f>SUM('ADICIONES  2021'!C99:N99)</f>
        <v>0</v>
      </c>
      <c r="F99" s="277">
        <f t="shared" ref="F99:J99" si="230">+F95*9.4905%</f>
        <v>0</v>
      </c>
      <c r="G99" s="277">
        <f t="shared" si="230"/>
        <v>0</v>
      </c>
      <c r="H99" s="277">
        <f t="shared" si="230"/>
        <v>0</v>
      </c>
      <c r="I99" s="277">
        <f t="shared" si="230"/>
        <v>0</v>
      </c>
      <c r="J99" s="277">
        <f t="shared" si="230"/>
        <v>0</v>
      </c>
      <c r="K99" s="281">
        <f t="shared" si="170"/>
        <v>0</v>
      </c>
      <c r="L99" s="277">
        <f t="shared" ref="L99:Q99" si="231">+L95*9.4905%</f>
        <v>0</v>
      </c>
      <c r="M99" s="277">
        <f t="shared" si="231"/>
        <v>0</v>
      </c>
      <c r="N99" s="277">
        <f t="shared" si="231"/>
        <v>0</v>
      </c>
      <c r="O99" s="277">
        <f t="shared" si="231"/>
        <v>0</v>
      </c>
      <c r="P99" s="277">
        <f t="shared" si="231"/>
        <v>0</v>
      </c>
      <c r="Q99" s="277">
        <f t="shared" si="231"/>
        <v>0</v>
      </c>
      <c r="R99" s="281">
        <f t="shared" si="178"/>
        <v>0</v>
      </c>
      <c r="S99" s="277">
        <f t="shared" ref="S99:Z99" si="232">+S95*9.4905%</f>
        <v>0</v>
      </c>
      <c r="T99" s="277">
        <f t="shared" si="232"/>
        <v>0</v>
      </c>
      <c r="U99" s="277">
        <f t="shared" si="232"/>
        <v>0</v>
      </c>
      <c r="V99" s="277">
        <f t="shared" si="232"/>
        <v>0</v>
      </c>
      <c r="W99" s="277">
        <f t="shared" si="232"/>
        <v>0</v>
      </c>
      <c r="X99" s="277">
        <f t="shared" si="232"/>
        <v>0</v>
      </c>
      <c r="Y99" s="277">
        <f t="shared" si="232"/>
        <v>0</v>
      </c>
      <c r="Z99" s="277">
        <f t="shared" si="232"/>
        <v>0</v>
      </c>
      <c r="AA99" s="281">
        <f t="shared" si="195"/>
        <v>0</v>
      </c>
      <c r="AB99" s="403">
        <f t="shared" si="180"/>
        <v>0</v>
      </c>
      <c r="AC99" s="326">
        <v>0</v>
      </c>
    </row>
    <row r="100" spans="1:29" ht="25.5" hidden="1" x14ac:dyDescent="0.2">
      <c r="A100" s="424"/>
      <c r="B100" s="323" t="s">
        <v>483</v>
      </c>
      <c r="C100" s="206" t="s">
        <v>160</v>
      </c>
      <c r="D100" s="324">
        <f>+D95*1.70829%</f>
        <v>0</v>
      </c>
      <c r="E100" s="325">
        <f>SUM('ADICIONES  2021'!C100:N100)</f>
        <v>0</v>
      </c>
      <c r="F100" s="277">
        <f t="shared" ref="F100:J100" si="233">+F95*1.70829%</f>
        <v>0</v>
      </c>
      <c r="G100" s="277">
        <f t="shared" si="233"/>
        <v>0</v>
      </c>
      <c r="H100" s="277">
        <f t="shared" si="233"/>
        <v>0</v>
      </c>
      <c r="I100" s="277">
        <f t="shared" si="233"/>
        <v>0</v>
      </c>
      <c r="J100" s="277">
        <f t="shared" si="233"/>
        <v>0</v>
      </c>
      <c r="K100" s="281">
        <f t="shared" si="170"/>
        <v>0</v>
      </c>
      <c r="L100" s="277">
        <f t="shared" ref="L100:Q100" si="234">+L95*1.70829%</f>
        <v>0</v>
      </c>
      <c r="M100" s="277">
        <f t="shared" si="234"/>
        <v>0</v>
      </c>
      <c r="N100" s="277">
        <f t="shared" si="234"/>
        <v>0</v>
      </c>
      <c r="O100" s="277">
        <f t="shared" si="234"/>
        <v>0</v>
      </c>
      <c r="P100" s="277">
        <f t="shared" si="234"/>
        <v>0</v>
      </c>
      <c r="Q100" s="277">
        <f t="shared" si="234"/>
        <v>0</v>
      </c>
      <c r="R100" s="281">
        <f t="shared" si="178"/>
        <v>0</v>
      </c>
      <c r="S100" s="277">
        <f t="shared" ref="S100:Z100" si="235">+S95*1.70829%</f>
        <v>0</v>
      </c>
      <c r="T100" s="277">
        <f t="shared" si="235"/>
        <v>0</v>
      </c>
      <c r="U100" s="277">
        <f t="shared" si="235"/>
        <v>0</v>
      </c>
      <c r="V100" s="277">
        <f t="shared" si="235"/>
        <v>0</v>
      </c>
      <c r="W100" s="277">
        <f t="shared" si="235"/>
        <v>0</v>
      </c>
      <c r="X100" s="277">
        <f t="shared" si="235"/>
        <v>0</v>
      </c>
      <c r="Y100" s="277">
        <f t="shared" si="235"/>
        <v>0</v>
      </c>
      <c r="Z100" s="277">
        <f t="shared" si="235"/>
        <v>0</v>
      </c>
      <c r="AA100" s="281">
        <f t="shared" si="195"/>
        <v>0</v>
      </c>
      <c r="AB100" s="403">
        <f t="shared" si="180"/>
        <v>0</v>
      </c>
      <c r="AC100" s="326">
        <v>0</v>
      </c>
    </row>
    <row r="101" spans="1:29" ht="38.25" hidden="1" x14ac:dyDescent="0.2">
      <c r="A101" s="424"/>
      <c r="B101" s="323" t="s">
        <v>484</v>
      </c>
      <c r="C101" s="206" t="s">
        <v>161</v>
      </c>
      <c r="D101" s="324">
        <f>+D95*0.8370621%</f>
        <v>0</v>
      </c>
      <c r="E101" s="325">
        <f>SUM('ADICIONES  2021'!C101:N101)</f>
        <v>0</v>
      </c>
      <c r="F101" s="277">
        <f t="shared" ref="F101:J101" si="236">+F95*0.8370621%</f>
        <v>0</v>
      </c>
      <c r="G101" s="277">
        <f t="shared" si="236"/>
        <v>0</v>
      </c>
      <c r="H101" s="277">
        <f t="shared" si="236"/>
        <v>0</v>
      </c>
      <c r="I101" s="277">
        <f t="shared" si="236"/>
        <v>0</v>
      </c>
      <c r="J101" s="277">
        <f t="shared" si="236"/>
        <v>0</v>
      </c>
      <c r="K101" s="281">
        <f t="shared" si="170"/>
        <v>0</v>
      </c>
      <c r="L101" s="277">
        <f t="shared" ref="L101:Q101" si="237">+L95*0.8370621%</f>
        <v>0</v>
      </c>
      <c r="M101" s="277">
        <f t="shared" si="237"/>
        <v>0</v>
      </c>
      <c r="N101" s="277">
        <f t="shared" si="237"/>
        <v>0</v>
      </c>
      <c r="O101" s="277">
        <f t="shared" si="237"/>
        <v>0</v>
      </c>
      <c r="P101" s="277">
        <f t="shared" si="237"/>
        <v>0</v>
      </c>
      <c r="Q101" s="277">
        <f t="shared" si="237"/>
        <v>0</v>
      </c>
      <c r="R101" s="281">
        <f t="shared" si="178"/>
        <v>0</v>
      </c>
      <c r="S101" s="277">
        <f t="shared" ref="S101:Z101" si="238">+S95*0.8370621%</f>
        <v>0</v>
      </c>
      <c r="T101" s="277">
        <f t="shared" si="238"/>
        <v>0</v>
      </c>
      <c r="U101" s="277">
        <f t="shared" si="238"/>
        <v>0</v>
      </c>
      <c r="V101" s="277">
        <f t="shared" si="238"/>
        <v>0</v>
      </c>
      <c r="W101" s="277">
        <f t="shared" si="238"/>
        <v>0</v>
      </c>
      <c r="X101" s="277">
        <f t="shared" si="238"/>
        <v>0</v>
      </c>
      <c r="Y101" s="277">
        <f t="shared" si="238"/>
        <v>0</v>
      </c>
      <c r="Z101" s="277">
        <f t="shared" si="238"/>
        <v>0</v>
      </c>
      <c r="AA101" s="281">
        <f t="shared" si="195"/>
        <v>0</v>
      </c>
      <c r="AB101" s="403">
        <f t="shared" si="180"/>
        <v>0</v>
      </c>
      <c r="AC101" s="326">
        <v>0</v>
      </c>
    </row>
    <row r="102" spans="1:29" s="19" customFormat="1" ht="25.5" x14ac:dyDescent="0.2">
      <c r="A102" s="429">
        <v>1</v>
      </c>
      <c r="B102" s="323" t="s">
        <v>485</v>
      </c>
      <c r="C102" s="206" t="s">
        <v>486</v>
      </c>
      <c r="D102" s="331">
        <v>16000000000</v>
      </c>
      <c r="E102" s="322">
        <f>SUM('ADICIONES  2021'!C102:N102)</f>
        <v>0</v>
      </c>
      <c r="F102" s="276"/>
      <c r="G102" s="276"/>
      <c r="H102" s="276"/>
      <c r="I102" s="276"/>
      <c r="J102" s="276"/>
      <c r="K102" s="281">
        <f t="shared" si="170"/>
        <v>16000000000</v>
      </c>
      <c r="L102" s="276">
        <v>2256310592</v>
      </c>
      <c r="M102" s="276">
        <v>501577217</v>
      </c>
      <c r="N102" s="276">
        <v>1172862674</v>
      </c>
      <c r="O102" s="276">
        <v>1313844793</v>
      </c>
      <c r="P102" s="276">
        <v>1447433120</v>
      </c>
      <c r="Q102" s="276">
        <v>1215837824</v>
      </c>
      <c r="R102" s="281">
        <f t="shared" si="178"/>
        <v>7907866220</v>
      </c>
      <c r="S102" s="281">
        <v>1045183945</v>
      </c>
      <c r="T102" s="281">
        <v>1197661255</v>
      </c>
      <c r="U102" s="281">
        <v>1908985568</v>
      </c>
      <c r="V102" s="281">
        <v>1253732511</v>
      </c>
      <c r="W102" s="281">
        <v>1437718960</v>
      </c>
      <c r="X102" s="281">
        <v>1299091424</v>
      </c>
      <c r="Y102" s="281"/>
      <c r="Z102" s="276"/>
      <c r="AA102" s="276">
        <f t="shared" si="195"/>
        <v>8142373663</v>
      </c>
      <c r="AB102" s="403">
        <f t="shared" si="180"/>
        <v>16050239883</v>
      </c>
      <c r="AC102" s="326">
        <f t="shared" si="181"/>
        <v>1.0031399926875</v>
      </c>
    </row>
    <row r="103" spans="1:29" ht="25.5" hidden="1" x14ac:dyDescent="0.2">
      <c r="A103" s="424"/>
      <c r="B103" s="323" t="s">
        <v>487</v>
      </c>
      <c r="C103" s="206" t="s">
        <v>162</v>
      </c>
      <c r="D103" s="324">
        <f>+D102*82.8691479%</f>
        <v>13259063664.000002</v>
      </c>
      <c r="E103" s="325">
        <f>SUM('ADICIONES  2021'!C103:N103)</f>
        <v>0</v>
      </c>
      <c r="F103" s="277">
        <f t="shared" ref="F103:J103" si="239">+F102*82.8691479%</f>
        <v>0</v>
      </c>
      <c r="G103" s="277">
        <f t="shared" si="239"/>
        <v>0</v>
      </c>
      <c r="H103" s="277">
        <f t="shared" si="239"/>
        <v>0</v>
      </c>
      <c r="I103" s="277">
        <f t="shared" si="239"/>
        <v>0</v>
      </c>
      <c r="J103" s="277">
        <f t="shared" si="239"/>
        <v>0</v>
      </c>
      <c r="K103" s="281">
        <f t="shared" si="170"/>
        <v>13259063664.000002</v>
      </c>
      <c r="L103" s="277">
        <f t="shared" ref="L103:Q103" si="240">+L102*82.8691479%</f>
        <v>1869785361.5678458</v>
      </c>
      <c r="M103" s="277">
        <f t="shared" si="240"/>
        <v>415652765.78843397</v>
      </c>
      <c r="N103" s="277">
        <f t="shared" si="240"/>
        <v>971941303.98095489</v>
      </c>
      <c r="O103" s="277">
        <f t="shared" si="240"/>
        <v>1088771984.687619</v>
      </c>
      <c r="P103" s="277">
        <f t="shared" si="240"/>
        <v>1199475492.9663846</v>
      </c>
      <c r="Q103" s="277">
        <f t="shared" si="240"/>
        <v>1007554444.5947018</v>
      </c>
      <c r="R103" s="281">
        <f t="shared" si="178"/>
        <v>6553181353.5859404</v>
      </c>
      <c r="S103" s="277">
        <f t="shared" ref="S103:Z103" si="241">+S102*82.8691479%</f>
        <v>866135029.20910478</v>
      </c>
      <c r="T103" s="277">
        <f t="shared" si="241"/>
        <v>992491676.74694622</v>
      </c>
      <c r="U103" s="277">
        <f t="shared" si="241"/>
        <v>1581960073.7355752</v>
      </c>
      <c r="V103" s="277">
        <f t="shared" si="241"/>
        <v>1038957448.8109739</v>
      </c>
      <c r="W103" s="277">
        <f t="shared" si="241"/>
        <v>1191425451.348742</v>
      </c>
      <c r="X103" s="277">
        <f t="shared" si="241"/>
        <v>1076545993.5107763</v>
      </c>
      <c r="Y103" s="277">
        <f t="shared" si="241"/>
        <v>0</v>
      </c>
      <c r="Z103" s="277">
        <f t="shared" si="241"/>
        <v>0</v>
      </c>
      <c r="AA103" s="281">
        <f t="shared" si="195"/>
        <v>6747515673.3621178</v>
      </c>
      <c r="AB103" s="403">
        <f t="shared" si="180"/>
        <v>13300697026.948059</v>
      </c>
      <c r="AC103" s="326">
        <f t="shared" si="181"/>
        <v>1.0031399926875</v>
      </c>
    </row>
    <row r="104" spans="1:29" ht="25.5" hidden="1" x14ac:dyDescent="0.2">
      <c r="A104" s="424"/>
      <c r="B104" s="323" t="s">
        <v>488</v>
      </c>
      <c r="C104" s="206" t="s">
        <v>163</v>
      </c>
      <c r="D104" s="324">
        <f>+D102*0.095%</f>
        <v>15200000</v>
      </c>
      <c r="E104" s="325">
        <f>SUM('ADICIONES  2021'!C104:N104)</f>
        <v>0</v>
      </c>
      <c r="F104" s="277">
        <f t="shared" ref="F104:J104" si="242">+F102*0.095%</f>
        <v>0</v>
      </c>
      <c r="G104" s="277">
        <f t="shared" si="242"/>
        <v>0</v>
      </c>
      <c r="H104" s="277">
        <f t="shared" si="242"/>
        <v>0</v>
      </c>
      <c r="I104" s="277">
        <f t="shared" si="242"/>
        <v>0</v>
      </c>
      <c r="J104" s="277">
        <f t="shared" si="242"/>
        <v>0</v>
      </c>
      <c r="K104" s="281">
        <f t="shared" si="170"/>
        <v>15200000</v>
      </c>
      <c r="L104" s="277">
        <f t="shared" ref="L104:Q104" si="243">+L102*0.095%</f>
        <v>2143495.0624000002</v>
      </c>
      <c r="M104" s="277">
        <f t="shared" si="243"/>
        <v>476498.35615000001</v>
      </c>
      <c r="N104" s="277">
        <f t="shared" si="243"/>
        <v>1114219.5403</v>
      </c>
      <c r="O104" s="277">
        <f t="shared" si="243"/>
        <v>1248152.5533499999</v>
      </c>
      <c r="P104" s="277">
        <f t="shared" si="243"/>
        <v>1375061.4639999999</v>
      </c>
      <c r="Q104" s="277">
        <f t="shared" si="243"/>
        <v>1155045.9328000001</v>
      </c>
      <c r="R104" s="281">
        <f t="shared" si="178"/>
        <v>7512472.909</v>
      </c>
      <c r="S104" s="277">
        <f t="shared" ref="S104:Z104" si="244">+S102*0.095%</f>
        <v>992924.74774999998</v>
      </c>
      <c r="T104" s="277">
        <f t="shared" si="244"/>
        <v>1137778.1922500001</v>
      </c>
      <c r="U104" s="277">
        <f t="shared" si="244"/>
        <v>1813536.2896</v>
      </c>
      <c r="V104" s="277">
        <f t="shared" si="244"/>
        <v>1191045.8854499999</v>
      </c>
      <c r="W104" s="277">
        <f t="shared" si="244"/>
        <v>1365833.0120000001</v>
      </c>
      <c r="X104" s="277">
        <f t="shared" si="244"/>
        <v>1234136.8528</v>
      </c>
      <c r="Y104" s="277">
        <f t="shared" si="244"/>
        <v>0</v>
      </c>
      <c r="Z104" s="277">
        <f t="shared" si="244"/>
        <v>0</v>
      </c>
      <c r="AA104" s="281">
        <f t="shared" si="195"/>
        <v>7735254.9798499998</v>
      </c>
      <c r="AB104" s="403">
        <f t="shared" si="180"/>
        <v>15247727.88885</v>
      </c>
      <c r="AC104" s="326">
        <f t="shared" si="181"/>
        <v>1.0031399926875</v>
      </c>
    </row>
    <row r="105" spans="1:29" ht="25.5" hidden="1" x14ac:dyDescent="0.2">
      <c r="A105" s="424"/>
      <c r="B105" s="323" t="s">
        <v>489</v>
      </c>
      <c r="C105" s="206" t="s">
        <v>164</v>
      </c>
      <c r="D105" s="324">
        <f>+D102*5%</f>
        <v>800000000</v>
      </c>
      <c r="E105" s="325">
        <f>SUM('ADICIONES  2021'!C105:N105)</f>
        <v>0</v>
      </c>
      <c r="F105" s="277">
        <f t="shared" ref="F105:J105" si="245">+F102*5%</f>
        <v>0</v>
      </c>
      <c r="G105" s="277">
        <f t="shared" si="245"/>
        <v>0</v>
      </c>
      <c r="H105" s="277">
        <f t="shared" si="245"/>
        <v>0</v>
      </c>
      <c r="I105" s="277">
        <f t="shared" si="245"/>
        <v>0</v>
      </c>
      <c r="J105" s="277">
        <f t="shared" si="245"/>
        <v>0</v>
      </c>
      <c r="K105" s="281">
        <f t="shared" si="170"/>
        <v>800000000</v>
      </c>
      <c r="L105" s="277">
        <f t="shared" ref="L105:Q105" si="246">+L102*5%</f>
        <v>112815529.60000001</v>
      </c>
      <c r="M105" s="277">
        <f t="shared" si="246"/>
        <v>25078860.850000001</v>
      </c>
      <c r="N105" s="277">
        <f t="shared" si="246"/>
        <v>58643133.700000003</v>
      </c>
      <c r="O105" s="277">
        <f t="shared" si="246"/>
        <v>65692239.650000006</v>
      </c>
      <c r="P105" s="277">
        <f t="shared" si="246"/>
        <v>72371656</v>
      </c>
      <c r="Q105" s="277">
        <f t="shared" si="246"/>
        <v>60791891.200000003</v>
      </c>
      <c r="R105" s="281">
        <f t="shared" si="178"/>
        <v>395393311.00000006</v>
      </c>
      <c r="S105" s="277">
        <f t="shared" ref="S105:Z105" si="247">+S102*5%</f>
        <v>52259197.25</v>
      </c>
      <c r="T105" s="277">
        <f t="shared" si="247"/>
        <v>59883062.75</v>
      </c>
      <c r="U105" s="277">
        <f t="shared" si="247"/>
        <v>95449278.400000006</v>
      </c>
      <c r="V105" s="277">
        <f t="shared" si="247"/>
        <v>62686625.550000004</v>
      </c>
      <c r="W105" s="277">
        <f t="shared" si="247"/>
        <v>71885948</v>
      </c>
      <c r="X105" s="277">
        <f t="shared" si="247"/>
        <v>64954571.200000003</v>
      </c>
      <c r="Y105" s="277">
        <f t="shared" si="247"/>
        <v>0</v>
      </c>
      <c r="Z105" s="277">
        <f t="shared" si="247"/>
        <v>0</v>
      </c>
      <c r="AA105" s="281">
        <f t="shared" si="195"/>
        <v>407118683.14999998</v>
      </c>
      <c r="AB105" s="403">
        <f t="shared" si="180"/>
        <v>802511994.1500001</v>
      </c>
      <c r="AC105" s="326">
        <f t="shared" si="181"/>
        <v>1.0031399926875002</v>
      </c>
    </row>
    <row r="106" spans="1:29" ht="25.5" hidden="1" x14ac:dyDescent="0.2">
      <c r="A106" s="424"/>
      <c r="B106" s="323" t="s">
        <v>490</v>
      </c>
      <c r="C106" s="329" t="s">
        <v>165</v>
      </c>
      <c r="D106" s="324">
        <f>+D102*9.4905%</f>
        <v>1518480000</v>
      </c>
      <c r="E106" s="325">
        <f>SUM('ADICIONES  2021'!C106:N106)</f>
        <v>0</v>
      </c>
      <c r="F106" s="277">
        <f t="shared" ref="F106:J106" si="248">+F102*9.4905%</f>
        <v>0</v>
      </c>
      <c r="G106" s="277">
        <f t="shared" si="248"/>
        <v>0</v>
      </c>
      <c r="H106" s="277">
        <f t="shared" si="248"/>
        <v>0</v>
      </c>
      <c r="I106" s="277">
        <f t="shared" si="248"/>
        <v>0</v>
      </c>
      <c r="J106" s="277">
        <f t="shared" si="248"/>
        <v>0</v>
      </c>
      <c r="K106" s="281">
        <f t="shared" si="170"/>
        <v>1518480000</v>
      </c>
      <c r="L106" s="277">
        <f t="shared" ref="L106:Q106" si="249">+L102*9.4905%</f>
        <v>214135156.73376</v>
      </c>
      <c r="M106" s="277">
        <f t="shared" si="249"/>
        <v>47602185.779385</v>
      </c>
      <c r="N106" s="277">
        <f t="shared" si="249"/>
        <v>111310532.07597001</v>
      </c>
      <c r="O106" s="277">
        <f t="shared" si="249"/>
        <v>124690440.07966501</v>
      </c>
      <c r="P106" s="277">
        <f t="shared" si="249"/>
        <v>137368640.2536</v>
      </c>
      <c r="Q106" s="277">
        <f t="shared" si="249"/>
        <v>115389088.68672</v>
      </c>
      <c r="R106" s="281">
        <f t="shared" si="178"/>
        <v>750496043.60909998</v>
      </c>
      <c r="S106" s="277">
        <f t="shared" ref="S106:Z106" si="250">+S102*9.4905%</f>
        <v>99193182.300225005</v>
      </c>
      <c r="T106" s="277">
        <f t="shared" si="250"/>
        <v>113664041.40577501</v>
      </c>
      <c r="U106" s="277">
        <f t="shared" si="250"/>
        <v>181172275.33103999</v>
      </c>
      <c r="V106" s="277">
        <f t="shared" si="250"/>
        <v>118985483.95645501</v>
      </c>
      <c r="W106" s="277">
        <f t="shared" si="250"/>
        <v>136446717.89880002</v>
      </c>
      <c r="X106" s="277">
        <f t="shared" si="250"/>
        <v>123290271.59472001</v>
      </c>
      <c r="Y106" s="277">
        <f t="shared" si="250"/>
        <v>0</v>
      </c>
      <c r="Z106" s="277">
        <f t="shared" si="250"/>
        <v>0</v>
      </c>
      <c r="AA106" s="281">
        <f t="shared" si="195"/>
        <v>772751972.48701501</v>
      </c>
      <c r="AB106" s="403">
        <f t="shared" si="180"/>
        <v>1523248016.0961151</v>
      </c>
      <c r="AC106" s="326">
        <f t="shared" si="181"/>
        <v>1.0031399926875</v>
      </c>
    </row>
    <row r="107" spans="1:29" ht="25.5" hidden="1" x14ac:dyDescent="0.2">
      <c r="A107" s="424"/>
      <c r="B107" s="323" t="s">
        <v>491</v>
      </c>
      <c r="C107" s="206" t="s">
        <v>166</v>
      </c>
      <c r="D107" s="324">
        <f>+D102*1.70829%</f>
        <v>273326400</v>
      </c>
      <c r="E107" s="325">
        <f>SUM('ADICIONES  2021'!C107:N107)</f>
        <v>0</v>
      </c>
      <c r="F107" s="277">
        <f t="shared" ref="F107:J107" si="251">+F102*1.70829%</f>
        <v>0</v>
      </c>
      <c r="G107" s="277">
        <f t="shared" si="251"/>
        <v>0</v>
      </c>
      <c r="H107" s="277">
        <f t="shared" si="251"/>
        <v>0</v>
      </c>
      <c r="I107" s="277">
        <f t="shared" si="251"/>
        <v>0</v>
      </c>
      <c r="J107" s="277">
        <f t="shared" si="251"/>
        <v>0</v>
      </c>
      <c r="K107" s="281">
        <f t="shared" si="170"/>
        <v>273326400</v>
      </c>
      <c r="L107" s="277">
        <f t="shared" ref="L107:Q107" si="252">+L102*1.70829%</f>
        <v>38544328.212076806</v>
      </c>
      <c r="M107" s="277">
        <f t="shared" si="252"/>
        <v>8568393.4402892999</v>
      </c>
      <c r="N107" s="277">
        <f t="shared" si="252"/>
        <v>20035895.773674604</v>
      </c>
      <c r="O107" s="277">
        <f t="shared" si="252"/>
        <v>22444279.214339703</v>
      </c>
      <c r="P107" s="277">
        <f t="shared" si="252"/>
        <v>24726355.245648004</v>
      </c>
      <c r="Q107" s="277">
        <f t="shared" si="252"/>
        <v>20770035.963609602</v>
      </c>
      <c r="R107" s="281">
        <f t="shared" si="178"/>
        <v>135089287.84963802</v>
      </c>
      <c r="S107" s="277">
        <f t="shared" ref="S107:Z107" si="253">+S102*1.70829%</f>
        <v>17854772.814040501</v>
      </c>
      <c r="T107" s="277">
        <f t="shared" si="253"/>
        <v>20459527.453039501</v>
      </c>
      <c r="U107" s="277">
        <f t="shared" si="253"/>
        <v>32611009.559587203</v>
      </c>
      <c r="V107" s="277">
        <f t="shared" si="253"/>
        <v>21417387.112161901</v>
      </c>
      <c r="W107" s="277">
        <f t="shared" si="253"/>
        <v>24560409.221784003</v>
      </c>
      <c r="X107" s="277">
        <f t="shared" si="253"/>
        <v>22192248.8870496</v>
      </c>
      <c r="Y107" s="277">
        <f t="shared" si="253"/>
        <v>0</v>
      </c>
      <c r="Z107" s="277">
        <f t="shared" si="253"/>
        <v>0</v>
      </c>
      <c r="AA107" s="281">
        <f t="shared" si="195"/>
        <v>139095355.04766273</v>
      </c>
      <c r="AB107" s="403">
        <f t="shared" si="180"/>
        <v>274184642.89730072</v>
      </c>
      <c r="AC107" s="326">
        <f t="shared" si="181"/>
        <v>1.0031399926875</v>
      </c>
    </row>
    <row r="108" spans="1:29" ht="38.25" hidden="1" x14ac:dyDescent="0.2">
      <c r="A108" s="424"/>
      <c r="B108" s="323" t="s">
        <v>492</v>
      </c>
      <c r="C108" s="206" t="s">
        <v>167</v>
      </c>
      <c r="D108" s="324">
        <f>+D102*0.8370621%</f>
        <v>133929936</v>
      </c>
      <c r="E108" s="325">
        <f>SUM('ADICIONES  2021'!C108:N108)</f>
        <v>0</v>
      </c>
      <c r="F108" s="277">
        <f t="shared" ref="F108:J108" si="254">+F102*0.8370621%</f>
        <v>0</v>
      </c>
      <c r="G108" s="277">
        <f t="shared" si="254"/>
        <v>0</v>
      </c>
      <c r="H108" s="277">
        <f t="shared" si="254"/>
        <v>0</v>
      </c>
      <c r="I108" s="277">
        <f t="shared" si="254"/>
        <v>0</v>
      </c>
      <c r="J108" s="277">
        <f t="shared" si="254"/>
        <v>0</v>
      </c>
      <c r="K108" s="281">
        <f t="shared" si="170"/>
        <v>133929936</v>
      </c>
      <c r="L108" s="277">
        <f t="shared" ref="L108:Q108" si="255">+L102*0.8370621%</f>
        <v>18886720.823917631</v>
      </c>
      <c r="M108" s="277">
        <f t="shared" si="255"/>
        <v>4198512.7857417567</v>
      </c>
      <c r="N108" s="277">
        <f t="shared" si="255"/>
        <v>9817588.9291005544</v>
      </c>
      <c r="O108" s="277">
        <f t="shared" si="255"/>
        <v>10997696.815026453</v>
      </c>
      <c r="P108" s="277">
        <f t="shared" si="255"/>
        <v>12115914.070367521</v>
      </c>
      <c r="Q108" s="277">
        <f t="shared" si="255"/>
        <v>10177317.622168705</v>
      </c>
      <c r="R108" s="281">
        <f t="shared" si="178"/>
        <v>66193751.046322621</v>
      </c>
      <c r="S108" s="277">
        <f t="shared" ref="S108:Z108" si="256">+S102*0.8370621%</f>
        <v>8748838.6788798459</v>
      </c>
      <c r="T108" s="277">
        <f t="shared" si="256"/>
        <v>10025168.451989355</v>
      </c>
      <c r="U108" s="277">
        <f t="shared" si="256"/>
        <v>15979394.684197728</v>
      </c>
      <c r="V108" s="277">
        <f t="shared" si="256"/>
        <v>10494519.684959332</v>
      </c>
      <c r="W108" s="277">
        <f t="shared" si="256"/>
        <v>12034600.518674159</v>
      </c>
      <c r="X108" s="277">
        <f t="shared" si="256"/>
        <v>10874201.954654304</v>
      </c>
      <c r="Y108" s="277">
        <f t="shared" si="256"/>
        <v>0</v>
      </c>
      <c r="Z108" s="277">
        <f t="shared" si="256"/>
        <v>0</v>
      </c>
      <c r="AA108" s="281">
        <f t="shared" si="195"/>
        <v>68156723.973354727</v>
      </c>
      <c r="AB108" s="403">
        <f t="shared" si="180"/>
        <v>134350475.01967734</v>
      </c>
      <c r="AC108" s="326">
        <f t="shared" si="181"/>
        <v>1.0031399926875</v>
      </c>
    </row>
    <row r="109" spans="1:29" s="19" customFormat="1" x14ac:dyDescent="0.2">
      <c r="A109" s="429">
        <v>1</v>
      </c>
      <c r="B109" s="318" t="s">
        <v>493</v>
      </c>
      <c r="C109" s="206" t="s">
        <v>186</v>
      </c>
      <c r="D109" s="331">
        <v>28000000000</v>
      </c>
      <c r="E109" s="322">
        <f>SUM('ADICIONES  2021'!C109:N109)</f>
        <v>0</v>
      </c>
      <c r="F109" s="276"/>
      <c r="G109" s="276"/>
      <c r="H109" s="276"/>
      <c r="I109" s="276"/>
      <c r="J109" s="276"/>
      <c r="K109" s="281">
        <f t="shared" si="170"/>
        <v>28000000000</v>
      </c>
      <c r="L109" s="276">
        <v>2638160450</v>
      </c>
      <c r="M109" s="276">
        <v>2121495350</v>
      </c>
      <c r="N109" s="276">
        <v>2097425200</v>
      </c>
      <c r="O109" s="276">
        <v>2579490350</v>
      </c>
      <c r="P109" s="276">
        <v>2391493900</v>
      </c>
      <c r="Q109" s="276">
        <v>2246947600</v>
      </c>
      <c r="R109" s="281">
        <f t="shared" si="178"/>
        <v>14075012850</v>
      </c>
      <c r="S109" s="281">
        <v>1831519250</v>
      </c>
      <c r="T109" s="281">
        <v>2656859300</v>
      </c>
      <c r="U109" s="281">
        <v>2600150950</v>
      </c>
      <c r="V109" s="281">
        <v>2626706300</v>
      </c>
      <c r="W109" s="281">
        <v>2884320650</v>
      </c>
      <c r="X109" s="281">
        <v>2736628900</v>
      </c>
      <c r="Y109" s="281"/>
      <c r="Z109" s="276"/>
      <c r="AA109" s="276">
        <f t="shared" si="195"/>
        <v>15336185350</v>
      </c>
      <c r="AB109" s="403">
        <f t="shared" si="180"/>
        <v>29411198200</v>
      </c>
      <c r="AC109" s="326">
        <f t="shared" si="181"/>
        <v>1.0503999357142857</v>
      </c>
    </row>
    <row r="110" spans="1:29" ht="25.5" hidden="1" x14ac:dyDescent="0.2">
      <c r="A110" s="424"/>
      <c r="B110" s="323" t="s">
        <v>494</v>
      </c>
      <c r="C110" s="206" t="s">
        <v>187</v>
      </c>
      <c r="D110" s="324">
        <f>+D109*87.230682%</f>
        <v>24424590960</v>
      </c>
      <c r="E110" s="325">
        <f>SUM('ADICIONES  2021'!C110:N110)</f>
        <v>0</v>
      </c>
      <c r="F110" s="277">
        <f t="shared" ref="F110:J110" si="257">+F109*87.230682%</f>
        <v>0</v>
      </c>
      <c r="G110" s="277">
        <f t="shared" si="257"/>
        <v>0</v>
      </c>
      <c r="H110" s="277">
        <f t="shared" si="257"/>
        <v>0</v>
      </c>
      <c r="I110" s="277">
        <f t="shared" si="257"/>
        <v>0</v>
      </c>
      <c r="J110" s="277">
        <f t="shared" si="257"/>
        <v>0</v>
      </c>
      <c r="K110" s="281">
        <f t="shared" si="170"/>
        <v>24424590960</v>
      </c>
      <c r="L110" s="277">
        <f t="shared" ref="L110:Q110" si="258">+L109*87.230682%</f>
        <v>2301285352.789269</v>
      </c>
      <c r="M110" s="277">
        <f t="shared" si="258"/>
        <v>1850594862.4032872</v>
      </c>
      <c r="N110" s="277">
        <f t="shared" si="258"/>
        <v>1829598306.3998642</v>
      </c>
      <c r="O110" s="277">
        <f t="shared" si="258"/>
        <v>2250107024.4291873</v>
      </c>
      <c r="P110" s="277">
        <f t="shared" si="258"/>
        <v>2086116438.9583981</v>
      </c>
      <c r="Q110" s="277">
        <f t="shared" si="258"/>
        <v>1960027715.662632</v>
      </c>
      <c r="R110" s="281">
        <f t="shared" si="178"/>
        <v>12277729700.642639</v>
      </c>
      <c r="S110" s="277">
        <f t="shared" ref="S110:Z110" si="259">+S109*87.230682%</f>
        <v>1597646732.736285</v>
      </c>
      <c r="T110" s="277">
        <f t="shared" si="259"/>
        <v>2317596487.1704259</v>
      </c>
      <c r="U110" s="277">
        <f t="shared" si="259"/>
        <v>2268129406.714479</v>
      </c>
      <c r="V110" s="277">
        <f t="shared" si="259"/>
        <v>2291293819.626966</v>
      </c>
      <c r="W110" s="277">
        <f t="shared" si="259"/>
        <v>2516012574.0618329</v>
      </c>
      <c r="X110" s="277">
        <f t="shared" si="259"/>
        <v>2387180053.279098</v>
      </c>
      <c r="Y110" s="277">
        <f t="shared" si="259"/>
        <v>0</v>
      </c>
      <c r="Z110" s="277">
        <f t="shared" si="259"/>
        <v>0</v>
      </c>
      <c r="AA110" s="281">
        <f t="shared" si="195"/>
        <v>13377859073.589087</v>
      </c>
      <c r="AB110" s="403">
        <f t="shared" si="180"/>
        <v>25655588774.231728</v>
      </c>
      <c r="AC110" s="326">
        <f t="shared" si="181"/>
        <v>1.0503999357142859</v>
      </c>
    </row>
    <row r="111" spans="1:29" ht="14.25" hidden="1" x14ac:dyDescent="0.2">
      <c r="A111" s="424"/>
      <c r="B111" s="323" t="s">
        <v>495</v>
      </c>
      <c r="C111" s="206" t="s">
        <v>188</v>
      </c>
      <c r="D111" s="324">
        <f>+D109*0.1%</f>
        <v>28000000</v>
      </c>
      <c r="E111" s="325">
        <f>SUM('ADICIONES  2021'!C111:N111)</f>
        <v>0</v>
      </c>
      <c r="F111" s="277">
        <f t="shared" ref="F111:J111" si="260">+F109*0.1%</f>
        <v>0</v>
      </c>
      <c r="G111" s="277">
        <f t="shared" si="260"/>
        <v>0</v>
      </c>
      <c r="H111" s="277">
        <f t="shared" si="260"/>
        <v>0</v>
      </c>
      <c r="I111" s="277">
        <f t="shared" si="260"/>
        <v>0</v>
      </c>
      <c r="J111" s="277">
        <f t="shared" si="260"/>
        <v>0</v>
      </c>
      <c r="K111" s="281">
        <f t="shared" si="170"/>
        <v>28000000</v>
      </c>
      <c r="L111" s="277">
        <f t="shared" ref="L111:Q111" si="261">+L109*0.1%</f>
        <v>2638160.4500000002</v>
      </c>
      <c r="M111" s="277">
        <f t="shared" si="261"/>
        <v>2121495.35</v>
      </c>
      <c r="N111" s="277">
        <f t="shared" si="261"/>
        <v>2097425.2000000002</v>
      </c>
      <c r="O111" s="277">
        <f t="shared" si="261"/>
        <v>2579490.35</v>
      </c>
      <c r="P111" s="277">
        <f t="shared" si="261"/>
        <v>2391493.9</v>
      </c>
      <c r="Q111" s="277">
        <f t="shared" si="261"/>
        <v>2246947.6</v>
      </c>
      <c r="R111" s="281">
        <f t="shared" si="178"/>
        <v>14075012.850000001</v>
      </c>
      <c r="S111" s="277">
        <f t="shared" ref="S111:Z111" si="262">+S109*0.1%</f>
        <v>1831519.25</v>
      </c>
      <c r="T111" s="277">
        <f t="shared" si="262"/>
        <v>2656859.3000000003</v>
      </c>
      <c r="U111" s="277">
        <f t="shared" si="262"/>
        <v>2600150.9500000002</v>
      </c>
      <c r="V111" s="277">
        <f t="shared" si="262"/>
        <v>2626706.3000000003</v>
      </c>
      <c r="W111" s="277">
        <f t="shared" si="262"/>
        <v>2884320.65</v>
      </c>
      <c r="X111" s="277">
        <f t="shared" si="262"/>
        <v>2736628.9</v>
      </c>
      <c r="Y111" s="277">
        <f t="shared" si="262"/>
        <v>0</v>
      </c>
      <c r="Z111" s="277">
        <f t="shared" si="262"/>
        <v>0</v>
      </c>
      <c r="AA111" s="281">
        <f t="shared" si="195"/>
        <v>15336185.350000001</v>
      </c>
      <c r="AB111" s="403">
        <f t="shared" si="180"/>
        <v>29411198.200000003</v>
      </c>
      <c r="AC111" s="326">
        <f t="shared" si="181"/>
        <v>1.0503999357142859</v>
      </c>
    </row>
    <row r="112" spans="1:29" ht="14.25" hidden="1" x14ac:dyDescent="0.2">
      <c r="A112" s="424"/>
      <c r="B112" s="323" t="s">
        <v>496</v>
      </c>
      <c r="C112" s="206" t="s">
        <v>189</v>
      </c>
      <c r="D112" s="324">
        <f>+D109*9.99%</f>
        <v>2797200000</v>
      </c>
      <c r="E112" s="325">
        <f>SUM('ADICIONES  2021'!C112:N112)</f>
        <v>0</v>
      </c>
      <c r="F112" s="277">
        <f t="shared" ref="F112:J112" si="263">+F109*9.99%</f>
        <v>0</v>
      </c>
      <c r="G112" s="277">
        <f t="shared" si="263"/>
        <v>0</v>
      </c>
      <c r="H112" s="277">
        <f t="shared" si="263"/>
        <v>0</v>
      </c>
      <c r="I112" s="277">
        <f t="shared" si="263"/>
        <v>0</v>
      </c>
      <c r="J112" s="277">
        <f t="shared" si="263"/>
        <v>0</v>
      </c>
      <c r="K112" s="281">
        <f t="shared" si="170"/>
        <v>2797200000</v>
      </c>
      <c r="L112" s="277">
        <f t="shared" ref="L112:Q112" si="264">+L109*9.99%</f>
        <v>263552228.95500001</v>
      </c>
      <c r="M112" s="277">
        <f t="shared" si="264"/>
        <v>211937385.465</v>
      </c>
      <c r="N112" s="277">
        <f t="shared" si="264"/>
        <v>209532777.48000002</v>
      </c>
      <c r="O112" s="277">
        <f t="shared" si="264"/>
        <v>257691085.965</v>
      </c>
      <c r="P112" s="277">
        <f t="shared" si="264"/>
        <v>238910240.61000001</v>
      </c>
      <c r="Q112" s="277">
        <f t="shared" si="264"/>
        <v>224470065.24000001</v>
      </c>
      <c r="R112" s="281">
        <f t="shared" si="178"/>
        <v>1406093783.7150002</v>
      </c>
      <c r="S112" s="277">
        <f t="shared" ref="S112:Z112" si="265">+S109*9.99%</f>
        <v>182968773.07500002</v>
      </c>
      <c r="T112" s="277">
        <f t="shared" si="265"/>
        <v>265420244.06999999</v>
      </c>
      <c r="U112" s="277">
        <f t="shared" si="265"/>
        <v>259755079.905</v>
      </c>
      <c r="V112" s="277">
        <f t="shared" si="265"/>
        <v>262407959.37</v>
      </c>
      <c r="W112" s="277">
        <f t="shared" si="265"/>
        <v>288143632.935</v>
      </c>
      <c r="X112" s="277">
        <f t="shared" si="265"/>
        <v>273389227.11000001</v>
      </c>
      <c r="Y112" s="277">
        <f t="shared" si="265"/>
        <v>0</v>
      </c>
      <c r="Z112" s="277">
        <f t="shared" si="265"/>
        <v>0</v>
      </c>
      <c r="AA112" s="281">
        <f t="shared" si="195"/>
        <v>1532084916.4650002</v>
      </c>
      <c r="AB112" s="403">
        <f t="shared" si="180"/>
        <v>2938178700.1800003</v>
      </c>
      <c r="AC112" s="326">
        <f t="shared" si="181"/>
        <v>1.0503999357142859</v>
      </c>
    </row>
    <row r="113" spans="1:29" ht="14.25" hidden="1" x14ac:dyDescent="0.2">
      <c r="A113" s="424"/>
      <c r="B113" s="323" t="s">
        <v>497</v>
      </c>
      <c r="C113" s="329" t="s">
        <v>190</v>
      </c>
      <c r="D113" s="324">
        <f>+D109*1.7982%</f>
        <v>503496000.00000006</v>
      </c>
      <c r="E113" s="325">
        <f>SUM('ADICIONES  2021'!C113:N113)</f>
        <v>0</v>
      </c>
      <c r="F113" s="277">
        <f t="shared" ref="F113:J113" si="266">+F109*1.7982%</f>
        <v>0</v>
      </c>
      <c r="G113" s="277">
        <f t="shared" si="266"/>
        <v>0</v>
      </c>
      <c r="H113" s="277">
        <f t="shared" si="266"/>
        <v>0</v>
      </c>
      <c r="I113" s="277">
        <f t="shared" si="266"/>
        <v>0</v>
      </c>
      <c r="J113" s="277">
        <f t="shared" si="266"/>
        <v>0</v>
      </c>
      <c r="K113" s="281">
        <f t="shared" si="170"/>
        <v>503496000.00000006</v>
      </c>
      <c r="L113" s="277">
        <f t="shared" ref="L113:Q113" si="267">+L109*1.7982%</f>
        <v>47439401.211900003</v>
      </c>
      <c r="M113" s="277">
        <f t="shared" si="267"/>
        <v>38148729.383700006</v>
      </c>
      <c r="N113" s="277">
        <f t="shared" si="267"/>
        <v>37715899.946400002</v>
      </c>
      <c r="O113" s="277">
        <f t="shared" si="267"/>
        <v>46384395.473700002</v>
      </c>
      <c r="P113" s="277">
        <f t="shared" si="267"/>
        <v>43003843.309800006</v>
      </c>
      <c r="Q113" s="277">
        <f t="shared" si="267"/>
        <v>40404611.743200004</v>
      </c>
      <c r="R113" s="281">
        <f t="shared" si="178"/>
        <v>253096881.06870002</v>
      </c>
      <c r="S113" s="277">
        <f t="shared" ref="S113:Z113" si="268">+S109*1.7982%</f>
        <v>32934379.153500002</v>
      </c>
      <c r="T113" s="277">
        <f t="shared" si="268"/>
        <v>47775643.932600006</v>
      </c>
      <c r="U113" s="277">
        <f t="shared" si="268"/>
        <v>46755914.382900007</v>
      </c>
      <c r="V113" s="277">
        <f t="shared" si="268"/>
        <v>47233432.686600007</v>
      </c>
      <c r="W113" s="277">
        <f t="shared" si="268"/>
        <v>51865853.928300001</v>
      </c>
      <c r="X113" s="277">
        <f t="shared" si="268"/>
        <v>49210060.879800007</v>
      </c>
      <c r="Y113" s="277">
        <f t="shared" si="268"/>
        <v>0</v>
      </c>
      <c r="Z113" s="277">
        <f t="shared" si="268"/>
        <v>0</v>
      </c>
      <c r="AA113" s="281">
        <f t="shared" si="195"/>
        <v>275775284.9637</v>
      </c>
      <c r="AB113" s="403">
        <f t="shared" si="180"/>
        <v>528872166.03240001</v>
      </c>
      <c r="AC113" s="326">
        <f t="shared" si="181"/>
        <v>1.0503999357142857</v>
      </c>
    </row>
    <row r="114" spans="1:29" ht="25.5" hidden="1" x14ac:dyDescent="0.2">
      <c r="A114" s="424"/>
      <c r="B114" s="323" t="s">
        <v>498</v>
      </c>
      <c r="C114" s="206" t="s">
        <v>191</v>
      </c>
      <c r="D114" s="324">
        <f>+D109*0.881118%</f>
        <v>246713040</v>
      </c>
      <c r="E114" s="325">
        <f>SUM('ADICIONES  2021'!C114:N114)</f>
        <v>0</v>
      </c>
      <c r="F114" s="277">
        <f t="shared" ref="F114:J114" si="269">+F109*0.881118%</f>
        <v>0</v>
      </c>
      <c r="G114" s="277">
        <f t="shared" si="269"/>
        <v>0</v>
      </c>
      <c r="H114" s="277">
        <f t="shared" si="269"/>
        <v>0</v>
      </c>
      <c r="I114" s="277">
        <f t="shared" si="269"/>
        <v>0</v>
      </c>
      <c r="J114" s="277">
        <f t="shared" si="269"/>
        <v>0</v>
      </c>
      <c r="K114" s="281">
        <f t="shared" si="170"/>
        <v>246713040</v>
      </c>
      <c r="L114" s="277">
        <f t="shared" ref="L114:Q114" si="270">+L109*0.881118%</f>
        <v>23245306.593830999</v>
      </c>
      <c r="M114" s="277">
        <f t="shared" si="270"/>
        <v>18692877.398012999</v>
      </c>
      <c r="N114" s="277">
        <f t="shared" si="270"/>
        <v>18480790.973735999</v>
      </c>
      <c r="O114" s="277">
        <f t="shared" si="270"/>
        <v>22728353.782113001</v>
      </c>
      <c r="P114" s="277">
        <f t="shared" si="270"/>
        <v>21071883.221802</v>
      </c>
      <c r="Q114" s="277">
        <f t="shared" si="270"/>
        <v>19798259.754168</v>
      </c>
      <c r="R114" s="281">
        <f t="shared" si="178"/>
        <v>124017471.723663</v>
      </c>
      <c r="S114" s="277">
        <f t="shared" ref="S114:Z114" si="271">+S109*0.881118%</f>
        <v>16137845.785215</v>
      </c>
      <c r="T114" s="277">
        <f t="shared" si="271"/>
        <v>23410065.526974</v>
      </c>
      <c r="U114" s="277">
        <f t="shared" si="271"/>
        <v>22910398.047621001</v>
      </c>
      <c r="V114" s="277">
        <f t="shared" si="271"/>
        <v>23144382.016433999</v>
      </c>
      <c r="W114" s="277">
        <f t="shared" si="271"/>
        <v>25414268.424867</v>
      </c>
      <c r="X114" s="277">
        <f t="shared" si="271"/>
        <v>24112929.831101999</v>
      </c>
      <c r="Y114" s="277">
        <f t="shared" si="271"/>
        <v>0</v>
      </c>
      <c r="Z114" s="277">
        <f t="shared" si="271"/>
        <v>0</v>
      </c>
      <c r="AA114" s="281">
        <f t="shared" si="195"/>
        <v>135129889.632213</v>
      </c>
      <c r="AB114" s="403">
        <f t="shared" si="180"/>
        <v>259147361.355876</v>
      </c>
      <c r="AC114" s="326">
        <f t="shared" si="181"/>
        <v>1.0503999357142857</v>
      </c>
    </row>
    <row r="115" spans="1:29" s="61" customFormat="1" ht="15.75" x14ac:dyDescent="0.2">
      <c r="A115" s="428">
        <v>1</v>
      </c>
      <c r="B115" s="318" t="s">
        <v>499</v>
      </c>
      <c r="C115" s="319" t="s">
        <v>500</v>
      </c>
      <c r="D115" s="283">
        <f>+D116+D118+D123+D126+D132+D137</f>
        <v>148200000000</v>
      </c>
      <c r="E115" s="322">
        <f>SUM('ADICIONES  2021'!C115:N115)</f>
        <v>0</v>
      </c>
      <c r="F115" s="275">
        <f t="shared" ref="F115:J115" si="272">+F116+F118+F123+F126+F132+F137</f>
        <v>0</v>
      </c>
      <c r="G115" s="275">
        <f t="shared" si="272"/>
        <v>0</v>
      </c>
      <c r="H115" s="275">
        <f t="shared" si="272"/>
        <v>0</v>
      </c>
      <c r="I115" s="275">
        <f t="shared" si="272"/>
        <v>0</v>
      </c>
      <c r="J115" s="275">
        <f t="shared" si="272"/>
        <v>0</v>
      </c>
      <c r="K115" s="276">
        <f t="shared" si="170"/>
        <v>148200000000</v>
      </c>
      <c r="L115" s="275">
        <f t="shared" ref="L115:Q115" si="273">+L116+L118+L123+L126+L132+L137</f>
        <v>17364208165</v>
      </c>
      <c r="M115" s="275">
        <f t="shared" si="273"/>
        <v>14625231701</v>
      </c>
      <c r="N115" s="275">
        <f t="shared" si="273"/>
        <v>6486363083</v>
      </c>
      <c r="O115" s="275">
        <f t="shared" si="273"/>
        <v>10091348384</v>
      </c>
      <c r="P115" s="275">
        <f t="shared" si="273"/>
        <v>9933502915</v>
      </c>
      <c r="Q115" s="275">
        <f t="shared" si="273"/>
        <v>9740342874</v>
      </c>
      <c r="R115" s="276">
        <f t="shared" si="178"/>
        <v>68240997122</v>
      </c>
      <c r="S115" s="275">
        <f t="shared" ref="S115:Z115" si="274">+S116+S118+S123+S126+S132+S137</f>
        <v>10904720407</v>
      </c>
      <c r="T115" s="275">
        <f t="shared" si="274"/>
        <v>9282932036</v>
      </c>
      <c r="U115" s="275">
        <f t="shared" si="274"/>
        <v>11300215621</v>
      </c>
      <c r="V115" s="275">
        <f t="shared" si="274"/>
        <v>8457224513</v>
      </c>
      <c r="W115" s="275">
        <f t="shared" si="274"/>
        <v>20083012539</v>
      </c>
      <c r="X115" s="275">
        <f t="shared" si="274"/>
        <v>23793683594.240002</v>
      </c>
      <c r="Y115" s="275">
        <f t="shared" si="274"/>
        <v>-526413195</v>
      </c>
      <c r="Z115" s="275">
        <f t="shared" si="274"/>
        <v>0</v>
      </c>
      <c r="AA115" s="276">
        <f t="shared" si="195"/>
        <v>83295375515.240005</v>
      </c>
      <c r="AB115" s="402">
        <f t="shared" si="180"/>
        <v>151536372637.23999</v>
      </c>
      <c r="AC115" s="321">
        <f t="shared" si="181"/>
        <v>1.0225126358788124</v>
      </c>
    </row>
    <row r="116" spans="1:29" s="19" customFormat="1" x14ac:dyDescent="0.2">
      <c r="A116" s="429">
        <v>1</v>
      </c>
      <c r="B116" s="323" t="s">
        <v>501</v>
      </c>
      <c r="C116" s="206" t="s">
        <v>502</v>
      </c>
      <c r="D116" s="331">
        <v>11800000000</v>
      </c>
      <c r="E116" s="322">
        <f>SUM('ADICIONES  2021'!C116:N116)</f>
        <v>0</v>
      </c>
      <c r="F116" s="276"/>
      <c r="G116" s="276"/>
      <c r="H116" s="276"/>
      <c r="I116" s="276"/>
      <c r="J116" s="276"/>
      <c r="K116" s="281">
        <f t="shared" si="170"/>
        <v>11800000000</v>
      </c>
      <c r="L116" s="276">
        <v>1794910914</v>
      </c>
      <c r="M116" s="276">
        <v>1654969384</v>
      </c>
      <c r="N116" s="276"/>
      <c r="O116" s="276">
        <v>864759763</v>
      </c>
      <c r="P116" s="276"/>
      <c r="Q116" s="276">
        <v>568293868</v>
      </c>
      <c r="R116" s="281">
        <f t="shared" si="178"/>
        <v>4882933929</v>
      </c>
      <c r="S116" s="281">
        <v>976747388</v>
      </c>
      <c r="T116" s="281">
        <v>305614210</v>
      </c>
      <c r="U116" s="281">
        <v>737560055</v>
      </c>
      <c r="V116" s="281">
        <v>436452500</v>
      </c>
      <c r="W116" s="281">
        <v>2487195088</v>
      </c>
      <c r="X116" s="281">
        <v>2330188848.04</v>
      </c>
      <c r="Y116" s="281">
        <f>-364560236-161852959</f>
        <v>-526413195</v>
      </c>
      <c r="Z116" s="276"/>
      <c r="AA116" s="276">
        <f t="shared" si="195"/>
        <v>6747344894.04</v>
      </c>
      <c r="AB116" s="403">
        <f t="shared" si="180"/>
        <v>11630278823.040001</v>
      </c>
      <c r="AC116" s="326">
        <f t="shared" si="181"/>
        <v>0.98561684941016958</v>
      </c>
    </row>
    <row r="117" spans="1:29" ht="14.25" hidden="1" x14ac:dyDescent="0.2">
      <c r="A117" s="424"/>
      <c r="B117" s="323" t="s">
        <v>503</v>
      </c>
      <c r="C117" s="206" t="s">
        <v>192</v>
      </c>
      <c r="D117" s="324">
        <f>+D116</f>
        <v>11800000000</v>
      </c>
      <c r="E117" s="325">
        <f>SUM('ADICIONES  2021'!C117:N117)</f>
        <v>0</v>
      </c>
      <c r="F117" s="277">
        <f t="shared" ref="F117:J117" si="275">+F116</f>
        <v>0</v>
      </c>
      <c r="G117" s="277">
        <f t="shared" si="275"/>
        <v>0</v>
      </c>
      <c r="H117" s="277">
        <f t="shared" si="275"/>
        <v>0</v>
      </c>
      <c r="I117" s="277">
        <f t="shared" si="275"/>
        <v>0</v>
      </c>
      <c r="J117" s="277">
        <f t="shared" si="275"/>
        <v>0</v>
      </c>
      <c r="K117" s="281">
        <f t="shared" si="170"/>
        <v>11800000000</v>
      </c>
      <c r="L117" s="277">
        <f t="shared" ref="L117:Q117" si="276">+L116</f>
        <v>1794910914</v>
      </c>
      <c r="M117" s="277">
        <f t="shared" si="276"/>
        <v>1654969384</v>
      </c>
      <c r="N117" s="277">
        <f t="shared" si="276"/>
        <v>0</v>
      </c>
      <c r="O117" s="277">
        <f t="shared" si="276"/>
        <v>864759763</v>
      </c>
      <c r="P117" s="277">
        <f t="shared" si="276"/>
        <v>0</v>
      </c>
      <c r="Q117" s="277">
        <f t="shared" si="276"/>
        <v>568293868</v>
      </c>
      <c r="R117" s="281">
        <f t="shared" si="178"/>
        <v>4882933929</v>
      </c>
      <c r="S117" s="277">
        <f t="shared" ref="S117:Z117" si="277">+S116</f>
        <v>976747388</v>
      </c>
      <c r="T117" s="277">
        <f t="shared" si="277"/>
        <v>305614210</v>
      </c>
      <c r="U117" s="277">
        <f t="shared" si="277"/>
        <v>737560055</v>
      </c>
      <c r="V117" s="277">
        <f t="shared" si="277"/>
        <v>436452500</v>
      </c>
      <c r="W117" s="277">
        <f t="shared" si="277"/>
        <v>2487195088</v>
      </c>
      <c r="X117" s="277">
        <f t="shared" si="277"/>
        <v>2330188848.04</v>
      </c>
      <c r="Y117" s="277">
        <f t="shared" si="277"/>
        <v>-526413195</v>
      </c>
      <c r="Z117" s="277">
        <f t="shared" si="277"/>
        <v>0</v>
      </c>
      <c r="AA117" s="281">
        <f t="shared" si="195"/>
        <v>6747344894.04</v>
      </c>
      <c r="AB117" s="403">
        <f t="shared" si="180"/>
        <v>11630278823.040001</v>
      </c>
      <c r="AC117" s="326">
        <f t="shared" si="181"/>
        <v>0.98561684941016958</v>
      </c>
    </row>
    <row r="118" spans="1:29" s="19" customFormat="1" x14ac:dyDescent="0.2">
      <c r="A118" s="429">
        <v>1</v>
      </c>
      <c r="B118" s="323" t="s">
        <v>504</v>
      </c>
      <c r="C118" s="206" t="s">
        <v>505</v>
      </c>
      <c r="D118" s="330">
        <v>28600000000</v>
      </c>
      <c r="E118" s="322">
        <f>SUM('ADICIONES  2021'!C118:N118)</f>
        <v>0</v>
      </c>
      <c r="F118" s="279"/>
      <c r="G118" s="279"/>
      <c r="H118" s="279"/>
      <c r="I118" s="279"/>
      <c r="J118" s="279"/>
      <c r="K118" s="281">
        <f t="shared" si="170"/>
        <v>28600000000</v>
      </c>
      <c r="L118" s="279">
        <v>2165767411</v>
      </c>
      <c r="M118" s="279">
        <v>3337329687</v>
      </c>
      <c r="N118" s="279">
        <v>1843980124</v>
      </c>
      <c r="O118" s="279">
        <v>2180201617</v>
      </c>
      <c r="P118" s="279">
        <v>2017134704</v>
      </c>
      <c r="Q118" s="279">
        <v>2059008676</v>
      </c>
      <c r="R118" s="281">
        <f t="shared" si="178"/>
        <v>13603422219</v>
      </c>
      <c r="S118" s="277">
        <v>2184901400</v>
      </c>
      <c r="T118" s="277">
        <v>2167974327</v>
      </c>
      <c r="U118" s="277">
        <v>2767602879</v>
      </c>
      <c r="V118" s="277">
        <v>1579357736</v>
      </c>
      <c r="W118" s="277">
        <v>3142212040</v>
      </c>
      <c r="X118" s="277">
        <v>3640826647</v>
      </c>
      <c r="Y118" s="277"/>
      <c r="Z118" s="279"/>
      <c r="AA118" s="276">
        <f t="shared" si="195"/>
        <v>15482875029</v>
      </c>
      <c r="AB118" s="403">
        <f t="shared" si="180"/>
        <v>29086297248</v>
      </c>
      <c r="AC118" s="326">
        <f t="shared" si="181"/>
        <v>1.0170034002797204</v>
      </c>
    </row>
    <row r="119" spans="1:29" ht="14.25" hidden="1" x14ac:dyDescent="0.2">
      <c r="A119" s="424"/>
      <c r="B119" s="323" t="s">
        <v>506</v>
      </c>
      <c r="C119" s="206" t="s">
        <v>200</v>
      </c>
      <c r="D119" s="324">
        <f>+D118*20%</f>
        <v>5720000000</v>
      </c>
      <c r="E119" s="325">
        <f>SUM('ADICIONES  2021'!C119:N119)</f>
        <v>0</v>
      </c>
      <c r="F119" s="277">
        <f t="shared" ref="F119:J119" si="278">+F118*20%</f>
        <v>0</v>
      </c>
      <c r="G119" s="277">
        <f t="shared" si="278"/>
        <v>0</v>
      </c>
      <c r="H119" s="277">
        <f t="shared" si="278"/>
        <v>0</v>
      </c>
      <c r="I119" s="277">
        <f t="shared" si="278"/>
        <v>0</v>
      </c>
      <c r="J119" s="277">
        <f t="shared" si="278"/>
        <v>0</v>
      </c>
      <c r="K119" s="281">
        <f t="shared" si="170"/>
        <v>5720000000</v>
      </c>
      <c r="L119" s="277">
        <f t="shared" ref="L119:Q119" si="279">+L118*20%</f>
        <v>433153482.20000005</v>
      </c>
      <c r="M119" s="277">
        <f t="shared" si="279"/>
        <v>667465937.4000001</v>
      </c>
      <c r="N119" s="277">
        <f t="shared" si="279"/>
        <v>368796024.80000001</v>
      </c>
      <c r="O119" s="277">
        <f t="shared" si="279"/>
        <v>436040323.40000004</v>
      </c>
      <c r="P119" s="277">
        <f t="shared" si="279"/>
        <v>403426940.80000001</v>
      </c>
      <c r="Q119" s="277">
        <f t="shared" si="279"/>
        <v>411801735.20000005</v>
      </c>
      <c r="R119" s="281">
        <f t="shared" si="178"/>
        <v>2720684443.8000002</v>
      </c>
      <c r="S119" s="277">
        <f t="shared" ref="S119:Z119" si="280">+S118*20%</f>
        <v>436980280</v>
      </c>
      <c r="T119" s="277">
        <f t="shared" si="280"/>
        <v>433594865.40000004</v>
      </c>
      <c r="U119" s="277">
        <f t="shared" si="280"/>
        <v>553520575.80000007</v>
      </c>
      <c r="V119" s="277">
        <f t="shared" si="280"/>
        <v>315871547.19999999</v>
      </c>
      <c r="W119" s="277">
        <f t="shared" si="280"/>
        <v>628442408</v>
      </c>
      <c r="X119" s="277">
        <f t="shared" si="280"/>
        <v>728165329.4000001</v>
      </c>
      <c r="Y119" s="277">
        <f t="shared" si="280"/>
        <v>0</v>
      </c>
      <c r="Z119" s="277">
        <f t="shared" si="280"/>
        <v>0</v>
      </c>
      <c r="AA119" s="281">
        <f t="shared" si="195"/>
        <v>3096575005.8000007</v>
      </c>
      <c r="AB119" s="403">
        <f t="shared" si="180"/>
        <v>5817259449.6000004</v>
      </c>
      <c r="AC119" s="326">
        <f t="shared" si="181"/>
        <v>1.0170034002797204</v>
      </c>
    </row>
    <row r="120" spans="1:29" ht="14.25" hidden="1" x14ac:dyDescent="0.2">
      <c r="A120" s="424"/>
      <c r="B120" s="323" t="s">
        <v>507</v>
      </c>
      <c r="C120" s="329" t="s">
        <v>201</v>
      </c>
      <c r="D120" s="324">
        <f>+D118*40%</f>
        <v>11440000000</v>
      </c>
      <c r="E120" s="325">
        <f>SUM('ADICIONES  2021'!C120:N120)</f>
        <v>0</v>
      </c>
      <c r="F120" s="277">
        <f t="shared" ref="F120:J120" si="281">+F118*40%</f>
        <v>0</v>
      </c>
      <c r="G120" s="277">
        <f t="shared" si="281"/>
        <v>0</v>
      </c>
      <c r="H120" s="277">
        <f t="shared" si="281"/>
        <v>0</v>
      </c>
      <c r="I120" s="277">
        <f t="shared" si="281"/>
        <v>0</v>
      </c>
      <c r="J120" s="277">
        <f t="shared" si="281"/>
        <v>0</v>
      </c>
      <c r="K120" s="281">
        <f t="shared" si="170"/>
        <v>11440000000</v>
      </c>
      <c r="L120" s="277">
        <f t="shared" ref="L120:Q120" si="282">+L118*40%</f>
        <v>866306964.4000001</v>
      </c>
      <c r="M120" s="277">
        <f t="shared" si="282"/>
        <v>1334931874.8000002</v>
      </c>
      <c r="N120" s="277">
        <f t="shared" si="282"/>
        <v>737592049.60000002</v>
      </c>
      <c r="O120" s="277">
        <f t="shared" si="282"/>
        <v>872080646.80000007</v>
      </c>
      <c r="P120" s="277">
        <f t="shared" si="282"/>
        <v>806853881.60000002</v>
      </c>
      <c r="Q120" s="277">
        <f t="shared" si="282"/>
        <v>823603470.4000001</v>
      </c>
      <c r="R120" s="281">
        <f t="shared" si="178"/>
        <v>5441368887.6000004</v>
      </c>
      <c r="S120" s="277">
        <f t="shared" ref="S120:Z120" si="283">+S118*40%</f>
        <v>873960560</v>
      </c>
      <c r="T120" s="277">
        <f t="shared" si="283"/>
        <v>867189730.80000007</v>
      </c>
      <c r="U120" s="277">
        <f t="shared" si="283"/>
        <v>1107041151.6000001</v>
      </c>
      <c r="V120" s="277">
        <f t="shared" si="283"/>
        <v>631743094.39999998</v>
      </c>
      <c r="W120" s="277">
        <f t="shared" si="283"/>
        <v>1256884816</v>
      </c>
      <c r="X120" s="277">
        <f t="shared" si="283"/>
        <v>1456330658.8000002</v>
      </c>
      <c r="Y120" s="277">
        <f t="shared" si="283"/>
        <v>0</v>
      </c>
      <c r="Z120" s="277">
        <f t="shared" si="283"/>
        <v>0</v>
      </c>
      <c r="AA120" s="281">
        <f t="shared" si="195"/>
        <v>6193150011.6000013</v>
      </c>
      <c r="AB120" s="403">
        <f t="shared" si="180"/>
        <v>11634518899.200001</v>
      </c>
      <c r="AC120" s="326">
        <f t="shared" si="181"/>
        <v>1.0170034002797204</v>
      </c>
    </row>
    <row r="121" spans="1:29" ht="14.25" hidden="1" x14ac:dyDescent="0.2">
      <c r="A121" s="424"/>
      <c r="B121" s="323" t="s">
        <v>508</v>
      </c>
      <c r="C121" s="206" t="s">
        <v>202</v>
      </c>
      <c r="D121" s="324">
        <f>+D118*20%</f>
        <v>5720000000</v>
      </c>
      <c r="E121" s="325">
        <f>SUM('ADICIONES  2021'!C121:N121)</f>
        <v>0</v>
      </c>
      <c r="F121" s="277">
        <f t="shared" ref="F121:J121" si="284">+F118*20%</f>
        <v>0</v>
      </c>
      <c r="G121" s="277">
        <f t="shared" si="284"/>
        <v>0</v>
      </c>
      <c r="H121" s="277">
        <f t="shared" si="284"/>
        <v>0</v>
      </c>
      <c r="I121" s="277">
        <f t="shared" si="284"/>
        <v>0</v>
      </c>
      <c r="J121" s="277">
        <f t="shared" si="284"/>
        <v>0</v>
      </c>
      <c r="K121" s="281">
        <f t="shared" si="170"/>
        <v>5720000000</v>
      </c>
      <c r="L121" s="277">
        <f t="shared" ref="L121:Q121" si="285">+L118*20%</f>
        <v>433153482.20000005</v>
      </c>
      <c r="M121" s="277">
        <f t="shared" si="285"/>
        <v>667465937.4000001</v>
      </c>
      <c r="N121" s="277">
        <f t="shared" si="285"/>
        <v>368796024.80000001</v>
      </c>
      <c r="O121" s="277">
        <f t="shared" si="285"/>
        <v>436040323.40000004</v>
      </c>
      <c r="P121" s="277">
        <f t="shared" si="285"/>
        <v>403426940.80000001</v>
      </c>
      <c r="Q121" s="277">
        <f t="shared" si="285"/>
        <v>411801735.20000005</v>
      </c>
      <c r="R121" s="281">
        <f t="shared" si="178"/>
        <v>2720684443.8000002</v>
      </c>
      <c r="S121" s="277">
        <f t="shared" ref="S121:Z121" si="286">+S118*20%</f>
        <v>436980280</v>
      </c>
      <c r="T121" s="277">
        <f t="shared" si="286"/>
        <v>433594865.40000004</v>
      </c>
      <c r="U121" s="277">
        <f t="shared" si="286"/>
        <v>553520575.80000007</v>
      </c>
      <c r="V121" s="277">
        <f t="shared" si="286"/>
        <v>315871547.19999999</v>
      </c>
      <c r="W121" s="277">
        <f t="shared" si="286"/>
        <v>628442408</v>
      </c>
      <c r="X121" s="277">
        <f t="shared" si="286"/>
        <v>728165329.4000001</v>
      </c>
      <c r="Y121" s="277">
        <f t="shared" si="286"/>
        <v>0</v>
      </c>
      <c r="Z121" s="277">
        <f t="shared" si="286"/>
        <v>0</v>
      </c>
      <c r="AA121" s="281">
        <f t="shared" si="195"/>
        <v>3096575005.8000007</v>
      </c>
      <c r="AB121" s="403">
        <f t="shared" si="180"/>
        <v>5817259449.6000004</v>
      </c>
      <c r="AC121" s="326">
        <f t="shared" si="181"/>
        <v>1.0170034002797204</v>
      </c>
    </row>
    <row r="122" spans="1:29" ht="14.25" hidden="1" x14ac:dyDescent="0.2">
      <c r="A122" s="424"/>
      <c r="B122" s="323" t="s">
        <v>509</v>
      </c>
      <c r="C122" s="206" t="s">
        <v>203</v>
      </c>
      <c r="D122" s="324">
        <f>+D118*20%</f>
        <v>5720000000</v>
      </c>
      <c r="E122" s="325">
        <f>SUM('ADICIONES  2021'!C122:N122)</f>
        <v>0</v>
      </c>
      <c r="F122" s="277">
        <f t="shared" ref="F122:J122" si="287">+F118*20%</f>
        <v>0</v>
      </c>
      <c r="G122" s="277">
        <f t="shared" si="287"/>
        <v>0</v>
      </c>
      <c r="H122" s="277">
        <f t="shared" si="287"/>
        <v>0</v>
      </c>
      <c r="I122" s="277">
        <f t="shared" si="287"/>
        <v>0</v>
      </c>
      <c r="J122" s="277">
        <f t="shared" si="287"/>
        <v>0</v>
      </c>
      <c r="K122" s="281">
        <f t="shared" si="170"/>
        <v>5720000000</v>
      </c>
      <c r="L122" s="277">
        <f t="shared" ref="L122:Q122" si="288">+L118*20%</f>
        <v>433153482.20000005</v>
      </c>
      <c r="M122" s="277">
        <f t="shared" si="288"/>
        <v>667465937.4000001</v>
      </c>
      <c r="N122" s="277">
        <f t="shared" si="288"/>
        <v>368796024.80000001</v>
      </c>
      <c r="O122" s="277">
        <f t="shared" si="288"/>
        <v>436040323.40000004</v>
      </c>
      <c r="P122" s="277">
        <f t="shared" si="288"/>
        <v>403426940.80000001</v>
      </c>
      <c r="Q122" s="277">
        <f t="shared" si="288"/>
        <v>411801735.20000005</v>
      </c>
      <c r="R122" s="281">
        <f t="shared" si="178"/>
        <v>2720684443.8000002</v>
      </c>
      <c r="S122" s="277">
        <f t="shared" ref="S122:Z122" si="289">+S118*20%</f>
        <v>436980280</v>
      </c>
      <c r="T122" s="277">
        <f t="shared" si="289"/>
        <v>433594865.40000004</v>
      </c>
      <c r="U122" s="277">
        <f t="shared" si="289"/>
        <v>553520575.80000007</v>
      </c>
      <c r="V122" s="277">
        <f t="shared" si="289"/>
        <v>315871547.19999999</v>
      </c>
      <c r="W122" s="277">
        <f t="shared" si="289"/>
        <v>628442408</v>
      </c>
      <c r="X122" s="277">
        <f t="shared" si="289"/>
        <v>728165329.4000001</v>
      </c>
      <c r="Y122" s="277">
        <f t="shared" si="289"/>
        <v>0</v>
      </c>
      <c r="Z122" s="277">
        <f t="shared" si="289"/>
        <v>0</v>
      </c>
      <c r="AA122" s="281">
        <f t="shared" si="195"/>
        <v>3096575005.8000007</v>
      </c>
      <c r="AB122" s="403">
        <f t="shared" si="180"/>
        <v>5817259449.6000004</v>
      </c>
      <c r="AC122" s="326">
        <f t="shared" si="181"/>
        <v>1.0170034002797204</v>
      </c>
    </row>
    <row r="123" spans="1:29" s="19" customFormat="1" x14ac:dyDescent="0.2">
      <c r="A123" s="429">
        <v>1</v>
      </c>
      <c r="B123" s="323" t="s">
        <v>510</v>
      </c>
      <c r="C123" s="206" t="s">
        <v>193</v>
      </c>
      <c r="D123" s="331">
        <v>12000000000</v>
      </c>
      <c r="E123" s="322">
        <f>SUM('ADICIONES  2021'!C123:N123)</f>
        <v>0</v>
      </c>
      <c r="F123" s="276"/>
      <c r="G123" s="276"/>
      <c r="H123" s="276"/>
      <c r="I123" s="276"/>
      <c r="J123" s="276"/>
      <c r="K123" s="281">
        <f t="shared" si="170"/>
        <v>12000000000</v>
      </c>
      <c r="L123" s="276">
        <v>2551090811</v>
      </c>
      <c r="M123" s="276">
        <v>1391003251</v>
      </c>
      <c r="N123" s="276">
        <v>598349858</v>
      </c>
      <c r="O123" s="276">
        <v>1092711168</v>
      </c>
      <c r="P123" s="276">
        <v>1213732759</v>
      </c>
      <c r="Q123" s="276">
        <v>915843367</v>
      </c>
      <c r="R123" s="281">
        <f t="shared" si="178"/>
        <v>7762731214</v>
      </c>
      <c r="S123" s="281">
        <v>1140168962</v>
      </c>
      <c r="T123" s="281">
        <v>885825675</v>
      </c>
      <c r="U123" s="281">
        <v>1666969683</v>
      </c>
      <c r="V123" s="281">
        <v>818247014</v>
      </c>
      <c r="W123" s="281">
        <v>2300445052</v>
      </c>
      <c r="X123" s="281">
        <v>2652470850</v>
      </c>
      <c r="Y123" s="281"/>
      <c r="Z123" s="276"/>
      <c r="AA123" s="276">
        <f t="shared" si="195"/>
        <v>9464127236</v>
      </c>
      <c r="AB123" s="403">
        <f t="shared" si="180"/>
        <v>17226858450</v>
      </c>
      <c r="AC123" s="326">
        <f t="shared" si="181"/>
        <v>1.4355715375</v>
      </c>
    </row>
    <row r="124" spans="1:29" ht="14.25" hidden="1" x14ac:dyDescent="0.2">
      <c r="A124" s="424"/>
      <c r="B124" s="323" t="s">
        <v>511</v>
      </c>
      <c r="C124" s="206" t="s">
        <v>194</v>
      </c>
      <c r="D124" s="324">
        <f>+D123*80%</f>
        <v>9600000000</v>
      </c>
      <c r="E124" s="325">
        <f>SUM('ADICIONES  2021'!C124:N124)</f>
        <v>0</v>
      </c>
      <c r="F124" s="277">
        <f t="shared" ref="F124:J124" si="290">+F123*80%</f>
        <v>0</v>
      </c>
      <c r="G124" s="277">
        <f t="shared" si="290"/>
        <v>0</v>
      </c>
      <c r="H124" s="277">
        <f t="shared" si="290"/>
        <v>0</v>
      </c>
      <c r="I124" s="277">
        <f t="shared" si="290"/>
        <v>0</v>
      </c>
      <c r="J124" s="277">
        <f t="shared" si="290"/>
        <v>0</v>
      </c>
      <c r="K124" s="281">
        <f t="shared" si="170"/>
        <v>9600000000</v>
      </c>
      <c r="L124" s="277">
        <f t="shared" ref="L124:Q124" si="291">+L123*80%</f>
        <v>2040872648.8000002</v>
      </c>
      <c r="M124" s="277">
        <f t="shared" si="291"/>
        <v>1112802600.8</v>
      </c>
      <c r="N124" s="277">
        <f t="shared" si="291"/>
        <v>478679886.40000004</v>
      </c>
      <c r="O124" s="277">
        <f t="shared" si="291"/>
        <v>874168934.4000001</v>
      </c>
      <c r="P124" s="277">
        <f t="shared" si="291"/>
        <v>970986207.20000005</v>
      </c>
      <c r="Q124" s="277">
        <f t="shared" si="291"/>
        <v>732674693.60000002</v>
      </c>
      <c r="R124" s="281">
        <f t="shared" si="178"/>
        <v>6210184971.2000008</v>
      </c>
      <c r="S124" s="277">
        <f t="shared" ref="S124:Z124" si="292">+S123*80%</f>
        <v>912135169.60000002</v>
      </c>
      <c r="T124" s="277">
        <f t="shared" si="292"/>
        <v>708660540</v>
      </c>
      <c r="U124" s="277">
        <f t="shared" si="292"/>
        <v>1333575746.4000001</v>
      </c>
      <c r="V124" s="277">
        <f t="shared" si="292"/>
        <v>654597611.20000005</v>
      </c>
      <c r="W124" s="277">
        <f t="shared" si="292"/>
        <v>1840356041.6000001</v>
      </c>
      <c r="X124" s="277">
        <f t="shared" si="292"/>
        <v>2121976680</v>
      </c>
      <c r="Y124" s="277">
        <f t="shared" si="292"/>
        <v>0</v>
      </c>
      <c r="Z124" s="277">
        <f t="shared" si="292"/>
        <v>0</v>
      </c>
      <c r="AA124" s="281">
        <f t="shared" si="195"/>
        <v>7571301788.8000002</v>
      </c>
      <c r="AB124" s="403">
        <f t="shared" si="180"/>
        <v>13781486760</v>
      </c>
      <c r="AC124" s="326">
        <f t="shared" si="181"/>
        <v>1.4355715375</v>
      </c>
    </row>
    <row r="125" spans="1:29" ht="14.25" hidden="1" x14ac:dyDescent="0.2">
      <c r="A125" s="424"/>
      <c r="B125" s="323" t="s">
        <v>512</v>
      </c>
      <c r="C125" s="206" t="s">
        <v>195</v>
      </c>
      <c r="D125" s="324">
        <f>+D123*20%</f>
        <v>2400000000</v>
      </c>
      <c r="E125" s="325">
        <f>SUM('ADICIONES  2021'!C125:N125)</f>
        <v>0</v>
      </c>
      <c r="F125" s="277">
        <f t="shared" ref="F125:J125" si="293">+F123*20%</f>
        <v>0</v>
      </c>
      <c r="G125" s="277">
        <f t="shared" si="293"/>
        <v>0</v>
      </c>
      <c r="H125" s="277">
        <f t="shared" si="293"/>
        <v>0</v>
      </c>
      <c r="I125" s="277">
        <f t="shared" si="293"/>
        <v>0</v>
      </c>
      <c r="J125" s="277">
        <f t="shared" si="293"/>
        <v>0</v>
      </c>
      <c r="K125" s="281">
        <f t="shared" si="170"/>
        <v>2400000000</v>
      </c>
      <c r="L125" s="277">
        <f t="shared" ref="L125:Q125" si="294">+L123*20%</f>
        <v>510218162.20000005</v>
      </c>
      <c r="M125" s="277">
        <f t="shared" si="294"/>
        <v>278200650.19999999</v>
      </c>
      <c r="N125" s="277">
        <f t="shared" si="294"/>
        <v>119669971.60000001</v>
      </c>
      <c r="O125" s="277">
        <f t="shared" si="294"/>
        <v>218542233.60000002</v>
      </c>
      <c r="P125" s="277">
        <f t="shared" si="294"/>
        <v>242746551.80000001</v>
      </c>
      <c r="Q125" s="277">
        <f t="shared" si="294"/>
        <v>183168673.40000001</v>
      </c>
      <c r="R125" s="281">
        <f t="shared" si="178"/>
        <v>1552546242.8000002</v>
      </c>
      <c r="S125" s="277">
        <f t="shared" ref="S125:Z125" si="295">+S123*20%</f>
        <v>228033792.40000001</v>
      </c>
      <c r="T125" s="277">
        <f t="shared" si="295"/>
        <v>177165135</v>
      </c>
      <c r="U125" s="277">
        <f t="shared" si="295"/>
        <v>333393936.60000002</v>
      </c>
      <c r="V125" s="277">
        <f t="shared" si="295"/>
        <v>163649402.80000001</v>
      </c>
      <c r="W125" s="277">
        <f t="shared" si="295"/>
        <v>460089010.40000004</v>
      </c>
      <c r="X125" s="277">
        <f t="shared" si="295"/>
        <v>530494170</v>
      </c>
      <c r="Y125" s="277">
        <f t="shared" si="295"/>
        <v>0</v>
      </c>
      <c r="Z125" s="277">
        <f t="shared" si="295"/>
        <v>0</v>
      </c>
      <c r="AA125" s="281">
        <f t="shared" si="195"/>
        <v>1892825447.2</v>
      </c>
      <c r="AB125" s="403">
        <f t="shared" si="180"/>
        <v>3445371690</v>
      </c>
      <c r="AC125" s="326">
        <f t="shared" si="181"/>
        <v>1.4355715375</v>
      </c>
    </row>
    <row r="126" spans="1:29" s="19" customFormat="1" x14ac:dyDescent="0.2">
      <c r="A126" s="429">
        <v>1</v>
      </c>
      <c r="B126" s="323" t="s">
        <v>513</v>
      </c>
      <c r="C126" s="206" t="s">
        <v>514</v>
      </c>
      <c r="D126" s="331">
        <v>46800000000</v>
      </c>
      <c r="E126" s="322">
        <f>SUM('ADICIONES  2021'!C126:N126)</f>
        <v>0</v>
      </c>
      <c r="F126" s="276"/>
      <c r="G126" s="276"/>
      <c r="H126" s="276"/>
      <c r="I126" s="276"/>
      <c r="J126" s="276"/>
      <c r="K126" s="281">
        <f t="shared" si="170"/>
        <v>46800000000</v>
      </c>
      <c r="L126" s="276">
        <v>5388654630</v>
      </c>
      <c r="M126" s="276">
        <v>3666660934</v>
      </c>
      <c r="N126" s="276">
        <v>2317061873</v>
      </c>
      <c r="O126" s="276">
        <v>2958891086</v>
      </c>
      <c r="P126" s="276">
        <v>3703350259</v>
      </c>
      <c r="Q126" s="276">
        <v>3314430887</v>
      </c>
      <c r="R126" s="281">
        <f t="shared" si="178"/>
        <v>21349049669</v>
      </c>
      <c r="S126" s="281">
        <v>3372403137</v>
      </c>
      <c r="T126" s="281">
        <v>3379105872</v>
      </c>
      <c r="U126" s="281">
        <v>3039237121</v>
      </c>
      <c r="V126" s="281">
        <v>2898072229</v>
      </c>
      <c r="W126" s="281">
        <v>5655556986</v>
      </c>
      <c r="X126" s="281">
        <v>7233892451</v>
      </c>
      <c r="Y126" s="281"/>
      <c r="Z126" s="276"/>
      <c r="AA126" s="276">
        <f t="shared" si="195"/>
        <v>25578267796</v>
      </c>
      <c r="AB126" s="403">
        <f t="shared" si="180"/>
        <v>46927317465</v>
      </c>
      <c r="AC126" s="326">
        <f t="shared" si="181"/>
        <v>1.0027204586538461</v>
      </c>
    </row>
    <row r="127" spans="1:29" ht="14.25" hidden="1" x14ac:dyDescent="0.2">
      <c r="A127" s="424"/>
      <c r="B127" s="323" t="s">
        <v>515</v>
      </c>
      <c r="C127" s="206" t="s">
        <v>206</v>
      </c>
      <c r="D127" s="324">
        <f>+D126*75%</f>
        <v>35100000000</v>
      </c>
      <c r="E127" s="325">
        <f>SUM('ADICIONES  2021'!C127:N127)</f>
        <v>0</v>
      </c>
      <c r="F127" s="277">
        <f t="shared" ref="F127:J127" si="296">+F126*75%</f>
        <v>0</v>
      </c>
      <c r="G127" s="277">
        <f t="shared" si="296"/>
        <v>0</v>
      </c>
      <c r="H127" s="277">
        <f t="shared" si="296"/>
        <v>0</v>
      </c>
      <c r="I127" s="277">
        <f t="shared" si="296"/>
        <v>0</v>
      </c>
      <c r="J127" s="277">
        <f t="shared" si="296"/>
        <v>0</v>
      </c>
      <c r="K127" s="281">
        <f t="shared" si="170"/>
        <v>35100000000</v>
      </c>
      <c r="L127" s="277">
        <f t="shared" ref="L127:Q127" si="297">+L126*75%</f>
        <v>4041490972.5</v>
      </c>
      <c r="M127" s="277">
        <f t="shared" si="297"/>
        <v>2749995700.5</v>
      </c>
      <c r="N127" s="277">
        <f t="shared" si="297"/>
        <v>1737796404.75</v>
      </c>
      <c r="O127" s="277">
        <f t="shared" si="297"/>
        <v>2219168314.5</v>
      </c>
      <c r="P127" s="277">
        <f t="shared" si="297"/>
        <v>2777512694.25</v>
      </c>
      <c r="Q127" s="277">
        <f t="shared" si="297"/>
        <v>2485823165.25</v>
      </c>
      <c r="R127" s="281">
        <f t="shared" si="178"/>
        <v>16011787251.75</v>
      </c>
      <c r="S127" s="277">
        <f t="shared" ref="S127:Z127" si="298">+S126*75%</f>
        <v>2529302352.75</v>
      </c>
      <c r="T127" s="277">
        <f t="shared" si="298"/>
        <v>2534329404</v>
      </c>
      <c r="U127" s="277">
        <f t="shared" si="298"/>
        <v>2279427840.75</v>
      </c>
      <c r="V127" s="277">
        <f t="shared" si="298"/>
        <v>2173554171.75</v>
      </c>
      <c r="W127" s="277">
        <f t="shared" si="298"/>
        <v>4241667739.5</v>
      </c>
      <c r="X127" s="277">
        <f t="shared" si="298"/>
        <v>5425419338.25</v>
      </c>
      <c r="Y127" s="277">
        <f t="shared" si="298"/>
        <v>0</v>
      </c>
      <c r="Z127" s="277">
        <f t="shared" si="298"/>
        <v>0</v>
      </c>
      <c r="AA127" s="281">
        <f t="shared" si="195"/>
        <v>19183700847</v>
      </c>
      <c r="AB127" s="403">
        <f t="shared" si="180"/>
        <v>35195488098.75</v>
      </c>
      <c r="AC127" s="326">
        <f t="shared" si="181"/>
        <v>1.0027204586538461</v>
      </c>
    </row>
    <row r="128" spans="1:29" ht="14.25" hidden="1" x14ac:dyDescent="0.2">
      <c r="A128" s="424"/>
      <c r="B128" s="323" t="s">
        <v>516</v>
      </c>
      <c r="C128" s="206" t="s">
        <v>207</v>
      </c>
      <c r="D128" s="324">
        <f>+D126*12%</f>
        <v>5616000000</v>
      </c>
      <c r="E128" s="325">
        <f>SUM('ADICIONES  2021'!C128:N128)</f>
        <v>0</v>
      </c>
      <c r="F128" s="277">
        <f t="shared" ref="F128:J128" si="299">+F126*12%</f>
        <v>0</v>
      </c>
      <c r="G128" s="277">
        <f t="shared" si="299"/>
        <v>0</v>
      </c>
      <c r="H128" s="277">
        <f t="shared" si="299"/>
        <v>0</v>
      </c>
      <c r="I128" s="277">
        <f t="shared" si="299"/>
        <v>0</v>
      </c>
      <c r="J128" s="277">
        <f t="shared" si="299"/>
        <v>0</v>
      </c>
      <c r="K128" s="281">
        <f t="shared" si="170"/>
        <v>5616000000</v>
      </c>
      <c r="L128" s="277">
        <f t="shared" ref="L128:Q128" si="300">+L126*12%</f>
        <v>646638555.60000002</v>
      </c>
      <c r="M128" s="277">
        <f t="shared" si="300"/>
        <v>439999312.07999998</v>
      </c>
      <c r="N128" s="277">
        <f t="shared" si="300"/>
        <v>278047424.75999999</v>
      </c>
      <c r="O128" s="277">
        <f t="shared" si="300"/>
        <v>355066930.31999999</v>
      </c>
      <c r="P128" s="277">
        <f t="shared" si="300"/>
        <v>444402031.07999998</v>
      </c>
      <c r="Q128" s="277">
        <f t="shared" si="300"/>
        <v>397731706.44</v>
      </c>
      <c r="R128" s="281">
        <f t="shared" si="178"/>
        <v>2561885960.2800002</v>
      </c>
      <c r="S128" s="277">
        <f t="shared" ref="S128:Z128" si="301">+S126*12%</f>
        <v>404688376.44</v>
      </c>
      <c r="T128" s="277">
        <f t="shared" si="301"/>
        <v>405492704.63999999</v>
      </c>
      <c r="U128" s="277">
        <f t="shared" si="301"/>
        <v>364708454.51999998</v>
      </c>
      <c r="V128" s="277">
        <f t="shared" si="301"/>
        <v>347768667.47999996</v>
      </c>
      <c r="W128" s="277">
        <f t="shared" si="301"/>
        <v>678666838.31999993</v>
      </c>
      <c r="X128" s="277">
        <f t="shared" si="301"/>
        <v>868067094.12</v>
      </c>
      <c r="Y128" s="277">
        <f t="shared" si="301"/>
        <v>0</v>
      </c>
      <c r="Z128" s="277">
        <f t="shared" si="301"/>
        <v>0</v>
      </c>
      <c r="AA128" s="281">
        <f t="shared" si="195"/>
        <v>3069392135.5199995</v>
      </c>
      <c r="AB128" s="403">
        <f t="shared" si="180"/>
        <v>5631278095.7999992</v>
      </c>
      <c r="AC128" s="326">
        <f t="shared" si="181"/>
        <v>1.0027204586538461</v>
      </c>
    </row>
    <row r="129" spans="1:29" ht="14.25" hidden="1" x14ac:dyDescent="0.2">
      <c r="A129" s="424"/>
      <c r="B129" s="323" t="s">
        <v>517</v>
      </c>
      <c r="C129" s="206" t="s">
        <v>208</v>
      </c>
      <c r="D129" s="324">
        <f>+D126*8%</f>
        <v>3744000000</v>
      </c>
      <c r="E129" s="325">
        <f>SUM('ADICIONES  2021'!C129:N129)</f>
        <v>0</v>
      </c>
      <c r="F129" s="277">
        <f t="shared" ref="F129:J129" si="302">+F126*8%</f>
        <v>0</v>
      </c>
      <c r="G129" s="277">
        <f t="shared" si="302"/>
        <v>0</v>
      </c>
      <c r="H129" s="277">
        <f t="shared" si="302"/>
        <v>0</v>
      </c>
      <c r="I129" s="277">
        <f t="shared" si="302"/>
        <v>0</v>
      </c>
      <c r="J129" s="277">
        <f t="shared" si="302"/>
        <v>0</v>
      </c>
      <c r="K129" s="281">
        <f t="shared" si="170"/>
        <v>3744000000</v>
      </c>
      <c r="L129" s="277">
        <f t="shared" ref="L129:Q129" si="303">+L126*8%</f>
        <v>431092370.40000004</v>
      </c>
      <c r="M129" s="277">
        <f t="shared" si="303"/>
        <v>293332874.72000003</v>
      </c>
      <c r="N129" s="277">
        <f t="shared" si="303"/>
        <v>185364949.84</v>
      </c>
      <c r="O129" s="277">
        <f t="shared" si="303"/>
        <v>236711286.88</v>
      </c>
      <c r="P129" s="277">
        <f t="shared" si="303"/>
        <v>296268020.72000003</v>
      </c>
      <c r="Q129" s="277">
        <f t="shared" si="303"/>
        <v>265154470.96000001</v>
      </c>
      <c r="R129" s="281">
        <f t="shared" si="178"/>
        <v>1707923973.5200002</v>
      </c>
      <c r="S129" s="277">
        <f t="shared" ref="S129:Z129" si="304">+S126*8%</f>
        <v>269792250.95999998</v>
      </c>
      <c r="T129" s="277">
        <f t="shared" si="304"/>
        <v>270328469.75999999</v>
      </c>
      <c r="U129" s="277">
        <f t="shared" si="304"/>
        <v>243138969.68000001</v>
      </c>
      <c r="V129" s="277">
        <f t="shared" si="304"/>
        <v>231845778.31999999</v>
      </c>
      <c r="W129" s="277">
        <f t="shared" si="304"/>
        <v>452444558.88</v>
      </c>
      <c r="X129" s="277">
        <f t="shared" si="304"/>
        <v>578711396.08000004</v>
      </c>
      <c r="Y129" s="277">
        <f t="shared" si="304"/>
        <v>0</v>
      </c>
      <c r="Z129" s="277">
        <f t="shared" si="304"/>
        <v>0</v>
      </c>
      <c r="AA129" s="281">
        <f t="shared" si="195"/>
        <v>2046261423.6799998</v>
      </c>
      <c r="AB129" s="403">
        <f t="shared" si="180"/>
        <v>3754185397.1999998</v>
      </c>
      <c r="AC129" s="326">
        <f t="shared" si="181"/>
        <v>1.0027204586538461</v>
      </c>
    </row>
    <row r="130" spans="1:29" ht="14.25" hidden="1" x14ac:dyDescent="0.2">
      <c r="A130" s="424"/>
      <c r="B130" s="323" t="s">
        <v>518</v>
      </c>
      <c r="C130" s="206" t="s">
        <v>209</v>
      </c>
      <c r="D130" s="324">
        <f>+D126*3%</f>
        <v>1404000000</v>
      </c>
      <c r="E130" s="325">
        <f>SUM('ADICIONES  2021'!C130:N130)</f>
        <v>0</v>
      </c>
      <c r="F130" s="277">
        <f t="shared" ref="F130:J130" si="305">+F126*3%</f>
        <v>0</v>
      </c>
      <c r="G130" s="277">
        <f t="shared" si="305"/>
        <v>0</v>
      </c>
      <c r="H130" s="277">
        <f t="shared" si="305"/>
        <v>0</v>
      </c>
      <c r="I130" s="277">
        <f t="shared" si="305"/>
        <v>0</v>
      </c>
      <c r="J130" s="277">
        <f t="shared" si="305"/>
        <v>0</v>
      </c>
      <c r="K130" s="281">
        <f t="shared" si="170"/>
        <v>1404000000</v>
      </c>
      <c r="L130" s="277">
        <f t="shared" ref="L130:Q130" si="306">+L126*3%</f>
        <v>161659638.90000001</v>
      </c>
      <c r="M130" s="277">
        <f t="shared" si="306"/>
        <v>109999828.02</v>
      </c>
      <c r="N130" s="277">
        <f t="shared" si="306"/>
        <v>69511856.189999998</v>
      </c>
      <c r="O130" s="277">
        <f t="shared" si="306"/>
        <v>88766732.579999998</v>
      </c>
      <c r="P130" s="277">
        <f t="shared" si="306"/>
        <v>111100507.77</v>
      </c>
      <c r="Q130" s="277">
        <f t="shared" si="306"/>
        <v>99432926.609999999</v>
      </c>
      <c r="R130" s="281">
        <f t="shared" si="178"/>
        <v>640471490.07000005</v>
      </c>
      <c r="S130" s="277">
        <f t="shared" ref="S130:Z130" si="307">+S126*3%</f>
        <v>101172094.11</v>
      </c>
      <c r="T130" s="277">
        <f t="shared" si="307"/>
        <v>101373176.16</v>
      </c>
      <c r="U130" s="277">
        <f t="shared" si="307"/>
        <v>91177113.629999995</v>
      </c>
      <c r="V130" s="277">
        <f t="shared" si="307"/>
        <v>86942166.86999999</v>
      </c>
      <c r="W130" s="277">
        <f t="shared" si="307"/>
        <v>169666709.57999998</v>
      </c>
      <c r="X130" s="277">
        <f t="shared" si="307"/>
        <v>217016773.53</v>
      </c>
      <c r="Y130" s="277">
        <f t="shared" si="307"/>
        <v>0</v>
      </c>
      <c r="Z130" s="277">
        <f t="shared" si="307"/>
        <v>0</v>
      </c>
      <c r="AA130" s="281">
        <f t="shared" si="195"/>
        <v>767348033.87999988</v>
      </c>
      <c r="AB130" s="403">
        <f t="shared" si="180"/>
        <v>1407819523.9499998</v>
      </c>
      <c r="AC130" s="326">
        <f t="shared" si="181"/>
        <v>1.0027204586538461</v>
      </c>
    </row>
    <row r="131" spans="1:29" ht="14.25" hidden="1" x14ac:dyDescent="0.2">
      <c r="A131" s="424"/>
      <c r="B131" s="323" t="s">
        <v>519</v>
      </c>
      <c r="C131" s="206" t="s">
        <v>210</v>
      </c>
      <c r="D131" s="324">
        <f>+D126*2%</f>
        <v>936000000</v>
      </c>
      <c r="E131" s="325">
        <f>SUM('ADICIONES  2021'!C131:N131)</f>
        <v>0</v>
      </c>
      <c r="F131" s="277">
        <f t="shared" ref="F131:J131" si="308">+F126*2%</f>
        <v>0</v>
      </c>
      <c r="G131" s="277">
        <f t="shared" si="308"/>
        <v>0</v>
      </c>
      <c r="H131" s="277">
        <f t="shared" si="308"/>
        <v>0</v>
      </c>
      <c r="I131" s="277">
        <f t="shared" si="308"/>
        <v>0</v>
      </c>
      <c r="J131" s="277">
        <f t="shared" si="308"/>
        <v>0</v>
      </c>
      <c r="K131" s="281">
        <f t="shared" si="170"/>
        <v>936000000</v>
      </c>
      <c r="L131" s="277">
        <f t="shared" ref="L131:Q131" si="309">+L126*2%</f>
        <v>107773092.60000001</v>
      </c>
      <c r="M131" s="277">
        <f t="shared" si="309"/>
        <v>73333218.680000007</v>
      </c>
      <c r="N131" s="277">
        <f t="shared" si="309"/>
        <v>46341237.460000001</v>
      </c>
      <c r="O131" s="277">
        <f t="shared" si="309"/>
        <v>59177821.719999999</v>
      </c>
      <c r="P131" s="277">
        <f t="shared" si="309"/>
        <v>74067005.180000007</v>
      </c>
      <c r="Q131" s="277">
        <f t="shared" si="309"/>
        <v>66288617.740000002</v>
      </c>
      <c r="R131" s="281">
        <f t="shared" si="178"/>
        <v>426980993.38000005</v>
      </c>
      <c r="S131" s="277">
        <f t="shared" ref="S131:Z131" si="310">+S126*2%</f>
        <v>67448062.739999995</v>
      </c>
      <c r="T131" s="277">
        <f t="shared" si="310"/>
        <v>67582117.439999998</v>
      </c>
      <c r="U131" s="277">
        <f t="shared" si="310"/>
        <v>60784742.420000002</v>
      </c>
      <c r="V131" s="277">
        <f t="shared" si="310"/>
        <v>57961444.579999998</v>
      </c>
      <c r="W131" s="277">
        <f t="shared" si="310"/>
        <v>113111139.72</v>
      </c>
      <c r="X131" s="277">
        <f t="shared" si="310"/>
        <v>144677849.02000001</v>
      </c>
      <c r="Y131" s="277">
        <f t="shared" si="310"/>
        <v>0</v>
      </c>
      <c r="Z131" s="277">
        <f t="shared" si="310"/>
        <v>0</v>
      </c>
      <c r="AA131" s="281">
        <f t="shared" si="195"/>
        <v>511565355.91999996</v>
      </c>
      <c r="AB131" s="403">
        <f t="shared" si="180"/>
        <v>938546349.29999995</v>
      </c>
      <c r="AC131" s="326">
        <f t="shared" si="181"/>
        <v>1.0027204586538461</v>
      </c>
    </row>
    <row r="132" spans="1:29" s="19" customFormat="1" x14ac:dyDescent="0.2">
      <c r="A132" s="429">
        <v>1</v>
      </c>
      <c r="B132" s="323" t="s">
        <v>520</v>
      </c>
      <c r="C132" s="206" t="s">
        <v>521</v>
      </c>
      <c r="D132" s="331">
        <v>40200000000</v>
      </c>
      <c r="E132" s="322">
        <f>SUM('ADICIONES  2021'!C132:N132)</f>
        <v>0</v>
      </c>
      <c r="F132" s="276"/>
      <c r="G132" s="276"/>
      <c r="H132" s="276"/>
      <c r="I132" s="276"/>
      <c r="J132" s="276"/>
      <c r="K132" s="281">
        <f t="shared" si="170"/>
        <v>40200000000</v>
      </c>
      <c r="L132" s="276">
        <v>4391639595</v>
      </c>
      <c r="M132" s="276">
        <v>3258912562</v>
      </c>
      <c r="N132" s="276">
        <v>1546008791</v>
      </c>
      <c r="O132" s="276">
        <v>2239648077</v>
      </c>
      <c r="P132" s="276">
        <v>2445285758</v>
      </c>
      <c r="Q132" s="276">
        <v>2404150945</v>
      </c>
      <c r="R132" s="281">
        <f t="shared" si="178"/>
        <v>16285645728</v>
      </c>
      <c r="S132" s="281">
        <v>2552793809</v>
      </c>
      <c r="T132" s="281">
        <v>2266183796</v>
      </c>
      <c r="U132" s="281">
        <v>2434137813</v>
      </c>
      <c r="V132" s="281">
        <v>2392841715</v>
      </c>
      <c r="W132" s="281">
        <v>4633212700</v>
      </c>
      <c r="X132" s="281">
        <v>6038615950.1999998</v>
      </c>
      <c r="Y132" s="281"/>
      <c r="Z132" s="276"/>
      <c r="AA132" s="276">
        <f t="shared" si="195"/>
        <v>20317785783.200001</v>
      </c>
      <c r="AB132" s="403">
        <f t="shared" si="180"/>
        <v>36603431511.199997</v>
      </c>
      <c r="AC132" s="326">
        <f t="shared" si="181"/>
        <v>0.91053312216915416</v>
      </c>
    </row>
    <row r="133" spans="1:29" ht="14.25" hidden="1" x14ac:dyDescent="0.2">
      <c r="A133" s="424"/>
      <c r="B133" s="323" t="s">
        <v>522</v>
      </c>
      <c r="C133" s="206" t="s">
        <v>204</v>
      </c>
      <c r="D133" s="324">
        <f>+D132*60%</f>
        <v>24120000000</v>
      </c>
      <c r="E133" s="325">
        <f>SUM('ADICIONES  2021'!C133:N133)</f>
        <v>0</v>
      </c>
      <c r="F133" s="277">
        <f t="shared" ref="F133:J133" si="311">+F132*60%</f>
        <v>0</v>
      </c>
      <c r="G133" s="277">
        <f t="shared" si="311"/>
        <v>0</v>
      </c>
      <c r="H133" s="277">
        <f t="shared" si="311"/>
        <v>0</v>
      </c>
      <c r="I133" s="277">
        <f t="shared" si="311"/>
        <v>0</v>
      </c>
      <c r="J133" s="277">
        <f t="shared" si="311"/>
        <v>0</v>
      </c>
      <c r="K133" s="281">
        <f t="shared" si="170"/>
        <v>24120000000</v>
      </c>
      <c r="L133" s="277">
        <f t="shared" ref="L133:Q133" si="312">+L132*60%</f>
        <v>2634983757</v>
      </c>
      <c r="M133" s="277">
        <f t="shared" si="312"/>
        <v>1955347537.1999998</v>
      </c>
      <c r="N133" s="277">
        <f t="shared" si="312"/>
        <v>927605274.60000002</v>
      </c>
      <c r="O133" s="277">
        <f t="shared" si="312"/>
        <v>1343788846.2</v>
      </c>
      <c r="P133" s="277">
        <f t="shared" si="312"/>
        <v>1467171454.8</v>
      </c>
      <c r="Q133" s="277">
        <f t="shared" si="312"/>
        <v>1442490567</v>
      </c>
      <c r="R133" s="281">
        <f t="shared" si="178"/>
        <v>9771387436.7999992</v>
      </c>
      <c r="S133" s="277">
        <f t="shared" ref="S133:Z133" si="313">+S132*60%</f>
        <v>1531676285.3999999</v>
      </c>
      <c r="T133" s="277">
        <f t="shared" si="313"/>
        <v>1359710277.5999999</v>
      </c>
      <c r="U133" s="277">
        <f t="shared" si="313"/>
        <v>1460482687.8</v>
      </c>
      <c r="V133" s="277">
        <f t="shared" si="313"/>
        <v>1435705029</v>
      </c>
      <c r="W133" s="277">
        <f t="shared" si="313"/>
        <v>2779927620</v>
      </c>
      <c r="X133" s="277">
        <f t="shared" si="313"/>
        <v>3623169570.1199999</v>
      </c>
      <c r="Y133" s="277">
        <f t="shared" si="313"/>
        <v>0</v>
      </c>
      <c r="Z133" s="277">
        <f t="shared" si="313"/>
        <v>0</v>
      </c>
      <c r="AA133" s="281">
        <f t="shared" si="195"/>
        <v>12190671469.92</v>
      </c>
      <c r="AB133" s="403">
        <f t="shared" si="180"/>
        <v>21962058906.720001</v>
      </c>
      <c r="AC133" s="326">
        <f t="shared" si="181"/>
        <v>0.91053312216915427</v>
      </c>
    </row>
    <row r="134" spans="1:29" ht="25.5" hidden="1" x14ac:dyDescent="0.2">
      <c r="A134" s="424"/>
      <c r="B134" s="323" t="s">
        <v>523</v>
      </c>
      <c r="C134" s="206" t="s">
        <v>205</v>
      </c>
      <c r="D134" s="324">
        <f>+D132*19%</f>
        <v>7638000000</v>
      </c>
      <c r="E134" s="325">
        <f>SUM('ADICIONES  2021'!C134:N134)</f>
        <v>0</v>
      </c>
      <c r="F134" s="277">
        <f t="shared" ref="F134:J134" si="314">+F132*19%</f>
        <v>0</v>
      </c>
      <c r="G134" s="277">
        <f t="shared" si="314"/>
        <v>0</v>
      </c>
      <c r="H134" s="277">
        <f t="shared" si="314"/>
        <v>0</v>
      </c>
      <c r="I134" s="277">
        <f t="shared" si="314"/>
        <v>0</v>
      </c>
      <c r="J134" s="277">
        <f t="shared" si="314"/>
        <v>0</v>
      </c>
      <c r="K134" s="281">
        <f t="shared" si="170"/>
        <v>7638000000</v>
      </c>
      <c r="L134" s="277">
        <f t="shared" ref="L134:Q134" si="315">+L132*19%</f>
        <v>834411523.04999995</v>
      </c>
      <c r="M134" s="277">
        <f t="shared" si="315"/>
        <v>619193386.77999997</v>
      </c>
      <c r="N134" s="277">
        <f t="shared" si="315"/>
        <v>293741670.29000002</v>
      </c>
      <c r="O134" s="277">
        <f t="shared" si="315"/>
        <v>425533134.63</v>
      </c>
      <c r="P134" s="277">
        <f t="shared" si="315"/>
        <v>464604294.01999998</v>
      </c>
      <c r="Q134" s="277">
        <f t="shared" si="315"/>
        <v>456788679.55000001</v>
      </c>
      <c r="R134" s="281">
        <f t="shared" si="178"/>
        <v>3094272688.3200002</v>
      </c>
      <c r="S134" s="277">
        <f t="shared" ref="S134:Z134" si="316">+S132*19%</f>
        <v>485030823.70999998</v>
      </c>
      <c r="T134" s="277">
        <f t="shared" si="316"/>
        <v>430574921.24000001</v>
      </c>
      <c r="U134" s="277">
        <f t="shared" si="316"/>
        <v>462486184.47000003</v>
      </c>
      <c r="V134" s="277">
        <f t="shared" si="316"/>
        <v>454639925.85000002</v>
      </c>
      <c r="W134" s="277">
        <f t="shared" si="316"/>
        <v>880310413</v>
      </c>
      <c r="X134" s="277">
        <f t="shared" si="316"/>
        <v>1147337030.5379999</v>
      </c>
      <c r="Y134" s="277">
        <f t="shared" si="316"/>
        <v>0</v>
      </c>
      <c r="Z134" s="277">
        <f t="shared" si="316"/>
        <v>0</v>
      </c>
      <c r="AA134" s="281">
        <f t="shared" si="195"/>
        <v>3860379298.8079996</v>
      </c>
      <c r="AB134" s="403">
        <f t="shared" si="180"/>
        <v>6954651987.1280003</v>
      </c>
      <c r="AC134" s="326">
        <f t="shared" si="181"/>
        <v>0.91053312216915427</v>
      </c>
    </row>
    <row r="135" spans="1:29" ht="14.25" hidden="1" x14ac:dyDescent="0.2">
      <c r="A135" s="424"/>
      <c r="B135" s="323" t="s">
        <v>524</v>
      </c>
      <c r="C135" s="206" t="s">
        <v>525</v>
      </c>
      <c r="D135" s="324">
        <f>+D132*1%</f>
        <v>402000000</v>
      </c>
      <c r="E135" s="325">
        <f>SUM('ADICIONES  2021'!C135:N135)</f>
        <v>0</v>
      </c>
      <c r="F135" s="277">
        <f t="shared" ref="F135:J135" si="317">+F132*1%</f>
        <v>0</v>
      </c>
      <c r="G135" s="277">
        <f t="shared" si="317"/>
        <v>0</v>
      </c>
      <c r="H135" s="277">
        <f t="shared" si="317"/>
        <v>0</v>
      </c>
      <c r="I135" s="277">
        <f t="shared" si="317"/>
        <v>0</v>
      </c>
      <c r="J135" s="277">
        <f t="shared" si="317"/>
        <v>0</v>
      </c>
      <c r="K135" s="281">
        <f t="shared" si="170"/>
        <v>402000000</v>
      </c>
      <c r="L135" s="277">
        <f t="shared" ref="L135:Q135" si="318">+L132*1%</f>
        <v>43916395.950000003</v>
      </c>
      <c r="M135" s="277">
        <f t="shared" si="318"/>
        <v>32589125.620000001</v>
      </c>
      <c r="N135" s="277">
        <f t="shared" si="318"/>
        <v>15460087.91</v>
      </c>
      <c r="O135" s="277">
        <f t="shared" si="318"/>
        <v>22396480.77</v>
      </c>
      <c r="P135" s="277">
        <f t="shared" si="318"/>
        <v>24452857.580000002</v>
      </c>
      <c r="Q135" s="277">
        <f t="shared" si="318"/>
        <v>24041509.449999999</v>
      </c>
      <c r="R135" s="281">
        <f t="shared" si="178"/>
        <v>162856457.28</v>
      </c>
      <c r="S135" s="277">
        <f t="shared" ref="S135:Z135" si="319">+S132*1%</f>
        <v>25527938.09</v>
      </c>
      <c r="T135" s="277">
        <f t="shared" si="319"/>
        <v>22661837.960000001</v>
      </c>
      <c r="U135" s="277">
        <f t="shared" si="319"/>
        <v>24341378.129999999</v>
      </c>
      <c r="V135" s="277">
        <f t="shared" si="319"/>
        <v>23928417.150000002</v>
      </c>
      <c r="W135" s="277">
        <f t="shared" si="319"/>
        <v>46332127</v>
      </c>
      <c r="X135" s="277">
        <f t="shared" si="319"/>
        <v>60386159.501999997</v>
      </c>
      <c r="Y135" s="277">
        <f t="shared" si="319"/>
        <v>0</v>
      </c>
      <c r="Z135" s="277">
        <f t="shared" si="319"/>
        <v>0</v>
      </c>
      <c r="AA135" s="281">
        <f t="shared" si="195"/>
        <v>203177857.83199999</v>
      </c>
      <c r="AB135" s="403">
        <f t="shared" si="180"/>
        <v>366034315.11199999</v>
      </c>
      <c r="AC135" s="326">
        <f t="shared" si="181"/>
        <v>0.91053312216915416</v>
      </c>
    </row>
    <row r="136" spans="1:29" ht="14.25" hidden="1" x14ac:dyDescent="0.2">
      <c r="A136" s="424"/>
      <c r="B136" s="323" t="s">
        <v>526</v>
      </c>
      <c r="C136" s="206" t="s">
        <v>527</v>
      </c>
      <c r="D136" s="324">
        <f>+D132*20%</f>
        <v>8040000000</v>
      </c>
      <c r="E136" s="325">
        <f>SUM('ADICIONES  2021'!C136:N136)</f>
        <v>0</v>
      </c>
      <c r="F136" s="277">
        <f t="shared" ref="F136:J136" si="320">+F132*20%</f>
        <v>0</v>
      </c>
      <c r="G136" s="277">
        <f t="shared" si="320"/>
        <v>0</v>
      </c>
      <c r="H136" s="277">
        <f t="shared" si="320"/>
        <v>0</v>
      </c>
      <c r="I136" s="277">
        <f t="shared" si="320"/>
        <v>0</v>
      </c>
      <c r="J136" s="277">
        <f t="shared" si="320"/>
        <v>0</v>
      </c>
      <c r="K136" s="281">
        <f t="shared" si="170"/>
        <v>8040000000</v>
      </c>
      <c r="L136" s="277">
        <f t="shared" ref="L136:Q136" si="321">+L132*20%</f>
        <v>878327919</v>
      </c>
      <c r="M136" s="277">
        <f t="shared" si="321"/>
        <v>651782512.4000001</v>
      </c>
      <c r="N136" s="277">
        <f t="shared" si="321"/>
        <v>309201758.19999999</v>
      </c>
      <c r="O136" s="277">
        <f t="shared" si="321"/>
        <v>447929615.40000004</v>
      </c>
      <c r="P136" s="277">
        <f t="shared" si="321"/>
        <v>489057151.60000002</v>
      </c>
      <c r="Q136" s="277">
        <f t="shared" si="321"/>
        <v>480830189</v>
      </c>
      <c r="R136" s="281">
        <f t="shared" si="178"/>
        <v>3257129145.5999999</v>
      </c>
      <c r="S136" s="277">
        <f t="shared" ref="S136:Z136" si="322">+S132*20%</f>
        <v>510558761.80000001</v>
      </c>
      <c r="T136" s="277">
        <f t="shared" si="322"/>
        <v>453236759.20000005</v>
      </c>
      <c r="U136" s="277">
        <f t="shared" si="322"/>
        <v>486827562.60000002</v>
      </c>
      <c r="V136" s="277">
        <f t="shared" si="322"/>
        <v>478568343</v>
      </c>
      <c r="W136" s="277">
        <f t="shared" si="322"/>
        <v>926642540</v>
      </c>
      <c r="X136" s="277">
        <f t="shared" si="322"/>
        <v>1207723190.04</v>
      </c>
      <c r="Y136" s="277">
        <f t="shared" si="322"/>
        <v>0</v>
      </c>
      <c r="Z136" s="277">
        <f t="shared" si="322"/>
        <v>0</v>
      </c>
      <c r="AA136" s="281">
        <f t="shared" si="195"/>
        <v>4063557156.6399999</v>
      </c>
      <c r="AB136" s="403">
        <f t="shared" si="180"/>
        <v>7320686302.2399998</v>
      </c>
      <c r="AC136" s="326">
        <f t="shared" si="181"/>
        <v>0.91053312216915416</v>
      </c>
    </row>
    <row r="137" spans="1:29" s="19" customFormat="1" x14ac:dyDescent="0.2">
      <c r="A137" s="429">
        <v>1</v>
      </c>
      <c r="B137" s="323" t="s">
        <v>528</v>
      </c>
      <c r="C137" s="206" t="s">
        <v>529</v>
      </c>
      <c r="D137" s="331">
        <v>8800000000</v>
      </c>
      <c r="E137" s="322">
        <f>SUM('ADICIONES  2021'!C137:N137)</f>
        <v>0</v>
      </c>
      <c r="F137" s="276"/>
      <c r="G137" s="276"/>
      <c r="H137" s="276"/>
      <c r="I137" s="276"/>
      <c r="J137" s="276"/>
      <c r="K137" s="281">
        <f t="shared" si="170"/>
        <v>8800000000</v>
      </c>
      <c r="L137" s="276">
        <v>1072144804</v>
      </c>
      <c r="M137" s="276">
        <v>1316355883</v>
      </c>
      <c r="N137" s="276">
        <v>180962437</v>
      </c>
      <c r="O137" s="276">
        <v>755136673</v>
      </c>
      <c r="P137" s="276">
        <v>553999435</v>
      </c>
      <c r="Q137" s="276">
        <v>478615131</v>
      </c>
      <c r="R137" s="281">
        <f t="shared" si="178"/>
        <v>4357214363</v>
      </c>
      <c r="S137" s="281">
        <v>677705711</v>
      </c>
      <c r="T137" s="281">
        <v>278228156</v>
      </c>
      <c r="U137" s="281">
        <v>654708070</v>
      </c>
      <c r="V137" s="281">
        <v>332253319</v>
      </c>
      <c r="W137" s="281">
        <v>1864390673</v>
      </c>
      <c r="X137" s="281">
        <v>1897688848</v>
      </c>
      <c r="Y137" s="281"/>
      <c r="Z137" s="276"/>
      <c r="AA137" s="276">
        <f t="shared" si="195"/>
        <v>5704974777</v>
      </c>
      <c r="AB137" s="403">
        <f t="shared" si="180"/>
        <v>10062189140</v>
      </c>
      <c r="AC137" s="326">
        <f t="shared" si="181"/>
        <v>1.1434305840909091</v>
      </c>
    </row>
    <row r="138" spans="1:29" ht="14.25" hidden="1" x14ac:dyDescent="0.2">
      <c r="A138" s="424"/>
      <c r="B138" s="323" t="s">
        <v>530</v>
      </c>
      <c r="C138" s="206" t="s">
        <v>196</v>
      </c>
      <c r="D138" s="324">
        <f>+D137*60%</f>
        <v>5280000000</v>
      </c>
      <c r="E138" s="325">
        <f>SUM('ADICIONES  2021'!C138:N138)</f>
        <v>0</v>
      </c>
      <c r="F138" s="277">
        <f t="shared" ref="F138:J138" si="323">+F137*60%</f>
        <v>0</v>
      </c>
      <c r="G138" s="277">
        <f t="shared" si="323"/>
        <v>0</v>
      </c>
      <c r="H138" s="277">
        <f t="shared" si="323"/>
        <v>0</v>
      </c>
      <c r="I138" s="277">
        <f t="shared" si="323"/>
        <v>0</v>
      </c>
      <c r="J138" s="277">
        <f t="shared" si="323"/>
        <v>0</v>
      </c>
      <c r="K138" s="281">
        <f t="shared" si="170"/>
        <v>5280000000</v>
      </c>
      <c r="L138" s="277">
        <f t="shared" ref="L138:Q138" si="324">+L137*60%</f>
        <v>643286882.39999998</v>
      </c>
      <c r="M138" s="277">
        <f t="shared" si="324"/>
        <v>789813529.79999995</v>
      </c>
      <c r="N138" s="277">
        <f t="shared" si="324"/>
        <v>108577462.2</v>
      </c>
      <c r="O138" s="277">
        <f t="shared" si="324"/>
        <v>453082003.80000001</v>
      </c>
      <c r="P138" s="277">
        <f t="shared" si="324"/>
        <v>332399661</v>
      </c>
      <c r="Q138" s="277">
        <f t="shared" si="324"/>
        <v>287169078.59999996</v>
      </c>
      <c r="R138" s="281">
        <f t="shared" si="178"/>
        <v>2614328617.7999997</v>
      </c>
      <c r="S138" s="277">
        <f t="shared" ref="S138:Z138" si="325">+S137*60%</f>
        <v>406623426.59999996</v>
      </c>
      <c r="T138" s="277">
        <f t="shared" si="325"/>
        <v>166936893.59999999</v>
      </c>
      <c r="U138" s="277">
        <f t="shared" si="325"/>
        <v>392824842</v>
      </c>
      <c r="V138" s="277">
        <f t="shared" si="325"/>
        <v>199351991.40000001</v>
      </c>
      <c r="W138" s="277">
        <f t="shared" si="325"/>
        <v>1118634403.8</v>
      </c>
      <c r="X138" s="277">
        <f t="shared" si="325"/>
        <v>1138613308.8</v>
      </c>
      <c r="Y138" s="277">
        <f t="shared" si="325"/>
        <v>0</v>
      </c>
      <c r="Z138" s="277">
        <f t="shared" si="325"/>
        <v>0</v>
      </c>
      <c r="AA138" s="281">
        <f t="shared" si="195"/>
        <v>3422984866.1999998</v>
      </c>
      <c r="AB138" s="403">
        <f t="shared" si="180"/>
        <v>6037313484</v>
      </c>
      <c r="AC138" s="326">
        <f t="shared" si="181"/>
        <v>1.1434305840909091</v>
      </c>
    </row>
    <row r="139" spans="1:29" ht="14.25" hidden="1" x14ac:dyDescent="0.2">
      <c r="A139" s="424"/>
      <c r="B139" s="323" t="s">
        <v>531</v>
      </c>
      <c r="C139" s="206" t="s">
        <v>197</v>
      </c>
      <c r="D139" s="324">
        <f>+D137*20%</f>
        <v>1760000000</v>
      </c>
      <c r="E139" s="325">
        <f>SUM('ADICIONES  2021'!C139:N139)</f>
        <v>0</v>
      </c>
      <c r="F139" s="277">
        <f t="shared" ref="F139:J139" si="326">+F137*20%</f>
        <v>0</v>
      </c>
      <c r="G139" s="277">
        <f t="shared" si="326"/>
        <v>0</v>
      </c>
      <c r="H139" s="277">
        <f t="shared" si="326"/>
        <v>0</v>
      </c>
      <c r="I139" s="277">
        <f t="shared" si="326"/>
        <v>0</v>
      </c>
      <c r="J139" s="277">
        <f t="shared" si="326"/>
        <v>0</v>
      </c>
      <c r="K139" s="281">
        <f t="shared" si="170"/>
        <v>1760000000</v>
      </c>
      <c r="L139" s="277">
        <f t="shared" ref="L139:Q139" si="327">+L137*20%</f>
        <v>214428960.80000001</v>
      </c>
      <c r="M139" s="277">
        <f t="shared" si="327"/>
        <v>263271176.60000002</v>
      </c>
      <c r="N139" s="277">
        <f t="shared" si="327"/>
        <v>36192487.399999999</v>
      </c>
      <c r="O139" s="277">
        <f t="shared" si="327"/>
        <v>151027334.59999999</v>
      </c>
      <c r="P139" s="277">
        <f t="shared" si="327"/>
        <v>110799887</v>
      </c>
      <c r="Q139" s="277">
        <f t="shared" si="327"/>
        <v>95723026.200000003</v>
      </c>
      <c r="R139" s="281">
        <f t="shared" si="178"/>
        <v>871442872.60000002</v>
      </c>
      <c r="S139" s="277">
        <f t="shared" ref="S139:Z139" si="328">+S137*20%</f>
        <v>135541142.20000002</v>
      </c>
      <c r="T139" s="277">
        <f t="shared" si="328"/>
        <v>55645631.200000003</v>
      </c>
      <c r="U139" s="277">
        <f t="shared" si="328"/>
        <v>130941614</v>
      </c>
      <c r="V139" s="277">
        <f t="shared" si="328"/>
        <v>66450663.800000004</v>
      </c>
      <c r="W139" s="277">
        <f t="shared" si="328"/>
        <v>372878134.60000002</v>
      </c>
      <c r="X139" s="277">
        <f t="shared" si="328"/>
        <v>379537769.60000002</v>
      </c>
      <c r="Y139" s="277">
        <f t="shared" si="328"/>
        <v>0</v>
      </c>
      <c r="Z139" s="277">
        <f t="shared" si="328"/>
        <v>0</v>
      </c>
      <c r="AA139" s="281">
        <f t="shared" si="195"/>
        <v>1140994955.4000001</v>
      </c>
      <c r="AB139" s="403">
        <f t="shared" si="180"/>
        <v>2012437828</v>
      </c>
      <c r="AC139" s="326">
        <f t="shared" si="181"/>
        <v>1.1434305840909091</v>
      </c>
    </row>
    <row r="140" spans="1:29" ht="14.25" hidden="1" x14ac:dyDescent="0.2">
      <c r="A140" s="424"/>
      <c r="B140" s="323" t="s">
        <v>532</v>
      </c>
      <c r="C140" s="206" t="s">
        <v>198</v>
      </c>
      <c r="D140" s="324">
        <f>+D137*10%</f>
        <v>880000000</v>
      </c>
      <c r="E140" s="325">
        <f>SUM('ADICIONES  2021'!C140:N140)</f>
        <v>0</v>
      </c>
      <c r="F140" s="277">
        <f t="shared" ref="F140:J140" si="329">+F137*10%</f>
        <v>0</v>
      </c>
      <c r="G140" s="277">
        <f t="shared" si="329"/>
        <v>0</v>
      </c>
      <c r="H140" s="277">
        <f t="shared" si="329"/>
        <v>0</v>
      </c>
      <c r="I140" s="277">
        <f t="shared" si="329"/>
        <v>0</v>
      </c>
      <c r="J140" s="277">
        <f t="shared" si="329"/>
        <v>0</v>
      </c>
      <c r="K140" s="281">
        <f t="shared" ref="K140:K205" si="330">+D140+E140-F140+G140-H140</f>
        <v>880000000</v>
      </c>
      <c r="L140" s="277">
        <f t="shared" ref="L140:Q140" si="331">+L137*10%</f>
        <v>107214480.40000001</v>
      </c>
      <c r="M140" s="277">
        <f t="shared" si="331"/>
        <v>131635588.30000001</v>
      </c>
      <c r="N140" s="277">
        <f t="shared" si="331"/>
        <v>18096243.699999999</v>
      </c>
      <c r="O140" s="277">
        <f t="shared" si="331"/>
        <v>75513667.299999997</v>
      </c>
      <c r="P140" s="277">
        <f t="shared" si="331"/>
        <v>55399943.5</v>
      </c>
      <c r="Q140" s="277">
        <f t="shared" si="331"/>
        <v>47861513.100000001</v>
      </c>
      <c r="R140" s="281">
        <f t="shared" si="178"/>
        <v>435721436.30000001</v>
      </c>
      <c r="S140" s="277">
        <f t="shared" ref="S140:Z140" si="332">+S137*10%</f>
        <v>67770571.100000009</v>
      </c>
      <c r="T140" s="277">
        <f t="shared" si="332"/>
        <v>27822815.600000001</v>
      </c>
      <c r="U140" s="277">
        <f t="shared" si="332"/>
        <v>65470807</v>
      </c>
      <c r="V140" s="277">
        <f t="shared" si="332"/>
        <v>33225331.900000002</v>
      </c>
      <c r="W140" s="277">
        <f t="shared" si="332"/>
        <v>186439067.30000001</v>
      </c>
      <c r="X140" s="277">
        <f t="shared" si="332"/>
        <v>189768884.80000001</v>
      </c>
      <c r="Y140" s="277">
        <f t="shared" si="332"/>
        <v>0</v>
      </c>
      <c r="Z140" s="277">
        <f t="shared" si="332"/>
        <v>0</v>
      </c>
      <c r="AA140" s="281">
        <f t="shared" si="195"/>
        <v>570497477.70000005</v>
      </c>
      <c r="AB140" s="403">
        <f t="shared" si="180"/>
        <v>1006218914</v>
      </c>
      <c r="AC140" s="326">
        <f t="shared" si="181"/>
        <v>1.1434305840909091</v>
      </c>
    </row>
    <row r="141" spans="1:29" ht="14.25" hidden="1" x14ac:dyDescent="0.2">
      <c r="A141" s="424"/>
      <c r="B141" s="323" t="s">
        <v>533</v>
      </c>
      <c r="C141" s="206" t="s">
        <v>199</v>
      </c>
      <c r="D141" s="324">
        <f>+D137*10%</f>
        <v>880000000</v>
      </c>
      <c r="E141" s="325">
        <f>SUM('ADICIONES  2021'!C141:N141)</f>
        <v>0</v>
      </c>
      <c r="F141" s="277">
        <f t="shared" ref="F141:J141" si="333">+F137*10%</f>
        <v>0</v>
      </c>
      <c r="G141" s="277">
        <f t="shared" si="333"/>
        <v>0</v>
      </c>
      <c r="H141" s="277">
        <f t="shared" si="333"/>
        <v>0</v>
      </c>
      <c r="I141" s="277">
        <f t="shared" si="333"/>
        <v>0</v>
      </c>
      <c r="J141" s="277">
        <f t="shared" si="333"/>
        <v>0</v>
      </c>
      <c r="K141" s="281">
        <f t="shared" si="330"/>
        <v>880000000</v>
      </c>
      <c r="L141" s="277">
        <f t="shared" ref="L141:Q141" si="334">+L137*10%</f>
        <v>107214480.40000001</v>
      </c>
      <c r="M141" s="277">
        <f t="shared" si="334"/>
        <v>131635588.30000001</v>
      </c>
      <c r="N141" s="277">
        <f t="shared" si="334"/>
        <v>18096243.699999999</v>
      </c>
      <c r="O141" s="277">
        <f t="shared" si="334"/>
        <v>75513667.299999997</v>
      </c>
      <c r="P141" s="277">
        <f t="shared" si="334"/>
        <v>55399943.5</v>
      </c>
      <c r="Q141" s="277">
        <f t="shared" si="334"/>
        <v>47861513.100000001</v>
      </c>
      <c r="R141" s="281">
        <f t="shared" si="178"/>
        <v>435721436.30000001</v>
      </c>
      <c r="S141" s="277">
        <f t="shared" ref="S141:Z141" si="335">+S137*10%</f>
        <v>67770571.100000009</v>
      </c>
      <c r="T141" s="277">
        <f t="shared" si="335"/>
        <v>27822815.600000001</v>
      </c>
      <c r="U141" s="277">
        <f t="shared" si="335"/>
        <v>65470807</v>
      </c>
      <c r="V141" s="277">
        <f t="shared" si="335"/>
        <v>33225331.900000002</v>
      </c>
      <c r="W141" s="277">
        <f t="shared" si="335"/>
        <v>186439067.30000001</v>
      </c>
      <c r="X141" s="277">
        <f t="shared" si="335"/>
        <v>189768884.80000001</v>
      </c>
      <c r="Y141" s="277">
        <f t="shared" si="335"/>
        <v>0</v>
      </c>
      <c r="Z141" s="277">
        <f t="shared" si="335"/>
        <v>0</v>
      </c>
      <c r="AA141" s="281">
        <f t="shared" si="195"/>
        <v>570497477.70000005</v>
      </c>
      <c r="AB141" s="403">
        <f t="shared" si="180"/>
        <v>1006218914</v>
      </c>
      <c r="AC141" s="326">
        <f t="shared" si="181"/>
        <v>1.1434305840909091</v>
      </c>
    </row>
    <row r="142" spans="1:29" s="185" customFormat="1" ht="19.5" x14ac:dyDescent="0.2">
      <c r="A142" s="182">
        <v>1</v>
      </c>
      <c r="B142" s="312" t="s">
        <v>534</v>
      </c>
      <c r="C142" s="313" t="s">
        <v>211</v>
      </c>
      <c r="D142" s="333">
        <f>+D143+D151+D181+D191+D221</f>
        <v>126759808818</v>
      </c>
      <c r="E142" s="320">
        <f>SUM('ADICIONES  2021'!C142:N142)</f>
        <v>25363952830.029999</v>
      </c>
      <c r="F142" s="280">
        <f t="shared" ref="F142:J142" si="336">+F143+F151+F181+F191+F221</f>
        <v>3027284471</v>
      </c>
      <c r="G142" s="280">
        <f t="shared" si="336"/>
        <v>0</v>
      </c>
      <c r="H142" s="280">
        <f t="shared" si="336"/>
        <v>0</v>
      </c>
      <c r="I142" s="280">
        <f t="shared" si="336"/>
        <v>0</v>
      </c>
      <c r="J142" s="280">
        <f t="shared" si="336"/>
        <v>0</v>
      </c>
      <c r="K142" s="316">
        <f t="shared" si="330"/>
        <v>149096477177.03</v>
      </c>
      <c r="L142" s="280">
        <f t="shared" ref="L142:Q142" si="337">+L143+L151+L181+L191+L221</f>
        <v>11611011121.23</v>
      </c>
      <c r="M142" s="280">
        <f t="shared" si="337"/>
        <v>11444892605.289198</v>
      </c>
      <c r="N142" s="280">
        <f t="shared" si="337"/>
        <v>12783464575.609001</v>
      </c>
      <c r="O142" s="280">
        <f t="shared" si="337"/>
        <v>10109051680.16</v>
      </c>
      <c r="P142" s="280">
        <f t="shared" si="337"/>
        <v>11789187233.08</v>
      </c>
      <c r="Q142" s="280">
        <f t="shared" si="337"/>
        <v>13612527667.34</v>
      </c>
      <c r="R142" s="316">
        <f t="shared" ref="R142:R208" si="338">SUM(L142:Q142)</f>
        <v>71350134882.708191</v>
      </c>
      <c r="S142" s="280">
        <f t="shared" ref="S142:Z142" si="339">+S143+S151+S181+S191+S221</f>
        <v>13449465765.18</v>
      </c>
      <c r="T142" s="280">
        <f t="shared" si="339"/>
        <v>10040817732.609999</v>
      </c>
      <c r="U142" s="280">
        <f t="shared" si="339"/>
        <v>15100118975.029999</v>
      </c>
      <c r="V142" s="280">
        <f t="shared" si="339"/>
        <v>9910437755.0699997</v>
      </c>
      <c r="W142" s="280">
        <f t="shared" si="339"/>
        <v>18537923427.049999</v>
      </c>
      <c r="X142" s="280">
        <f t="shared" si="339"/>
        <v>11588186810.219999</v>
      </c>
      <c r="Y142" s="280">
        <f t="shared" si="339"/>
        <v>82528859.209999993</v>
      </c>
      <c r="Z142" s="280">
        <f t="shared" si="339"/>
        <v>0</v>
      </c>
      <c r="AA142" s="316">
        <f t="shared" si="195"/>
        <v>78709479324.37001</v>
      </c>
      <c r="AB142" s="401">
        <f t="shared" ref="AB142:AB208" si="340">+R142+AA142</f>
        <v>150059614207.07819</v>
      </c>
      <c r="AC142" s="317">
        <f t="shared" ref="AC142:AC211" si="341">+AB142/K142</f>
        <v>1.0064598241909137</v>
      </c>
    </row>
    <row r="143" spans="1:29" s="61" customFormat="1" ht="15.75" x14ac:dyDescent="0.2">
      <c r="A143" s="428">
        <v>1</v>
      </c>
      <c r="B143" s="318" t="s">
        <v>535</v>
      </c>
      <c r="C143" s="319" t="s">
        <v>536</v>
      </c>
      <c r="D143" s="283">
        <f>+D144+D146</f>
        <v>8172000000</v>
      </c>
      <c r="E143" s="325">
        <f>SUM('ADICIONES  2021'!C143:N143)</f>
        <v>0</v>
      </c>
      <c r="F143" s="275">
        <f t="shared" ref="F143:J143" si="342">+F144+F146</f>
        <v>0</v>
      </c>
      <c r="G143" s="275">
        <f t="shared" si="342"/>
        <v>0</v>
      </c>
      <c r="H143" s="275">
        <f t="shared" si="342"/>
        <v>0</v>
      </c>
      <c r="I143" s="275">
        <f t="shared" si="342"/>
        <v>0</v>
      </c>
      <c r="J143" s="275">
        <f t="shared" si="342"/>
        <v>0</v>
      </c>
      <c r="K143" s="276">
        <f t="shared" si="330"/>
        <v>8172000000</v>
      </c>
      <c r="L143" s="275">
        <f t="shared" ref="L143:Q143" si="343">+L144+L146</f>
        <v>1858044387</v>
      </c>
      <c r="M143" s="275">
        <f t="shared" si="343"/>
        <v>1217632339</v>
      </c>
      <c r="N143" s="275">
        <f t="shared" si="343"/>
        <v>941045921</v>
      </c>
      <c r="O143" s="275">
        <f t="shared" si="343"/>
        <v>857654243</v>
      </c>
      <c r="P143" s="275">
        <f t="shared" si="343"/>
        <v>1530632923</v>
      </c>
      <c r="Q143" s="275">
        <f t="shared" si="343"/>
        <v>969263781</v>
      </c>
      <c r="R143" s="276">
        <f t="shared" si="338"/>
        <v>7374273594</v>
      </c>
      <c r="S143" s="275">
        <f t="shared" ref="S143:Z143" si="344">+S144+S146</f>
        <v>1460676027.8499999</v>
      </c>
      <c r="T143" s="275">
        <f t="shared" si="344"/>
        <v>1119512667.6199999</v>
      </c>
      <c r="U143" s="275">
        <f t="shared" si="344"/>
        <v>307133392</v>
      </c>
      <c r="V143" s="275">
        <f t="shared" si="344"/>
        <v>75414100</v>
      </c>
      <c r="W143" s="275">
        <f t="shared" si="344"/>
        <v>939555400</v>
      </c>
      <c r="X143" s="275">
        <f t="shared" si="344"/>
        <v>4349248354.0500002</v>
      </c>
      <c r="Y143" s="275">
        <f t="shared" si="344"/>
        <v>0</v>
      </c>
      <c r="Z143" s="275">
        <f t="shared" si="344"/>
        <v>0</v>
      </c>
      <c r="AA143" s="276">
        <f t="shared" si="195"/>
        <v>8251539941.5200005</v>
      </c>
      <c r="AB143" s="402">
        <f t="shared" si="340"/>
        <v>15625813535.52</v>
      </c>
      <c r="AC143" s="321">
        <f t="shared" si="341"/>
        <v>1.912116193773862</v>
      </c>
    </row>
    <row r="144" spans="1:29" s="19" customFormat="1" x14ac:dyDescent="0.2">
      <c r="A144" s="429">
        <v>1</v>
      </c>
      <c r="B144" s="323" t="s">
        <v>537</v>
      </c>
      <c r="C144" s="206" t="s">
        <v>538</v>
      </c>
      <c r="D144" s="331">
        <v>850000000</v>
      </c>
      <c r="E144" s="325">
        <f>SUM('ADICIONES  2021'!C144:N144)</f>
        <v>0</v>
      </c>
      <c r="F144" s="276"/>
      <c r="G144" s="276"/>
      <c r="H144" s="276"/>
      <c r="I144" s="276"/>
      <c r="J144" s="276"/>
      <c r="K144" s="281">
        <f t="shared" si="330"/>
        <v>850000000</v>
      </c>
      <c r="L144" s="276">
        <v>0</v>
      </c>
      <c r="M144" s="276">
        <v>0</v>
      </c>
      <c r="N144" s="276">
        <v>0</v>
      </c>
      <c r="O144" s="276">
        <v>0</v>
      </c>
      <c r="P144" s="276">
        <v>0</v>
      </c>
      <c r="Q144" s="276">
        <v>0</v>
      </c>
      <c r="R144" s="281">
        <f t="shared" si="338"/>
        <v>0</v>
      </c>
      <c r="S144" s="281">
        <v>0</v>
      </c>
      <c r="T144" s="281">
        <v>0</v>
      </c>
      <c r="U144" s="281"/>
      <c r="V144" s="281"/>
      <c r="W144" s="281">
        <v>508998000</v>
      </c>
      <c r="X144" s="281">
        <v>0</v>
      </c>
      <c r="Y144" s="281"/>
      <c r="Z144" s="276"/>
      <c r="AA144" s="276">
        <f t="shared" si="195"/>
        <v>508998000</v>
      </c>
      <c r="AB144" s="403">
        <f t="shared" si="340"/>
        <v>508998000</v>
      </c>
      <c r="AC144" s="326">
        <f t="shared" si="341"/>
        <v>0.59882117647058819</v>
      </c>
    </row>
    <row r="145" spans="1:29" ht="25.5" hidden="1" x14ac:dyDescent="0.2">
      <c r="A145" s="424"/>
      <c r="B145" s="323" t="s">
        <v>539</v>
      </c>
      <c r="C145" s="206" t="s">
        <v>540</v>
      </c>
      <c r="D145" s="332">
        <f>+D144</f>
        <v>850000000</v>
      </c>
      <c r="E145" s="325">
        <f>SUM('ADICIONES  2021'!C145:N145)</f>
        <v>0</v>
      </c>
      <c r="F145" s="281">
        <f t="shared" ref="F145:J145" si="345">+F144</f>
        <v>0</v>
      </c>
      <c r="G145" s="281">
        <f t="shared" si="345"/>
        <v>0</v>
      </c>
      <c r="H145" s="281">
        <f t="shared" si="345"/>
        <v>0</v>
      </c>
      <c r="I145" s="281">
        <f t="shared" si="345"/>
        <v>0</v>
      </c>
      <c r="J145" s="281">
        <f t="shared" si="345"/>
        <v>0</v>
      </c>
      <c r="K145" s="281">
        <f t="shared" si="330"/>
        <v>850000000</v>
      </c>
      <c r="L145" s="281">
        <f>+L144</f>
        <v>0</v>
      </c>
      <c r="M145" s="281">
        <f t="shared" ref="M145:Q145" si="346">+M144</f>
        <v>0</v>
      </c>
      <c r="N145" s="281">
        <f t="shared" si="346"/>
        <v>0</v>
      </c>
      <c r="O145" s="281">
        <f t="shared" si="346"/>
        <v>0</v>
      </c>
      <c r="P145" s="281">
        <f t="shared" si="346"/>
        <v>0</v>
      </c>
      <c r="Q145" s="281">
        <f t="shared" si="346"/>
        <v>0</v>
      </c>
      <c r="R145" s="281">
        <f t="shared" si="338"/>
        <v>0</v>
      </c>
      <c r="S145" s="281">
        <f t="shared" ref="S145:Z145" si="347">+S144</f>
        <v>0</v>
      </c>
      <c r="T145" s="281">
        <f t="shared" si="347"/>
        <v>0</v>
      </c>
      <c r="U145" s="281">
        <f t="shared" si="347"/>
        <v>0</v>
      </c>
      <c r="V145" s="281">
        <f t="shared" si="347"/>
        <v>0</v>
      </c>
      <c r="W145" s="281">
        <f t="shared" si="347"/>
        <v>508998000</v>
      </c>
      <c r="X145" s="281">
        <f>+X144</f>
        <v>0</v>
      </c>
      <c r="Y145" s="281">
        <f t="shared" si="347"/>
        <v>0</v>
      </c>
      <c r="Z145" s="281">
        <f t="shared" si="347"/>
        <v>0</v>
      </c>
      <c r="AA145" s="281">
        <f t="shared" si="195"/>
        <v>508998000</v>
      </c>
      <c r="AB145" s="403">
        <f t="shared" si="340"/>
        <v>508998000</v>
      </c>
      <c r="AC145" s="326">
        <f t="shared" si="341"/>
        <v>0.59882117647058819</v>
      </c>
    </row>
    <row r="146" spans="1:29" s="19" customFormat="1" hidden="1" x14ac:dyDescent="0.2">
      <c r="A146" s="426"/>
      <c r="B146" s="323" t="s">
        <v>541</v>
      </c>
      <c r="C146" s="206" t="s">
        <v>542</v>
      </c>
      <c r="D146" s="283">
        <f>+D147+D150</f>
        <v>7322000000</v>
      </c>
      <c r="E146" s="322">
        <f>SUM('ADICIONES  2021'!C146:N146)</f>
        <v>0</v>
      </c>
      <c r="F146" s="275">
        <f t="shared" ref="F146:J146" si="348">+F147+F150</f>
        <v>0</v>
      </c>
      <c r="G146" s="275">
        <f t="shared" si="348"/>
        <v>0</v>
      </c>
      <c r="H146" s="275">
        <f t="shared" si="348"/>
        <v>0</v>
      </c>
      <c r="I146" s="275">
        <f t="shared" si="348"/>
        <v>0</v>
      </c>
      <c r="J146" s="275">
        <f t="shared" si="348"/>
        <v>0</v>
      </c>
      <c r="K146" s="281">
        <f t="shared" si="330"/>
        <v>7322000000</v>
      </c>
      <c r="L146" s="275">
        <f t="shared" ref="L146:Q146" si="349">+L147+L150</f>
        <v>1858044387</v>
      </c>
      <c r="M146" s="275">
        <f t="shared" si="349"/>
        <v>1217632339</v>
      </c>
      <c r="N146" s="275">
        <f t="shared" si="349"/>
        <v>941045921</v>
      </c>
      <c r="O146" s="275">
        <f t="shared" si="349"/>
        <v>857654243</v>
      </c>
      <c r="P146" s="275">
        <f t="shared" si="349"/>
        <v>1530632923</v>
      </c>
      <c r="Q146" s="275">
        <f t="shared" si="349"/>
        <v>969263781</v>
      </c>
      <c r="R146" s="281">
        <f t="shared" si="338"/>
        <v>7374273594</v>
      </c>
      <c r="S146" s="278">
        <f t="shared" ref="S146:Z146" si="350">+S147+S150</f>
        <v>1460676027.8499999</v>
      </c>
      <c r="T146" s="278">
        <f t="shared" si="350"/>
        <v>1119512667.6199999</v>
      </c>
      <c r="U146" s="278">
        <f t="shared" si="350"/>
        <v>307133392</v>
      </c>
      <c r="V146" s="278">
        <f t="shared" si="350"/>
        <v>75414100</v>
      </c>
      <c r="W146" s="278">
        <f t="shared" si="350"/>
        <v>430557400</v>
      </c>
      <c r="X146" s="278">
        <f t="shared" si="350"/>
        <v>4349248354.0500002</v>
      </c>
      <c r="Y146" s="278">
        <f t="shared" si="350"/>
        <v>0</v>
      </c>
      <c r="Z146" s="275">
        <f t="shared" si="350"/>
        <v>0</v>
      </c>
      <c r="AA146" s="276">
        <f t="shared" si="195"/>
        <v>7742541941.5200005</v>
      </c>
      <c r="AB146" s="403">
        <f t="shared" si="340"/>
        <v>15116815535.52</v>
      </c>
      <c r="AC146" s="326">
        <f t="shared" si="341"/>
        <v>2.0645746429281617</v>
      </c>
    </row>
    <row r="147" spans="1:29" s="19" customFormat="1" x14ac:dyDescent="0.2">
      <c r="A147" s="429">
        <v>1</v>
      </c>
      <c r="B147" s="323" t="s">
        <v>543</v>
      </c>
      <c r="C147" s="206" t="s">
        <v>233</v>
      </c>
      <c r="D147" s="283">
        <f>SUM(D148:D149)</f>
        <v>42000000</v>
      </c>
      <c r="E147" s="322">
        <f>SUM('ADICIONES  2021'!C147:N147)</f>
        <v>0</v>
      </c>
      <c r="F147" s="275">
        <f>SUM(F148:F149)</f>
        <v>0</v>
      </c>
      <c r="G147" s="275">
        <f t="shared" ref="G147:J147" si="351">SUM(G148:G149)</f>
        <v>0</v>
      </c>
      <c r="H147" s="275">
        <f t="shared" si="351"/>
        <v>0</v>
      </c>
      <c r="I147" s="275">
        <f t="shared" si="351"/>
        <v>0</v>
      </c>
      <c r="J147" s="275">
        <f t="shared" si="351"/>
        <v>0</v>
      </c>
      <c r="K147" s="281">
        <f t="shared" si="330"/>
        <v>42000000</v>
      </c>
      <c r="L147" s="275">
        <f t="shared" ref="L147:Q147" si="352">SUM(L148:L149)</f>
        <v>241500</v>
      </c>
      <c r="M147" s="275">
        <f t="shared" si="352"/>
        <v>627900</v>
      </c>
      <c r="N147" s="275">
        <f t="shared" si="352"/>
        <v>710700</v>
      </c>
      <c r="O147" s="275">
        <f t="shared" si="352"/>
        <v>372600</v>
      </c>
      <c r="P147" s="275">
        <f t="shared" si="352"/>
        <v>351900</v>
      </c>
      <c r="Q147" s="275">
        <f t="shared" si="352"/>
        <v>400200</v>
      </c>
      <c r="R147" s="281">
        <f t="shared" si="338"/>
        <v>2704800</v>
      </c>
      <c r="S147" s="278">
        <f t="shared" ref="S147:Z147" si="353">SUM(S148:S149)</f>
        <v>21217796</v>
      </c>
      <c r="T147" s="278">
        <f t="shared" si="353"/>
        <v>58206502.619999997</v>
      </c>
      <c r="U147" s="278">
        <f t="shared" si="353"/>
        <v>345000</v>
      </c>
      <c r="V147" s="278">
        <f t="shared" si="353"/>
        <v>834900</v>
      </c>
      <c r="W147" s="278">
        <f t="shared" si="353"/>
        <v>368800</v>
      </c>
      <c r="X147" s="278">
        <f t="shared" si="353"/>
        <v>-20884217.950000003</v>
      </c>
      <c r="Y147" s="278">
        <f t="shared" si="353"/>
        <v>0</v>
      </c>
      <c r="Z147" s="275">
        <f t="shared" si="353"/>
        <v>0</v>
      </c>
      <c r="AA147" s="276">
        <f t="shared" ref="AA147:AA213" si="354">SUM(S147:Z147)</f>
        <v>60088780.670000002</v>
      </c>
      <c r="AB147" s="403">
        <f t="shared" si="340"/>
        <v>62793580.670000002</v>
      </c>
      <c r="AC147" s="326">
        <f t="shared" si="341"/>
        <v>1.4950852540476192</v>
      </c>
    </row>
    <row r="148" spans="1:29" ht="14.25" hidden="1" x14ac:dyDescent="0.2">
      <c r="A148" s="424"/>
      <c r="B148" s="323" t="s">
        <v>544</v>
      </c>
      <c r="C148" s="206" t="s">
        <v>234</v>
      </c>
      <c r="D148" s="332">
        <v>42000000</v>
      </c>
      <c r="E148" s="325">
        <f>SUM('ADICIONES  2021'!C148:N148)</f>
        <v>0</v>
      </c>
      <c r="F148" s="281"/>
      <c r="G148" s="281"/>
      <c r="H148" s="281"/>
      <c r="I148" s="281"/>
      <c r="J148" s="281"/>
      <c r="K148" s="281">
        <f t="shared" si="330"/>
        <v>42000000</v>
      </c>
      <c r="L148" s="281">
        <v>241500</v>
      </c>
      <c r="M148" s="281">
        <v>627900</v>
      </c>
      <c r="N148" s="281">
        <v>710700</v>
      </c>
      <c r="O148" s="281">
        <v>372600</v>
      </c>
      <c r="P148" s="281">
        <v>351900</v>
      </c>
      <c r="Q148" s="281">
        <v>400200</v>
      </c>
      <c r="R148" s="281">
        <f t="shared" si="338"/>
        <v>2704800</v>
      </c>
      <c r="S148" s="281">
        <v>462300</v>
      </c>
      <c r="T148" s="281">
        <v>8620385.1500000004</v>
      </c>
      <c r="U148" s="281">
        <v>345000</v>
      </c>
      <c r="V148" s="281">
        <v>834900</v>
      </c>
      <c r="W148" s="281">
        <v>368800</v>
      </c>
      <c r="X148" s="281">
        <v>-7447385.1500000004</v>
      </c>
      <c r="Y148" s="281"/>
      <c r="Z148" s="281"/>
      <c r="AA148" s="281">
        <f t="shared" si="354"/>
        <v>3184000</v>
      </c>
      <c r="AB148" s="403">
        <f t="shared" si="340"/>
        <v>5888800</v>
      </c>
      <c r="AC148" s="326">
        <f t="shared" si="341"/>
        <v>0.14020952380952381</v>
      </c>
    </row>
    <row r="149" spans="1:29" ht="14.25" hidden="1" x14ac:dyDescent="0.2">
      <c r="A149" s="424"/>
      <c r="B149" s="323" t="s">
        <v>545</v>
      </c>
      <c r="C149" s="206" t="s">
        <v>261</v>
      </c>
      <c r="D149" s="332">
        <v>0</v>
      </c>
      <c r="E149" s="325">
        <f>SUM('ADICIONES  2021'!C149:N149)</f>
        <v>0</v>
      </c>
      <c r="F149" s="281"/>
      <c r="G149" s="281"/>
      <c r="H149" s="281"/>
      <c r="I149" s="281"/>
      <c r="J149" s="281"/>
      <c r="K149" s="281">
        <f t="shared" si="330"/>
        <v>0</v>
      </c>
      <c r="L149" s="281">
        <v>0</v>
      </c>
      <c r="M149" s="281">
        <v>0</v>
      </c>
      <c r="N149" s="281">
        <v>0</v>
      </c>
      <c r="O149" s="281">
        <v>0</v>
      </c>
      <c r="P149" s="281">
        <v>0</v>
      </c>
      <c r="Q149" s="281">
        <v>0</v>
      </c>
      <c r="R149" s="281">
        <f t="shared" si="338"/>
        <v>0</v>
      </c>
      <c r="S149" s="281">
        <v>20755496</v>
      </c>
      <c r="T149" s="281">
        <v>49586117.469999999</v>
      </c>
      <c r="U149" s="281">
        <v>0</v>
      </c>
      <c r="V149" s="281">
        <v>0</v>
      </c>
      <c r="W149" s="281">
        <v>0</v>
      </c>
      <c r="X149" s="281">
        <v>-13436832.800000001</v>
      </c>
      <c r="Y149" s="281"/>
      <c r="Z149" s="281"/>
      <c r="AA149" s="281">
        <f t="shared" si="354"/>
        <v>56904780.670000002</v>
      </c>
      <c r="AB149" s="403">
        <f t="shared" si="340"/>
        <v>56904780.670000002</v>
      </c>
      <c r="AC149" s="326">
        <v>0</v>
      </c>
    </row>
    <row r="150" spans="1:29" s="19" customFormat="1" ht="25.5" x14ac:dyDescent="0.2">
      <c r="A150" s="429">
        <v>1</v>
      </c>
      <c r="B150" s="323" t="s">
        <v>546</v>
      </c>
      <c r="C150" s="206" t="s">
        <v>547</v>
      </c>
      <c r="D150" s="331">
        <v>7280000000</v>
      </c>
      <c r="E150" s="322">
        <f>SUM('ADICIONES  2021'!C150:N150)</f>
        <v>0</v>
      </c>
      <c r="F150" s="276"/>
      <c r="G150" s="276"/>
      <c r="H150" s="276"/>
      <c r="I150" s="276"/>
      <c r="J150" s="276"/>
      <c r="K150" s="281">
        <f t="shared" si="330"/>
        <v>7280000000</v>
      </c>
      <c r="L150" s="281">
        <v>1857802887</v>
      </c>
      <c r="M150" s="276">
        <v>1217004439</v>
      </c>
      <c r="N150" s="276">
        <v>940335221</v>
      </c>
      <c r="O150" s="276">
        <v>857281643</v>
      </c>
      <c r="P150" s="276">
        <v>1530281023</v>
      </c>
      <c r="Q150" s="281">
        <v>968863581</v>
      </c>
      <c r="R150" s="281">
        <f t="shared" si="338"/>
        <v>7371568794</v>
      </c>
      <c r="S150" s="281">
        <v>1439458231.8499999</v>
      </c>
      <c r="T150" s="281">
        <v>1061306165</v>
      </c>
      <c r="U150" s="281">
        <v>306788392</v>
      </c>
      <c r="V150" s="281">
        <v>74579200</v>
      </c>
      <c r="W150" s="281">
        <v>430188600</v>
      </c>
      <c r="X150" s="281">
        <v>4370132572</v>
      </c>
      <c r="Y150" s="281"/>
      <c r="Z150" s="276"/>
      <c r="AA150" s="276">
        <f t="shared" si="354"/>
        <v>7682453160.8500004</v>
      </c>
      <c r="AB150" s="403">
        <f t="shared" si="340"/>
        <v>15054021954.85</v>
      </c>
      <c r="AC150" s="326">
        <f t="shared" si="341"/>
        <v>2.0678601586332417</v>
      </c>
    </row>
    <row r="151" spans="1:29" s="61" customFormat="1" ht="15.75" x14ac:dyDescent="0.2">
      <c r="A151" s="428">
        <v>1</v>
      </c>
      <c r="B151" s="318" t="s">
        <v>548</v>
      </c>
      <c r="C151" s="319" t="s">
        <v>549</v>
      </c>
      <c r="D151" s="283">
        <f>+D152+D167</f>
        <v>3265320000</v>
      </c>
      <c r="E151" s="322">
        <f>SUM('ADICIONES  2021'!C151:N151)</f>
        <v>14400000000</v>
      </c>
      <c r="F151" s="275">
        <f t="shared" ref="F151:J151" si="355">+F152+F167</f>
        <v>0</v>
      </c>
      <c r="G151" s="275">
        <f t="shared" si="355"/>
        <v>0</v>
      </c>
      <c r="H151" s="275">
        <f t="shared" si="355"/>
        <v>0</v>
      </c>
      <c r="I151" s="275">
        <f t="shared" si="355"/>
        <v>0</v>
      </c>
      <c r="J151" s="275">
        <f t="shared" si="355"/>
        <v>0</v>
      </c>
      <c r="K151" s="276">
        <f t="shared" si="330"/>
        <v>17665320000</v>
      </c>
      <c r="L151" s="275">
        <f t="shared" ref="L151:Q151" si="356">+L152+L167</f>
        <v>1050363041</v>
      </c>
      <c r="M151" s="275">
        <f t="shared" si="356"/>
        <v>1883151455</v>
      </c>
      <c r="N151" s="275">
        <f t="shared" si="356"/>
        <v>1944774740</v>
      </c>
      <c r="O151" s="275">
        <f t="shared" si="356"/>
        <v>1643453298</v>
      </c>
      <c r="P151" s="275">
        <f t="shared" si="356"/>
        <v>1050611691</v>
      </c>
      <c r="Q151" s="275">
        <f t="shared" si="356"/>
        <v>2398628974</v>
      </c>
      <c r="R151" s="276">
        <f t="shared" si="338"/>
        <v>9970983199</v>
      </c>
      <c r="S151" s="275">
        <f t="shared" ref="S151:Z151" si="357">+S152+S167</f>
        <v>2242763792</v>
      </c>
      <c r="T151" s="275">
        <f t="shared" si="357"/>
        <v>1524397842</v>
      </c>
      <c r="U151" s="275">
        <f t="shared" si="357"/>
        <v>2530092735</v>
      </c>
      <c r="V151" s="275">
        <f t="shared" si="357"/>
        <v>470981960</v>
      </c>
      <c r="W151" s="275">
        <f t="shared" si="357"/>
        <v>502072194</v>
      </c>
      <c r="X151" s="275">
        <f t="shared" si="357"/>
        <v>1237435034</v>
      </c>
      <c r="Y151" s="275">
        <f t="shared" si="357"/>
        <v>0</v>
      </c>
      <c r="Z151" s="275">
        <f t="shared" si="357"/>
        <v>0</v>
      </c>
      <c r="AA151" s="276">
        <f t="shared" si="354"/>
        <v>8507743557</v>
      </c>
      <c r="AB151" s="402">
        <f t="shared" si="340"/>
        <v>18478726756</v>
      </c>
      <c r="AC151" s="321">
        <f t="shared" si="341"/>
        <v>1.0460454017249616</v>
      </c>
    </row>
    <row r="152" spans="1:29" s="61" customFormat="1" ht="15.75" hidden="1" x14ac:dyDescent="0.2">
      <c r="A152" s="425"/>
      <c r="B152" s="318" t="s">
        <v>550</v>
      </c>
      <c r="C152" s="319" t="s">
        <v>551</v>
      </c>
      <c r="D152" s="283">
        <f>+D153</f>
        <v>1758320000</v>
      </c>
      <c r="E152" s="322">
        <f>SUM('ADICIONES  2021'!C152:N152)</f>
        <v>11000000000</v>
      </c>
      <c r="F152" s="275">
        <f t="shared" ref="F152:J152" si="358">+F153</f>
        <v>0</v>
      </c>
      <c r="G152" s="275">
        <f t="shared" si="358"/>
        <v>0</v>
      </c>
      <c r="H152" s="275">
        <f t="shared" si="358"/>
        <v>0</v>
      </c>
      <c r="I152" s="275">
        <f t="shared" si="358"/>
        <v>0</v>
      </c>
      <c r="J152" s="275">
        <f t="shared" si="358"/>
        <v>0</v>
      </c>
      <c r="K152" s="276">
        <f t="shared" si="330"/>
        <v>12758320000</v>
      </c>
      <c r="L152" s="275">
        <f t="shared" ref="L152:Q152" si="359">+L153</f>
        <v>840156809</v>
      </c>
      <c r="M152" s="275">
        <f t="shared" si="359"/>
        <v>1330670530</v>
      </c>
      <c r="N152" s="275">
        <f t="shared" si="359"/>
        <v>1480652270</v>
      </c>
      <c r="O152" s="275">
        <f t="shared" si="359"/>
        <v>1191050969</v>
      </c>
      <c r="P152" s="275">
        <f t="shared" si="359"/>
        <v>755542453</v>
      </c>
      <c r="Q152" s="275">
        <f t="shared" si="359"/>
        <v>1878726274</v>
      </c>
      <c r="R152" s="276">
        <f t="shared" si="338"/>
        <v>7476799305</v>
      </c>
      <c r="S152" s="275">
        <f t="shared" ref="S152:Z152" si="360">+S153</f>
        <v>1816624660</v>
      </c>
      <c r="T152" s="275">
        <f t="shared" si="360"/>
        <v>971809974</v>
      </c>
      <c r="U152" s="275">
        <f t="shared" si="360"/>
        <v>1630871987</v>
      </c>
      <c r="V152" s="275">
        <f t="shared" si="360"/>
        <v>303984434</v>
      </c>
      <c r="W152" s="275">
        <f t="shared" si="360"/>
        <v>323809637</v>
      </c>
      <c r="X152" s="275">
        <f t="shared" si="360"/>
        <v>787287272</v>
      </c>
      <c r="Y152" s="275">
        <f t="shared" si="360"/>
        <v>0</v>
      </c>
      <c r="Z152" s="275">
        <f t="shared" si="360"/>
        <v>0</v>
      </c>
      <c r="AA152" s="276">
        <f t="shared" si="354"/>
        <v>5834387964</v>
      </c>
      <c r="AB152" s="402">
        <f t="shared" si="340"/>
        <v>13311187269</v>
      </c>
      <c r="AC152" s="321">
        <f t="shared" si="341"/>
        <v>1.0433338612764063</v>
      </c>
    </row>
    <row r="153" spans="1:29" s="61" customFormat="1" ht="15.75" hidden="1" x14ac:dyDescent="0.2">
      <c r="A153" s="425"/>
      <c r="B153" s="318" t="s">
        <v>552</v>
      </c>
      <c r="C153" s="319" t="s">
        <v>553</v>
      </c>
      <c r="D153" s="283">
        <f>+D154+D161</f>
        <v>1758320000</v>
      </c>
      <c r="E153" s="322">
        <f>SUM('ADICIONES  2021'!C153:N153)</f>
        <v>11000000000</v>
      </c>
      <c r="F153" s="275">
        <f t="shared" ref="F153:J153" si="361">+F154+F161</f>
        <v>0</v>
      </c>
      <c r="G153" s="275">
        <f t="shared" si="361"/>
        <v>0</v>
      </c>
      <c r="H153" s="275">
        <f t="shared" si="361"/>
        <v>0</v>
      </c>
      <c r="I153" s="275">
        <f t="shared" si="361"/>
        <v>0</v>
      </c>
      <c r="J153" s="275">
        <f t="shared" si="361"/>
        <v>0</v>
      </c>
      <c r="K153" s="276">
        <f t="shared" si="330"/>
        <v>12758320000</v>
      </c>
      <c r="L153" s="275">
        <f t="shared" ref="L153:Q153" si="362">+L154+L161</f>
        <v>840156809</v>
      </c>
      <c r="M153" s="275">
        <f t="shared" si="362"/>
        <v>1330670530</v>
      </c>
      <c r="N153" s="275">
        <f t="shared" si="362"/>
        <v>1480652270</v>
      </c>
      <c r="O153" s="275">
        <f t="shared" si="362"/>
        <v>1191050969</v>
      </c>
      <c r="P153" s="275">
        <f t="shared" si="362"/>
        <v>755542453</v>
      </c>
      <c r="Q153" s="275">
        <f t="shared" si="362"/>
        <v>1878726274</v>
      </c>
      <c r="R153" s="276">
        <f t="shared" si="338"/>
        <v>7476799305</v>
      </c>
      <c r="S153" s="275">
        <f t="shared" ref="S153:Z153" si="363">+S154+S161</f>
        <v>1816624660</v>
      </c>
      <c r="T153" s="275">
        <f t="shared" si="363"/>
        <v>971809974</v>
      </c>
      <c r="U153" s="275">
        <f t="shared" si="363"/>
        <v>1630871987</v>
      </c>
      <c r="V153" s="275">
        <f t="shared" si="363"/>
        <v>303984434</v>
      </c>
      <c r="W153" s="275">
        <f t="shared" si="363"/>
        <v>323809637</v>
      </c>
      <c r="X153" s="275">
        <f t="shared" si="363"/>
        <v>787287272</v>
      </c>
      <c r="Y153" s="275">
        <f t="shared" si="363"/>
        <v>0</v>
      </c>
      <c r="Z153" s="275">
        <f t="shared" si="363"/>
        <v>0</v>
      </c>
      <c r="AA153" s="276">
        <f t="shared" si="354"/>
        <v>5834387964</v>
      </c>
      <c r="AB153" s="402">
        <f t="shared" si="340"/>
        <v>13311187269</v>
      </c>
      <c r="AC153" s="321">
        <f t="shared" si="341"/>
        <v>1.0433338612764063</v>
      </c>
    </row>
    <row r="154" spans="1:29" s="19" customFormat="1" x14ac:dyDescent="0.2">
      <c r="A154" s="429">
        <v>1</v>
      </c>
      <c r="B154" s="323" t="s">
        <v>554</v>
      </c>
      <c r="C154" s="206" t="s">
        <v>222</v>
      </c>
      <c r="D154" s="283">
        <v>1750000000</v>
      </c>
      <c r="E154" s="322">
        <f>SUM('ADICIONES  2021'!C154:N154)</f>
        <v>11000000000</v>
      </c>
      <c r="F154" s="276"/>
      <c r="G154" s="276"/>
      <c r="H154" s="276"/>
      <c r="I154" s="276"/>
      <c r="J154" s="276"/>
      <c r="K154" s="281">
        <f t="shared" si="330"/>
        <v>12750000000</v>
      </c>
      <c r="L154" s="276">
        <v>840156809</v>
      </c>
      <c r="M154" s="276">
        <v>1330670530</v>
      </c>
      <c r="N154" s="276">
        <v>1480652270</v>
      </c>
      <c r="O154" s="276">
        <v>1191050969</v>
      </c>
      <c r="P154" s="276">
        <v>755542453</v>
      </c>
      <c r="Q154" s="276">
        <v>1878726274</v>
      </c>
      <c r="R154" s="281">
        <f t="shared" si="338"/>
        <v>7476799305</v>
      </c>
      <c r="S154" s="281">
        <v>1816624660</v>
      </c>
      <c r="T154" s="281">
        <v>971809974</v>
      </c>
      <c r="U154" s="281">
        <v>1630871987</v>
      </c>
      <c r="V154" s="281">
        <v>303984434</v>
      </c>
      <c r="W154" s="281">
        <v>323809637</v>
      </c>
      <c r="X154" s="281">
        <v>787287272</v>
      </c>
      <c r="Y154" s="281"/>
      <c r="Z154" s="276"/>
      <c r="AA154" s="276">
        <f t="shared" si="354"/>
        <v>5834387964</v>
      </c>
      <c r="AB154" s="403">
        <f t="shared" si="340"/>
        <v>13311187269</v>
      </c>
      <c r="AC154" s="326">
        <f t="shared" si="341"/>
        <v>1.0440146877647059</v>
      </c>
    </row>
    <row r="155" spans="1:29" ht="38.25" hidden="1" x14ac:dyDescent="0.2">
      <c r="A155" s="424"/>
      <c r="B155" s="323" t="s">
        <v>555</v>
      </c>
      <c r="C155" s="206" t="s">
        <v>223</v>
      </c>
      <c r="D155" s="324">
        <f>+D154*69.7845456%</f>
        <v>1221229548</v>
      </c>
      <c r="E155" s="325">
        <f>SUM('ADICIONES  2021'!C155:N155)</f>
        <v>7676300016</v>
      </c>
      <c r="F155" s="277">
        <f t="shared" ref="F155:J155" si="364">+F154*69.7845456%</f>
        <v>0</v>
      </c>
      <c r="G155" s="277">
        <f t="shared" si="364"/>
        <v>0</v>
      </c>
      <c r="H155" s="277">
        <f t="shared" si="364"/>
        <v>0</v>
      </c>
      <c r="I155" s="277">
        <f t="shared" si="364"/>
        <v>0</v>
      </c>
      <c r="J155" s="277">
        <f t="shared" si="364"/>
        <v>0</v>
      </c>
      <c r="K155" s="281">
        <f t="shared" si="330"/>
        <v>8897529564</v>
      </c>
      <c r="L155" s="277">
        <f t="shared" ref="L155:Q155" si="365">+L154*69.7845456%</f>
        <v>586299611.48810995</v>
      </c>
      <c r="M155" s="277">
        <f t="shared" si="365"/>
        <v>928602382.79361176</v>
      </c>
      <c r="N155" s="277">
        <f t="shared" si="365"/>
        <v>1033266458.5355852</v>
      </c>
      <c r="O155" s="277">
        <f t="shared" si="365"/>
        <v>831169506.58104694</v>
      </c>
      <c r="P155" s="277">
        <f t="shared" si="365"/>
        <v>527251867.64114362</v>
      </c>
      <c r="Q155" s="277">
        <f t="shared" si="365"/>
        <v>1311060593.378711</v>
      </c>
      <c r="R155" s="281">
        <f t="shared" si="338"/>
        <v>5217650420.4182081</v>
      </c>
      <c r="S155" s="277">
        <f t="shared" ref="S155:Z155" si="366">+S154*69.7845456%</f>
        <v>1267723264.2385449</v>
      </c>
      <c r="T155" s="277">
        <f t="shared" si="366"/>
        <v>678173174.45137823</v>
      </c>
      <c r="U155" s="277">
        <f t="shared" si="366"/>
        <v>1138096605.445641</v>
      </c>
      <c r="V155" s="277">
        <f t="shared" si="366"/>
        <v>212134155.96163192</v>
      </c>
      <c r="W155" s="277">
        <f t="shared" si="366"/>
        <v>225969083.7894595</v>
      </c>
      <c r="X155" s="277">
        <f t="shared" si="366"/>
        <v>549404845.3318361</v>
      </c>
      <c r="Y155" s="277">
        <f t="shared" si="366"/>
        <v>0</v>
      </c>
      <c r="Z155" s="277">
        <f t="shared" si="366"/>
        <v>0</v>
      </c>
      <c r="AA155" s="281">
        <f t="shared" si="354"/>
        <v>4071501129.218492</v>
      </c>
      <c r="AB155" s="403">
        <f t="shared" si="340"/>
        <v>9289151549.6366997</v>
      </c>
      <c r="AC155" s="326">
        <f t="shared" si="341"/>
        <v>1.0440146877647059</v>
      </c>
    </row>
    <row r="156" spans="1:29" ht="25.5" hidden="1" x14ac:dyDescent="0.2">
      <c r="A156" s="424"/>
      <c r="B156" s="323" t="s">
        <v>556</v>
      </c>
      <c r="C156" s="206" t="s">
        <v>224</v>
      </c>
      <c r="D156" s="324">
        <f>+D154*0.08%</f>
        <v>1400000</v>
      </c>
      <c r="E156" s="325">
        <f>SUM('ADICIONES  2021'!C156:N156)</f>
        <v>8800000</v>
      </c>
      <c r="F156" s="277">
        <f t="shared" ref="F156:J156" si="367">+F154*0.08%</f>
        <v>0</v>
      </c>
      <c r="G156" s="277">
        <f t="shared" si="367"/>
        <v>0</v>
      </c>
      <c r="H156" s="277">
        <f t="shared" si="367"/>
        <v>0</v>
      </c>
      <c r="I156" s="277">
        <f t="shared" si="367"/>
        <v>0</v>
      </c>
      <c r="J156" s="277">
        <f t="shared" si="367"/>
        <v>0</v>
      </c>
      <c r="K156" s="281">
        <f t="shared" si="330"/>
        <v>10200000</v>
      </c>
      <c r="L156" s="277">
        <f t="shared" ref="L156:Q156" si="368">+L154*0.08%</f>
        <v>672125.44720000005</v>
      </c>
      <c r="M156" s="277">
        <f t="shared" si="368"/>
        <v>1064536.4240000001</v>
      </c>
      <c r="N156" s="277">
        <f t="shared" si="368"/>
        <v>1184521.8160000001</v>
      </c>
      <c r="O156" s="277">
        <f t="shared" si="368"/>
        <v>952840.77520000003</v>
      </c>
      <c r="P156" s="277">
        <f t="shared" si="368"/>
        <v>604433.96240000008</v>
      </c>
      <c r="Q156" s="277">
        <f t="shared" si="368"/>
        <v>1502981.0192</v>
      </c>
      <c r="R156" s="281">
        <f t="shared" si="338"/>
        <v>5981439.4440000011</v>
      </c>
      <c r="S156" s="277">
        <f t="shared" ref="S156:Z156" si="369">+S154*0.08%</f>
        <v>1453299.7280000001</v>
      </c>
      <c r="T156" s="277">
        <f t="shared" si="369"/>
        <v>777447.97920000006</v>
      </c>
      <c r="U156" s="277">
        <f t="shared" si="369"/>
        <v>1304697.5896000001</v>
      </c>
      <c r="V156" s="277">
        <f t="shared" si="369"/>
        <v>243187.5472</v>
      </c>
      <c r="W156" s="277">
        <f t="shared" si="369"/>
        <v>259047.7096</v>
      </c>
      <c r="X156" s="277">
        <f t="shared" si="369"/>
        <v>629829.81760000007</v>
      </c>
      <c r="Y156" s="277">
        <f t="shared" si="369"/>
        <v>0</v>
      </c>
      <c r="Z156" s="277">
        <f t="shared" si="369"/>
        <v>0</v>
      </c>
      <c r="AA156" s="281">
        <f t="shared" si="354"/>
        <v>4667510.3711999999</v>
      </c>
      <c r="AB156" s="403">
        <f t="shared" si="340"/>
        <v>10648949.815200001</v>
      </c>
      <c r="AC156" s="326">
        <f t="shared" si="341"/>
        <v>1.0440146877647061</v>
      </c>
    </row>
    <row r="157" spans="1:29" ht="25.5" hidden="1" x14ac:dyDescent="0.2">
      <c r="A157" s="424"/>
      <c r="B157" s="323" t="s">
        <v>557</v>
      </c>
      <c r="C157" s="206" t="s">
        <v>225</v>
      </c>
      <c r="D157" s="324">
        <f>+D154*7.992%</f>
        <v>139860000</v>
      </c>
      <c r="E157" s="325">
        <f>SUM('ADICIONES  2021'!C157:N157)</f>
        <v>879120000</v>
      </c>
      <c r="F157" s="277">
        <f t="shared" ref="F157:J157" si="370">+F154*7.992%</f>
        <v>0</v>
      </c>
      <c r="G157" s="277">
        <f t="shared" si="370"/>
        <v>0</v>
      </c>
      <c r="H157" s="277">
        <f t="shared" si="370"/>
        <v>0</v>
      </c>
      <c r="I157" s="277">
        <f t="shared" si="370"/>
        <v>0</v>
      </c>
      <c r="J157" s="277">
        <f t="shared" si="370"/>
        <v>0</v>
      </c>
      <c r="K157" s="281">
        <f t="shared" si="330"/>
        <v>1018980000</v>
      </c>
      <c r="L157" s="277">
        <f t="shared" ref="L157:Q157" si="371">+L154*7.992%</f>
        <v>67145332.175280005</v>
      </c>
      <c r="M157" s="277">
        <f t="shared" si="371"/>
        <v>106347188.75760001</v>
      </c>
      <c r="N157" s="277">
        <f t="shared" si="371"/>
        <v>118333729.4184</v>
      </c>
      <c r="O157" s="277">
        <f t="shared" si="371"/>
        <v>95188793.442480013</v>
      </c>
      <c r="P157" s="277">
        <f t="shared" si="371"/>
        <v>60382952.843760006</v>
      </c>
      <c r="Q157" s="277">
        <f t="shared" si="371"/>
        <v>150147803.81808001</v>
      </c>
      <c r="R157" s="281">
        <f t="shared" si="338"/>
        <v>597545800.45560002</v>
      </c>
      <c r="S157" s="277">
        <f t="shared" ref="S157:Z157" si="372">+S154*7.992%</f>
        <v>145184642.8272</v>
      </c>
      <c r="T157" s="277">
        <f t="shared" si="372"/>
        <v>77667053.122079998</v>
      </c>
      <c r="U157" s="277">
        <f t="shared" si="372"/>
        <v>130339289.20104001</v>
      </c>
      <c r="V157" s="277">
        <f t="shared" si="372"/>
        <v>24294435.96528</v>
      </c>
      <c r="W157" s="277">
        <f t="shared" si="372"/>
        <v>25878866.189040001</v>
      </c>
      <c r="X157" s="277">
        <f t="shared" si="372"/>
        <v>62919998.778240003</v>
      </c>
      <c r="Y157" s="277">
        <f t="shared" si="372"/>
        <v>0</v>
      </c>
      <c r="Z157" s="277">
        <f t="shared" si="372"/>
        <v>0</v>
      </c>
      <c r="AA157" s="281">
        <f t="shared" si="354"/>
        <v>466284286.08288002</v>
      </c>
      <c r="AB157" s="403">
        <f t="shared" si="340"/>
        <v>1063830086.53848</v>
      </c>
      <c r="AC157" s="326">
        <f t="shared" si="341"/>
        <v>1.0440146877647059</v>
      </c>
    </row>
    <row r="158" spans="1:29" ht="25.5" hidden="1" x14ac:dyDescent="0.2">
      <c r="A158" s="424"/>
      <c r="B158" s="323" t="s">
        <v>558</v>
      </c>
      <c r="C158" s="206" t="s">
        <v>226</v>
      </c>
      <c r="D158" s="324">
        <f>+D154*1.43856%</f>
        <v>25174800</v>
      </c>
      <c r="E158" s="325">
        <f>SUM('ADICIONES  2021'!C158:N158)</f>
        <v>158241600</v>
      </c>
      <c r="F158" s="277">
        <f t="shared" ref="F158:J158" si="373">+F154*1.43856%</f>
        <v>0</v>
      </c>
      <c r="G158" s="277">
        <f t="shared" si="373"/>
        <v>0</v>
      </c>
      <c r="H158" s="277">
        <f t="shared" si="373"/>
        <v>0</v>
      </c>
      <c r="I158" s="277">
        <f t="shared" si="373"/>
        <v>0</v>
      </c>
      <c r="J158" s="277">
        <f t="shared" si="373"/>
        <v>0</v>
      </c>
      <c r="K158" s="281">
        <f t="shared" si="330"/>
        <v>183416400</v>
      </c>
      <c r="L158" s="277">
        <f t="shared" ref="L158:Q158" si="374">+L154*1.43856%</f>
        <v>12086159.7915504</v>
      </c>
      <c r="M158" s="277">
        <f t="shared" si="374"/>
        <v>19142493.976367999</v>
      </c>
      <c r="N158" s="277">
        <f t="shared" si="374"/>
        <v>21300071.295311999</v>
      </c>
      <c r="O158" s="277">
        <f t="shared" si="374"/>
        <v>17133982.819646399</v>
      </c>
      <c r="P158" s="277">
        <f t="shared" si="374"/>
        <v>10868931.511876799</v>
      </c>
      <c r="Q158" s="277">
        <f t="shared" si="374"/>
        <v>27026604.687254399</v>
      </c>
      <c r="R158" s="281">
        <f t="shared" si="338"/>
        <v>107558244.082008</v>
      </c>
      <c r="S158" s="277">
        <f t="shared" ref="S158:Z158" si="375">+S154*1.43856%</f>
        <v>26133235.708896</v>
      </c>
      <c r="T158" s="277">
        <f t="shared" si="375"/>
        <v>13980069.561974401</v>
      </c>
      <c r="U158" s="277">
        <f t="shared" si="375"/>
        <v>23461072.056187201</v>
      </c>
      <c r="V158" s="277">
        <f t="shared" si="375"/>
        <v>4372998.4737504004</v>
      </c>
      <c r="W158" s="277">
        <f t="shared" si="375"/>
        <v>4658195.9140272001</v>
      </c>
      <c r="X158" s="277">
        <f t="shared" si="375"/>
        <v>11325599.7800832</v>
      </c>
      <c r="Y158" s="277">
        <f t="shared" si="375"/>
        <v>0</v>
      </c>
      <c r="Z158" s="277">
        <f t="shared" si="375"/>
        <v>0</v>
      </c>
      <c r="AA158" s="281">
        <f t="shared" si="354"/>
        <v>83931171.494918391</v>
      </c>
      <c r="AB158" s="403">
        <f t="shared" si="340"/>
        <v>191489415.57692641</v>
      </c>
      <c r="AC158" s="326">
        <f t="shared" si="341"/>
        <v>1.0440146877647059</v>
      </c>
    </row>
    <row r="159" spans="1:29" ht="38.25" hidden="1" x14ac:dyDescent="0.2">
      <c r="A159" s="424"/>
      <c r="B159" s="323" t="s">
        <v>559</v>
      </c>
      <c r="C159" s="206" t="s">
        <v>227</v>
      </c>
      <c r="D159" s="324">
        <f>+D154*0.7048944%</f>
        <v>12335652.000000002</v>
      </c>
      <c r="E159" s="325">
        <f>SUM('ADICIONES  2021'!C159:N159)</f>
        <v>77538384</v>
      </c>
      <c r="F159" s="277">
        <f t="shared" ref="F159:J159" si="376">+F154*0.7048944%</f>
        <v>0</v>
      </c>
      <c r="G159" s="277">
        <f t="shared" si="376"/>
        <v>0</v>
      </c>
      <c r="H159" s="277">
        <f t="shared" si="376"/>
        <v>0</v>
      </c>
      <c r="I159" s="277">
        <f t="shared" si="376"/>
        <v>0</v>
      </c>
      <c r="J159" s="277">
        <f t="shared" si="376"/>
        <v>0</v>
      </c>
      <c r="K159" s="281">
        <f t="shared" si="330"/>
        <v>89874036</v>
      </c>
      <c r="L159" s="277">
        <f t="shared" ref="L159:Q159" si="377">+L154*0.7048944%</f>
        <v>5922218.2978596967</v>
      </c>
      <c r="M159" s="277">
        <f t="shared" si="377"/>
        <v>9379822.0484203212</v>
      </c>
      <c r="N159" s="277">
        <f t="shared" si="377"/>
        <v>10437034.934702881</v>
      </c>
      <c r="O159" s="277">
        <f t="shared" si="377"/>
        <v>8395651.5816267375</v>
      </c>
      <c r="P159" s="277">
        <f t="shared" si="377"/>
        <v>5325776.4408196323</v>
      </c>
      <c r="Q159" s="277">
        <f t="shared" si="377"/>
        <v>13243036.296754656</v>
      </c>
      <c r="R159" s="281">
        <f t="shared" si="338"/>
        <v>52703539.600183919</v>
      </c>
      <c r="S159" s="277">
        <f t="shared" ref="S159:Z159" si="378">+S154*0.7048944%</f>
        <v>12805285.497359041</v>
      </c>
      <c r="T159" s="277">
        <f t="shared" si="378"/>
        <v>6850234.085367457</v>
      </c>
      <c r="U159" s="277">
        <f t="shared" si="378"/>
        <v>11495925.307531729</v>
      </c>
      <c r="V159" s="277">
        <f t="shared" si="378"/>
        <v>2142769.2521376964</v>
      </c>
      <c r="W159" s="277">
        <f t="shared" si="378"/>
        <v>2282515.9978733282</v>
      </c>
      <c r="X159" s="277">
        <f t="shared" si="378"/>
        <v>5549543.8922407683</v>
      </c>
      <c r="Y159" s="277">
        <f t="shared" si="378"/>
        <v>0</v>
      </c>
      <c r="Z159" s="277">
        <f t="shared" si="378"/>
        <v>0</v>
      </c>
      <c r="AA159" s="281">
        <f t="shared" si="354"/>
        <v>41126274.03251002</v>
      </c>
      <c r="AB159" s="403">
        <f t="shared" si="340"/>
        <v>93829813.632693946</v>
      </c>
      <c r="AC159" s="326">
        <f t="shared" si="341"/>
        <v>1.0440146877647061</v>
      </c>
    </row>
    <row r="160" spans="1:29" ht="25.5" hidden="1" x14ac:dyDescent="0.2">
      <c r="A160" s="424"/>
      <c r="B160" s="323" t="s">
        <v>560</v>
      </c>
      <c r="C160" s="206" t="s">
        <v>561</v>
      </c>
      <c r="D160" s="328">
        <f>+D154*20%</f>
        <v>350000000</v>
      </c>
      <c r="E160" s="325">
        <f>SUM('ADICIONES  2021'!C160:N160)</f>
        <v>2200000000</v>
      </c>
      <c r="F160" s="278">
        <f t="shared" ref="F160:J160" si="379">+F154*20%</f>
        <v>0</v>
      </c>
      <c r="G160" s="278">
        <f t="shared" si="379"/>
        <v>0</v>
      </c>
      <c r="H160" s="278">
        <f t="shared" si="379"/>
        <v>0</v>
      </c>
      <c r="I160" s="278">
        <f t="shared" si="379"/>
        <v>0</v>
      </c>
      <c r="J160" s="278">
        <f t="shared" si="379"/>
        <v>0</v>
      </c>
      <c r="K160" s="281">
        <f t="shared" si="330"/>
        <v>2550000000</v>
      </c>
      <c r="L160" s="278">
        <f t="shared" ref="L160:Q160" si="380">+L154*20%</f>
        <v>168031361.80000001</v>
      </c>
      <c r="M160" s="278">
        <f t="shared" si="380"/>
        <v>266134106</v>
      </c>
      <c r="N160" s="278">
        <f t="shared" si="380"/>
        <v>296130454</v>
      </c>
      <c r="O160" s="278">
        <f t="shared" si="380"/>
        <v>238210193.80000001</v>
      </c>
      <c r="P160" s="278">
        <f t="shared" si="380"/>
        <v>151108490.59999999</v>
      </c>
      <c r="Q160" s="278">
        <f t="shared" si="380"/>
        <v>375745254.80000001</v>
      </c>
      <c r="R160" s="281">
        <f t="shared" si="338"/>
        <v>1495359860.9999998</v>
      </c>
      <c r="S160" s="278">
        <f t="shared" ref="S160:Z160" si="381">+S154*20%</f>
        <v>363324932</v>
      </c>
      <c r="T160" s="278">
        <f t="shared" si="381"/>
        <v>194361994.80000001</v>
      </c>
      <c r="U160" s="278">
        <f t="shared" si="381"/>
        <v>326174397.40000004</v>
      </c>
      <c r="V160" s="278">
        <f t="shared" si="381"/>
        <v>60796886.800000004</v>
      </c>
      <c r="W160" s="278">
        <f t="shared" si="381"/>
        <v>64761927.400000006</v>
      </c>
      <c r="X160" s="278">
        <f t="shared" si="381"/>
        <v>157457454.40000001</v>
      </c>
      <c r="Y160" s="278">
        <f t="shared" si="381"/>
        <v>0</v>
      </c>
      <c r="Z160" s="278">
        <f t="shared" si="381"/>
        <v>0</v>
      </c>
      <c r="AA160" s="281">
        <f t="shared" si="354"/>
        <v>1166877592.8</v>
      </c>
      <c r="AB160" s="403">
        <f t="shared" si="340"/>
        <v>2662237453.7999997</v>
      </c>
      <c r="AC160" s="326">
        <f t="shared" si="341"/>
        <v>1.0440146877647059</v>
      </c>
    </row>
    <row r="161" spans="1:29" s="19" customFormat="1" x14ac:dyDescent="0.2">
      <c r="A161" s="429">
        <v>1</v>
      </c>
      <c r="B161" s="323" t="s">
        <v>562</v>
      </c>
      <c r="C161" s="206" t="s">
        <v>563</v>
      </c>
      <c r="D161" s="331">
        <v>8320000</v>
      </c>
      <c r="E161" s="322">
        <f>SUM('ADICIONES  2021'!C161:N161)</f>
        <v>0</v>
      </c>
      <c r="F161" s="276"/>
      <c r="G161" s="276"/>
      <c r="H161" s="276"/>
      <c r="I161" s="276"/>
      <c r="J161" s="276"/>
      <c r="K161" s="281">
        <f t="shared" si="330"/>
        <v>8320000</v>
      </c>
      <c r="L161" s="276">
        <v>0</v>
      </c>
      <c r="M161" s="276">
        <v>0</v>
      </c>
      <c r="N161" s="276">
        <v>0</v>
      </c>
      <c r="O161" s="276">
        <v>0</v>
      </c>
      <c r="P161" s="276">
        <v>0</v>
      </c>
      <c r="Q161" s="276">
        <v>0</v>
      </c>
      <c r="R161" s="281">
        <f t="shared" si="338"/>
        <v>0</v>
      </c>
      <c r="S161" s="281">
        <v>0</v>
      </c>
      <c r="T161" s="281">
        <v>0</v>
      </c>
      <c r="U161" s="281">
        <v>0</v>
      </c>
      <c r="V161" s="281">
        <v>0</v>
      </c>
      <c r="W161" s="281">
        <v>0</v>
      </c>
      <c r="X161" s="281"/>
      <c r="Y161" s="281"/>
      <c r="Z161" s="276"/>
      <c r="AA161" s="276">
        <f t="shared" si="354"/>
        <v>0</v>
      </c>
      <c r="AB161" s="403">
        <f t="shared" si="340"/>
        <v>0</v>
      </c>
      <c r="AC161" s="326">
        <f t="shared" si="341"/>
        <v>0</v>
      </c>
    </row>
    <row r="162" spans="1:29" ht="25.5" hidden="1" x14ac:dyDescent="0.2">
      <c r="A162" s="424"/>
      <c r="B162" s="323" t="s">
        <v>564</v>
      </c>
      <c r="C162" s="206" t="s">
        <v>228</v>
      </c>
      <c r="D162" s="324">
        <f>+D161*87.230682%</f>
        <v>7257592.7423999999</v>
      </c>
      <c r="E162" s="325">
        <f>SUM('ADICIONES  2021'!C162:N162)</f>
        <v>0</v>
      </c>
      <c r="F162" s="277">
        <f t="shared" ref="F162:J162" si="382">+F161*87.230682%</f>
        <v>0</v>
      </c>
      <c r="G162" s="277">
        <f t="shared" si="382"/>
        <v>0</v>
      </c>
      <c r="H162" s="277">
        <f t="shared" si="382"/>
        <v>0</v>
      </c>
      <c r="I162" s="277">
        <f t="shared" si="382"/>
        <v>0</v>
      </c>
      <c r="J162" s="277">
        <f t="shared" si="382"/>
        <v>0</v>
      </c>
      <c r="K162" s="281">
        <f t="shared" si="330"/>
        <v>7257592.7423999999</v>
      </c>
      <c r="L162" s="277">
        <f t="shared" ref="L162:Q162" si="383">+L161*87.230682%</f>
        <v>0</v>
      </c>
      <c r="M162" s="277">
        <f t="shared" si="383"/>
        <v>0</v>
      </c>
      <c r="N162" s="277">
        <f t="shared" si="383"/>
        <v>0</v>
      </c>
      <c r="O162" s="277">
        <f t="shared" si="383"/>
        <v>0</v>
      </c>
      <c r="P162" s="277">
        <f t="shared" si="383"/>
        <v>0</v>
      </c>
      <c r="Q162" s="277">
        <f t="shared" si="383"/>
        <v>0</v>
      </c>
      <c r="R162" s="281">
        <f t="shared" si="338"/>
        <v>0</v>
      </c>
      <c r="S162" s="277">
        <f t="shared" ref="S162:Z162" si="384">+S161*87.230682%</f>
        <v>0</v>
      </c>
      <c r="T162" s="277">
        <f t="shared" si="384"/>
        <v>0</v>
      </c>
      <c r="U162" s="277">
        <f t="shared" si="384"/>
        <v>0</v>
      </c>
      <c r="V162" s="277">
        <f t="shared" si="384"/>
        <v>0</v>
      </c>
      <c r="W162" s="277">
        <f t="shared" si="384"/>
        <v>0</v>
      </c>
      <c r="X162" s="277">
        <f t="shared" si="384"/>
        <v>0</v>
      </c>
      <c r="Y162" s="277">
        <f t="shared" si="384"/>
        <v>0</v>
      </c>
      <c r="Z162" s="277">
        <f t="shared" si="384"/>
        <v>0</v>
      </c>
      <c r="AA162" s="281">
        <f t="shared" si="354"/>
        <v>0</v>
      </c>
      <c r="AB162" s="403">
        <f t="shared" si="340"/>
        <v>0</v>
      </c>
      <c r="AC162" s="326">
        <f t="shared" si="341"/>
        <v>0</v>
      </c>
    </row>
    <row r="163" spans="1:29" ht="25.5" hidden="1" x14ac:dyDescent="0.2">
      <c r="A163" s="424"/>
      <c r="B163" s="323" t="s">
        <v>565</v>
      </c>
      <c r="C163" s="206" t="s">
        <v>229</v>
      </c>
      <c r="D163" s="324">
        <f>+D161*0.1%</f>
        <v>8320</v>
      </c>
      <c r="E163" s="325">
        <f>SUM('ADICIONES  2021'!C163:N163)</f>
        <v>0</v>
      </c>
      <c r="F163" s="277">
        <f t="shared" ref="F163:J163" si="385">+F161*0.1%</f>
        <v>0</v>
      </c>
      <c r="G163" s="277">
        <f t="shared" si="385"/>
        <v>0</v>
      </c>
      <c r="H163" s="277">
        <f t="shared" si="385"/>
        <v>0</v>
      </c>
      <c r="I163" s="277">
        <f t="shared" si="385"/>
        <v>0</v>
      </c>
      <c r="J163" s="277">
        <f t="shared" si="385"/>
        <v>0</v>
      </c>
      <c r="K163" s="281">
        <f t="shared" si="330"/>
        <v>8320</v>
      </c>
      <c r="L163" s="277">
        <f t="shared" ref="L163:Q163" si="386">+L161*0.1%</f>
        <v>0</v>
      </c>
      <c r="M163" s="277">
        <f t="shared" si="386"/>
        <v>0</v>
      </c>
      <c r="N163" s="277">
        <f t="shared" si="386"/>
        <v>0</v>
      </c>
      <c r="O163" s="277">
        <f t="shared" si="386"/>
        <v>0</v>
      </c>
      <c r="P163" s="277">
        <f t="shared" si="386"/>
        <v>0</v>
      </c>
      <c r="Q163" s="277">
        <f t="shared" si="386"/>
        <v>0</v>
      </c>
      <c r="R163" s="281">
        <f t="shared" si="338"/>
        <v>0</v>
      </c>
      <c r="S163" s="277">
        <f t="shared" ref="S163:Z163" si="387">+S161*0.1%</f>
        <v>0</v>
      </c>
      <c r="T163" s="277">
        <f t="shared" si="387"/>
        <v>0</v>
      </c>
      <c r="U163" s="277">
        <f t="shared" si="387"/>
        <v>0</v>
      </c>
      <c r="V163" s="277">
        <f t="shared" si="387"/>
        <v>0</v>
      </c>
      <c r="W163" s="277">
        <f t="shared" si="387"/>
        <v>0</v>
      </c>
      <c r="X163" s="277">
        <f t="shared" si="387"/>
        <v>0</v>
      </c>
      <c r="Y163" s="277">
        <f t="shared" si="387"/>
        <v>0</v>
      </c>
      <c r="Z163" s="277">
        <f t="shared" si="387"/>
        <v>0</v>
      </c>
      <c r="AA163" s="281">
        <f t="shared" si="354"/>
        <v>0</v>
      </c>
      <c r="AB163" s="403">
        <f t="shared" si="340"/>
        <v>0</v>
      </c>
      <c r="AC163" s="326">
        <f t="shared" si="341"/>
        <v>0</v>
      </c>
    </row>
    <row r="164" spans="1:29" ht="25.5" hidden="1" x14ac:dyDescent="0.2">
      <c r="A164" s="424"/>
      <c r="B164" s="323" t="s">
        <v>566</v>
      </c>
      <c r="C164" s="206" t="s">
        <v>230</v>
      </c>
      <c r="D164" s="324">
        <f>+D161*9.99%</f>
        <v>831168</v>
      </c>
      <c r="E164" s="325">
        <f>SUM('ADICIONES  2021'!C164:N164)</f>
        <v>0</v>
      </c>
      <c r="F164" s="277">
        <f t="shared" ref="F164:J164" si="388">+F161*9.99%</f>
        <v>0</v>
      </c>
      <c r="G164" s="277">
        <f t="shared" si="388"/>
        <v>0</v>
      </c>
      <c r="H164" s="277">
        <f t="shared" si="388"/>
        <v>0</v>
      </c>
      <c r="I164" s="277">
        <f t="shared" si="388"/>
        <v>0</v>
      </c>
      <c r="J164" s="277">
        <f t="shared" si="388"/>
        <v>0</v>
      </c>
      <c r="K164" s="281">
        <f t="shared" si="330"/>
        <v>831168</v>
      </c>
      <c r="L164" s="277">
        <f t="shared" ref="L164:Q164" si="389">+L161*9.99%</f>
        <v>0</v>
      </c>
      <c r="M164" s="277">
        <f t="shared" si="389"/>
        <v>0</v>
      </c>
      <c r="N164" s="277">
        <f t="shared" si="389"/>
        <v>0</v>
      </c>
      <c r="O164" s="277">
        <f t="shared" si="389"/>
        <v>0</v>
      </c>
      <c r="P164" s="277">
        <f t="shared" si="389"/>
        <v>0</v>
      </c>
      <c r="Q164" s="277">
        <f t="shared" si="389"/>
        <v>0</v>
      </c>
      <c r="R164" s="281">
        <f t="shared" si="338"/>
        <v>0</v>
      </c>
      <c r="S164" s="277">
        <f t="shared" ref="S164:Z164" si="390">+S161*9.99%</f>
        <v>0</v>
      </c>
      <c r="T164" s="277">
        <f t="shared" si="390"/>
        <v>0</v>
      </c>
      <c r="U164" s="277">
        <f t="shared" si="390"/>
        <v>0</v>
      </c>
      <c r="V164" s="277">
        <f t="shared" si="390"/>
        <v>0</v>
      </c>
      <c r="W164" s="277">
        <f t="shared" si="390"/>
        <v>0</v>
      </c>
      <c r="X164" s="277">
        <f t="shared" si="390"/>
        <v>0</v>
      </c>
      <c r="Y164" s="277">
        <f t="shared" si="390"/>
        <v>0</v>
      </c>
      <c r="Z164" s="277">
        <f t="shared" si="390"/>
        <v>0</v>
      </c>
      <c r="AA164" s="281">
        <f t="shared" si="354"/>
        <v>0</v>
      </c>
      <c r="AB164" s="403">
        <f t="shared" si="340"/>
        <v>0</v>
      </c>
      <c r="AC164" s="326">
        <f t="shared" si="341"/>
        <v>0</v>
      </c>
    </row>
    <row r="165" spans="1:29" ht="25.5" hidden="1" x14ac:dyDescent="0.2">
      <c r="A165" s="424"/>
      <c r="B165" s="323" t="s">
        <v>567</v>
      </c>
      <c r="C165" s="206" t="s">
        <v>231</v>
      </c>
      <c r="D165" s="324">
        <f>+D161*1.7982%</f>
        <v>149610.24000000002</v>
      </c>
      <c r="E165" s="325">
        <f>SUM('ADICIONES  2021'!C165:N165)</f>
        <v>0</v>
      </c>
      <c r="F165" s="277">
        <f t="shared" ref="F165:J165" si="391">+F161*1.7982%</f>
        <v>0</v>
      </c>
      <c r="G165" s="277">
        <f t="shared" si="391"/>
        <v>0</v>
      </c>
      <c r="H165" s="277">
        <f t="shared" si="391"/>
        <v>0</v>
      </c>
      <c r="I165" s="277">
        <f t="shared" si="391"/>
        <v>0</v>
      </c>
      <c r="J165" s="277">
        <f t="shared" si="391"/>
        <v>0</v>
      </c>
      <c r="K165" s="281">
        <f t="shared" si="330"/>
        <v>149610.24000000002</v>
      </c>
      <c r="L165" s="277">
        <f t="shared" ref="L165:Q165" si="392">+L161*1.7982%</f>
        <v>0</v>
      </c>
      <c r="M165" s="277">
        <f t="shared" si="392"/>
        <v>0</v>
      </c>
      <c r="N165" s="277">
        <f t="shared" si="392"/>
        <v>0</v>
      </c>
      <c r="O165" s="277">
        <f t="shared" si="392"/>
        <v>0</v>
      </c>
      <c r="P165" s="277">
        <f t="shared" si="392"/>
        <v>0</v>
      </c>
      <c r="Q165" s="277">
        <f t="shared" si="392"/>
        <v>0</v>
      </c>
      <c r="R165" s="281">
        <f t="shared" si="338"/>
        <v>0</v>
      </c>
      <c r="S165" s="277">
        <f t="shared" ref="S165:Z165" si="393">+S161*1.7982%</f>
        <v>0</v>
      </c>
      <c r="T165" s="277">
        <f t="shared" si="393"/>
        <v>0</v>
      </c>
      <c r="U165" s="277">
        <f t="shared" si="393"/>
        <v>0</v>
      </c>
      <c r="V165" s="277">
        <f t="shared" si="393"/>
        <v>0</v>
      </c>
      <c r="W165" s="277">
        <f t="shared" si="393"/>
        <v>0</v>
      </c>
      <c r="X165" s="277">
        <f t="shared" si="393"/>
        <v>0</v>
      </c>
      <c r="Y165" s="277">
        <f t="shared" si="393"/>
        <v>0</v>
      </c>
      <c r="Z165" s="277">
        <f t="shared" si="393"/>
        <v>0</v>
      </c>
      <c r="AA165" s="281">
        <f t="shared" si="354"/>
        <v>0</v>
      </c>
      <c r="AB165" s="403">
        <f t="shared" si="340"/>
        <v>0</v>
      </c>
      <c r="AC165" s="326">
        <f t="shared" si="341"/>
        <v>0</v>
      </c>
    </row>
    <row r="166" spans="1:29" ht="38.25" hidden="1" x14ac:dyDescent="0.2">
      <c r="A166" s="424"/>
      <c r="B166" s="323" t="s">
        <v>568</v>
      </c>
      <c r="C166" s="206" t="s">
        <v>232</v>
      </c>
      <c r="D166" s="324">
        <f>+D161*0.881118%</f>
        <v>73309.017600000006</v>
      </c>
      <c r="E166" s="325">
        <f>SUM('ADICIONES  2021'!C166:N166)</f>
        <v>0</v>
      </c>
      <c r="F166" s="277">
        <f t="shared" ref="F166:J166" si="394">+F161*0.881118%</f>
        <v>0</v>
      </c>
      <c r="G166" s="277">
        <f t="shared" si="394"/>
        <v>0</v>
      </c>
      <c r="H166" s="277">
        <f t="shared" si="394"/>
        <v>0</v>
      </c>
      <c r="I166" s="277">
        <f t="shared" si="394"/>
        <v>0</v>
      </c>
      <c r="J166" s="277">
        <f t="shared" si="394"/>
        <v>0</v>
      </c>
      <c r="K166" s="281">
        <f t="shared" si="330"/>
        <v>73309.017600000006</v>
      </c>
      <c r="L166" s="277">
        <f t="shared" ref="L166:Q166" si="395">+L161*0.881118%</f>
        <v>0</v>
      </c>
      <c r="M166" s="277">
        <f t="shared" si="395"/>
        <v>0</v>
      </c>
      <c r="N166" s="277">
        <f t="shared" si="395"/>
        <v>0</v>
      </c>
      <c r="O166" s="277">
        <f t="shared" si="395"/>
        <v>0</v>
      </c>
      <c r="P166" s="277">
        <f t="shared" si="395"/>
        <v>0</v>
      </c>
      <c r="Q166" s="277">
        <f t="shared" si="395"/>
        <v>0</v>
      </c>
      <c r="R166" s="281">
        <f t="shared" si="338"/>
        <v>0</v>
      </c>
      <c r="S166" s="277">
        <f t="shared" ref="S166:Z166" si="396">+S161*0.881118%</f>
        <v>0</v>
      </c>
      <c r="T166" s="277">
        <f t="shared" si="396"/>
        <v>0</v>
      </c>
      <c r="U166" s="277">
        <f t="shared" si="396"/>
        <v>0</v>
      </c>
      <c r="V166" s="277">
        <f t="shared" si="396"/>
        <v>0</v>
      </c>
      <c r="W166" s="277">
        <f t="shared" si="396"/>
        <v>0</v>
      </c>
      <c r="X166" s="277">
        <f t="shared" si="396"/>
        <v>0</v>
      </c>
      <c r="Y166" s="277">
        <f t="shared" si="396"/>
        <v>0</v>
      </c>
      <c r="Z166" s="277">
        <f t="shared" si="396"/>
        <v>0</v>
      </c>
      <c r="AA166" s="281">
        <f t="shared" si="354"/>
        <v>0</v>
      </c>
      <c r="AB166" s="403">
        <f t="shared" si="340"/>
        <v>0</v>
      </c>
      <c r="AC166" s="326">
        <f t="shared" si="341"/>
        <v>0</v>
      </c>
    </row>
    <row r="167" spans="1:29" s="61" customFormat="1" ht="15.75" hidden="1" x14ac:dyDescent="0.2">
      <c r="A167" s="425"/>
      <c r="B167" s="318" t="s">
        <v>569</v>
      </c>
      <c r="C167" s="319" t="s">
        <v>570</v>
      </c>
      <c r="D167" s="283">
        <f>+D168+D175</f>
        <v>1507000000</v>
      </c>
      <c r="E167" s="322">
        <f>SUM('ADICIONES  2021'!C167:N167)</f>
        <v>3400000000</v>
      </c>
      <c r="F167" s="275">
        <f t="shared" ref="F167:J167" si="397">+F168+F175</f>
        <v>0</v>
      </c>
      <c r="G167" s="275">
        <f t="shared" si="397"/>
        <v>0</v>
      </c>
      <c r="H167" s="275">
        <f t="shared" si="397"/>
        <v>0</v>
      </c>
      <c r="I167" s="275">
        <f t="shared" si="397"/>
        <v>0</v>
      </c>
      <c r="J167" s="275">
        <f t="shared" si="397"/>
        <v>0</v>
      </c>
      <c r="K167" s="276">
        <f t="shared" si="330"/>
        <v>4907000000</v>
      </c>
      <c r="L167" s="275">
        <f t="shared" ref="L167:Q167" si="398">+L168+L175</f>
        <v>210206232</v>
      </c>
      <c r="M167" s="275">
        <f t="shared" si="398"/>
        <v>552480925</v>
      </c>
      <c r="N167" s="275">
        <f t="shared" si="398"/>
        <v>464122470</v>
      </c>
      <c r="O167" s="275">
        <f t="shared" si="398"/>
        <v>452402329</v>
      </c>
      <c r="P167" s="275">
        <f t="shared" si="398"/>
        <v>295069238</v>
      </c>
      <c r="Q167" s="275">
        <f t="shared" si="398"/>
        <v>519902700</v>
      </c>
      <c r="R167" s="276">
        <f t="shared" si="338"/>
        <v>2494183894</v>
      </c>
      <c r="S167" s="275">
        <f t="shared" ref="S167:Z167" si="399">+S168+S175</f>
        <v>426139132</v>
      </c>
      <c r="T167" s="275">
        <f t="shared" si="399"/>
        <v>552587868</v>
      </c>
      <c r="U167" s="275">
        <f t="shared" si="399"/>
        <v>899220748</v>
      </c>
      <c r="V167" s="275">
        <f t="shared" si="399"/>
        <v>166997526</v>
      </c>
      <c r="W167" s="275">
        <f t="shared" si="399"/>
        <v>178262557</v>
      </c>
      <c r="X167" s="275">
        <f t="shared" si="399"/>
        <v>450147762</v>
      </c>
      <c r="Y167" s="275">
        <f t="shared" si="399"/>
        <v>0</v>
      </c>
      <c r="Z167" s="275">
        <f t="shared" si="399"/>
        <v>0</v>
      </c>
      <c r="AA167" s="276">
        <f t="shared" si="354"/>
        <v>2673355593</v>
      </c>
      <c r="AB167" s="402">
        <f t="shared" si="340"/>
        <v>5167539487</v>
      </c>
      <c r="AC167" s="321">
        <f t="shared" si="341"/>
        <v>1.0530954732015487</v>
      </c>
    </row>
    <row r="168" spans="1:29" s="19" customFormat="1" ht="25.5" x14ac:dyDescent="0.2">
      <c r="A168" s="429">
        <v>1</v>
      </c>
      <c r="B168" s="323" t="s">
        <v>571</v>
      </c>
      <c r="C168" s="206" t="s">
        <v>572</v>
      </c>
      <c r="D168" s="283">
        <v>675000000</v>
      </c>
      <c r="E168" s="322">
        <f>SUM('ADICIONES  2021'!C168:N168)</f>
        <v>3400000000</v>
      </c>
      <c r="F168" s="276"/>
      <c r="G168" s="276"/>
      <c r="H168" s="276"/>
      <c r="I168" s="276"/>
      <c r="J168" s="276"/>
      <c r="K168" s="281">
        <f t="shared" si="330"/>
        <v>4075000000</v>
      </c>
      <c r="L168" s="276">
        <v>169812232</v>
      </c>
      <c r="M168" s="276">
        <v>479710925</v>
      </c>
      <c r="N168" s="276">
        <v>353780470</v>
      </c>
      <c r="O168" s="276">
        <v>354599329</v>
      </c>
      <c r="P168" s="276">
        <v>246575238</v>
      </c>
      <c r="Q168" s="276">
        <v>446672700</v>
      </c>
      <c r="R168" s="281">
        <f t="shared" si="338"/>
        <v>2051150894</v>
      </c>
      <c r="S168" s="281">
        <v>367526132</v>
      </c>
      <c r="T168" s="281">
        <v>461647868</v>
      </c>
      <c r="U168" s="281">
        <v>823235748</v>
      </c>
      <c r="V168" s="281">
        <v>136147326</v>
      </c>
      <c r="W168" s="281">
        <v>157385157</v>
      </c>
      <c r="X168" s="281">
        <v>415858962</v>
      </c>
      <c r="Y168" s="281"/>
      <c r="Z168" s="276"/>
      <c r="AA168" s="276">
        <f t="shared" si="354"/>
        <v>2361801193</v>
      </c>
      <c r="AB168" s="403">
        <f t="shared" si="340"/>
        <v>4412952087</v>
      </c>
      <c r="AC168" s="326">
        <f t="shared" si="341"/>
        <v>1.0829330274846625</v>
      </c>
    </row>
    <row r="169" spans="1:29" ht="25.5" hidden="1" x14ac:dyDescent="0.2">
      <c r="A169" s="424"/>
      <c r="B169" s="323" t="s">
        <v>573</v>
      </c>
      <c r="C169" s="206" t="s">
        <v>217</v>
      </c>
      <c r="D169" s="324">
        <f>+D168*69.7845456%</f>
        <v>471045682.80000001</v>
      </c>
      <c r="E169" s="325">
        <f>SUM('ADICIONES  2021'!C169:N169)</f>
        <v>2372674550.4000001</v>
      </c>
      <c r="F169" s="277">
        <f t="shared" ref="F169:J169" si="400">+F168*69.7845456%</f>
        <v>0</v>
      </c>
      <c r="G169" s="277">
        <f t="shared" si="400"/>
        <v>0</v>
      </c>
      <c r="H169" s="277">
        <f t="shared" si="400"/>
        <v>0</v>
      </c>
      <c r="I169" s="277">
        <f t="shared" si="400"/>
        <v>0</v>
      </c>
      <c r="J169" s="277">
        <f t="shared" si="400"/>
        <v>0</v>
      </c>
      <c r="K169" s="281">
        <f t="shared" si="330"/>
        <v>2843720233.2000003</v>
      </c>
      <c r="L169" s="277">
        <f t="shared" ref="L169:Q169" si="401">+L168*69.7845456%</f>
        <v>118502694.47441779</v>
      </c>
      <c r="M169" s="277">
        <f t="shared" si="401"/>
        <v>334764089.2048068</v>
      </c>
      <c r="N169" s="277">
        <f t="shared" si="401"/>
        <v>246884093.41104433</v>
      </c>
      <c r="O169" s="277">
        <f t="shared" si="401"/>
        <v>247455530.44329903</v>
      </c>
      <c r="P169" s="277">
        <f t="shared" si="401"/>
        <v>172071409.40041855</v>
      </c>
      <c r="Q169" s="277">
        <f t="shared" si="401"/>
        <v>311708514.01425123</v>
      </c>
      <c r="R169" s="281">
        <f t="shared" si="338"/>
        <v>1431386330.9482379</v>
      </c>
      <c r="S169" s="277">
        <f t="shared" ref="S169:Z169" si="402">+S168*69.7845456%</f>
        <v>256476441.1774562</v>
      </c>
      <c r="T169" s="277">
        <f t="shared" si="402"/>
        <v>322158866.95588779</v>
      </c>
      <c r="U169" s="277">
        <f t="shared" si="402"/>
        <v>574491325.95856106</v>
      </c>
      <c r="V169" s="277">
        <f t="shared" si="402"/>
        <v>95009792.795650661</v>
      </c>
      <c r="W169" s="277">
        <f t="shared" si="402"/>
        <v>109830516.65429659</v>
      </c>
      <c r="X169" s="277">
        <f t="shared" si="402"/>
        <v>290205286.96857667</v>
      </c>
      <c r="Y169" s="277">
        <f t="shared" si="402"/>
        <v>0</v>
      </c>
      <c r="Z169" s="277">
        <f t="shared" si="402"/>
        <v>0</v>
      </c>
      <c r="AA169" s="281">
        <f t="shared" si="354"/>
        <v>1648172230.5104291</v>
      </c>
      <c r="AB169" s="403">
        <f t="shared" si="340"/>
        <v>3079558561.4586668</v>
      </c>
      <c r="AC169" s="326">
        <f t="shared" si="341"/>
        <v>1.0829330274846625</v>
      </c>
    </row>
    <row r="170" spans="1:29" ht="25.5" hidden="1" x14ac:dyDescent="0.2">
      <c r="A170" s="424"/>
      <c r="B170" s="323" t="s">
        <v>574</v>
      </c>
      <c r="C170" s="206" t="s">
        <v>218</v>
      </c>
      <c r="D170" s="324">
        <f>+D168*0.08%</f>
        <v>540000</v>
      </c>
      <c r="E170" s="325">
        <f>SUM('ADICIONES  2021'!C170:N170)</f>
        <v>2720000</v>
      </c>
      <c r="F170" s="277">
        <f t="shared" ref="F170:J170" si="403">+F168*0.08%</f>
        <v>0</v>
      </c>
      <c r="G170" s="277">
        <f t="shared" si="403"/>
        <v>0</v>
      </c>
      <c r="H170" s="277">
        <f t="shared" si="403"/>
        <v>0</v>
      </c>
      <c r="I170" s="277">
        <f t="shared" si="403"/>
        <v>0</v>
      </c>
      <c r="J170" s="277">
        <f t="shared" si="403"/>
        <v>0</v>
      </c>
      <c r="K170" s="281">
        <f t="shared" si="330"/>
        <v>3260000</v>
      </c>
      <c r="L170" s="277">
        <f t="shared" ref="L170:Q170" si="404">+L168*0.08%</f>
        <v>135849.7856</v>
      </c>
      <c r="M170" s="277">
        <f t="shared" si="404"/>
        <v>383768.74</v>
      </c>
      <c r="N170" s="277">
        <f t="shared" si="404"/>
        <v>283024.37599999999</v>
      </c>
      <c r="O170" s="277">
        <f t="shared" si="404"/>
        <v>283679.4632</v>
      </c>
      <c r="P170" s="277">
        <f t="shared" si="404"/>
        <v>197260.19040000002</v>
      </c>
      <c r="Q170" s="277">
        <f t="shared" si="404"/>
        <v>357338.16000000003</v>
      </c>
      <c r="R170" s="281">
        <f t="shared" si="338"/>
        <v>1640920.7152</v>
      </c>
      <c r="S170" s="277">
        <f t="shared" ref="S170:Z170" si="405">+S168*0.08%</f>
        <v>294020.9056</v>
      </c>
      <c r="T170" s="277">
        <f t="shared" si="405"/>
        <v>369318.29440000001</v>
      </c>
      <c r="U170" s="277">
        <f t="shared" si="405"/>
        <v>658588.59840000002</v>
      </c>
      <c r="V170" s="277">
        <f t="shared" si="405"/>
        <v>108917.86080000001</v>
      </c>
      <c r="W170" s="277">
        <f t="shared" si="405"/>
        <v>125908.1256</v>
      </c>
      <c r="X170" s="277">
        <f t="shared" si="405"/>
        <v>332687.16960000002</v>
      </c>
      <c r="Y170" s="277">
        <f t="shared" si="405"/>
        <v>0</v>
      </c>
      <c r="Z170" s="277">
        <f t="shared" si="405"/>
        <v>0</v>
      </c>
      <c r="AA170" s="281">
        <f t="shared" si="354"/>
        <v>1889440.9543999997</v>
      </c>
      <c r="AB170" s="403">
        <f t="shared" si="340"/>
        <v>3530361.6695999997</v>
      </c>
      <c r="AC170" s="326">
        <f t="shared" si="341"/>
        <v>1.0829330274846625</v>
      </c>
    </row>
    <row r="171" spans="1:29" ht="25.5" hidden="1" x14ac:dyDescent="0.2">
      <c r="A171" s="424"/>
      <c r="B171" s="323" t="s">
        <v>575</v>
      </c>
      <c r="C171" s="206" t="s">
        <v>219</v>
      </c>
      <c r="D171" s="324">
        <f>+D168*7.992%</f>
        <v>53946000</v>
      </c>
      <c r="E171" s="325">
        <f>SUM('ADICIONES  2021'!C171:N171)</f>
        <v>271728000</v>
      </c>
      <c r="F171" s="277">
        <f t="shared" ref="F171:J171" si="406">+F168*7.992%</f>
        <v>0</v>
      </c>
      <c r="G171" s="277">
        <f t="shared" si="406"/>
        <v>0</v>
      </c>
      <c r="H171" s="277">
        <f t="shared" si="406"/>
        <v>0</v>
      </c>
      <c r="I171" s="277">
        <f t="shared" si="406"/>
        <v>0</v>
      </c>
      <c r="J171" s="277">
        <f t="shared" si="406"/>
        <v>0</v>
      </c>
      <c r="K171" s="281">
        <f t="shared" si="330"/>
        <v>325674000</v>
      </c>
      <c r="L171" s="277">
        <f t="shared" ref="L171:Q171" si="407">+L168*7.992%</f>
        <v>13571393.581440002</v>
      </c>
      <c r="M171" s="277">
        <f t="shared" si="407"/>
        <v>38338497.126000002</v>
      </c>
      <c r="N171" s="277">
        <f t="shared" si="407"/>
        <v>28274135.162400004</v>
      </c>
      <c r="O171" s="277">
        <f t="shared" si="407"/>
        <v>28339578.373680003</v>
      </c>
      <c r="P171" s="277">
        <f t="shared" si="407"/>
        <v>19706293.020959999</v>
      </c>
      <c r="Q171" s="277">
        <f t="shared" si="407"/>
        <v>35698082.184</v>
      </c>
      <c r="R171" s="281">
        <f t="shared" si="338"/>
        <v>163927979.44848001</v>
      </c>
      <c r="S171" s="277">
        <f t="shared" ref="S171:Z171" si="408">+S168*7.992%</f>
        <v>29372688.469440002</v>
      </c>
      <c r="T171" s="277">
        <f t="shared" si="408"/>
        <v>36894897.61056</v>
      </c>
      <c r="U171" s="277">
        <f t="shared" si="408"/>
        <v>65793000.980160005</v>
      </c>
      <c r="V171" s="277">
        <f t="shared" si="408"/>
        <v>10880894.293920001</v>
      </c>
      <c r="W171" s="277">
        <f t="shared" si="408"/>
        <v>12578221.747440001</v>
      </c>
      <c r="X171" s="277">
        <f t="shared" si="408"/>
        <v>33235448.243040003</v>
      </c>
      <c r="Y171" s="277">
        <f t="shared" si="408"/>
        <v>0</v>
      </c>
      <c r="Z171" s="277">
        <f t="shared" si="408"/>
        <v>0</v>
      </c>
      <c r="AA171" s="281">
        <f t="shared" si="354"/>
        <v>188755151.34456003</v>
      </c>
      <c r="AB171" s="403">
        <f t="shared" si="340"/>
        <v>352683130.79304004</v>
      </c>
      <c r="AC171" s="326">
        <f t="shared" si="341"/>
        <v>1.0829330274846627</v>
      </c>
    </row>
    <row r="172" spans="1:29" ht="25.5" hidden="1" x14ac:dyDescent="0.2">
      <c r="A172" s="424"/>
      <c r="B172" s="323" t="s">
        <v>576</v>
      </c>
      <c r="C172" s="206" t="s">
        <v>220</v>
      </c>
      <c r="D172" s="324">
        <f>+D168*1.43856%</f>
        <v>9710280</v>
      </c>
      <c r="E172" s="325">
        <f>SUM('ADICIONES  2021'!C172:N172)</f>
        <v>48911040</v>
      </c>
      <c r="F172" s="277">
        <f t="shared" ref="F172:J172" si="409">+F168*1.43856%</f>
        <v>0</v>
      </c>
      <c r="G172" s="277">
        <f t="shared" si="409"/>
        <v>0</v>
      </c>
      <c r="H172" s="277">
        <f t="shared" si="409"/>
        <v>0</v>
      </c>
      <c r="I172" s="277">
        <f t="shared" si="409"/>
        <v>0</v>
      </c>
      <c r="J172" s="277">
        <f t="shared" si="409"/>
        <v>0</v>
      </c>
      <c r="K172" s="281">
        <f t="shared" si="330"/>
        <v>58621320</v>
      </c>
      <c r="L172" s="277">
        <f t="shared" ref="L172:Q172" si="410">+L168*1.43856%</f>
        <v>2442850.8446591999</v>
      </c>
      <c r="M172" s="277">
        <f t="shared" si="410"/>
        <v>6900929.4826800004</v>
      </c>
      <c r="N172" s="277">
        <f t="shared" si="410"/>
        <v>5089344.3292319998</v>
      </c>
      <c r="O172" s="277">
        <f t="shared" si="410"/>
        <v>5101124.1072624</v>
      </c>
      <c r="P172" s="277">
        <f t="shared" si="410"/>
        <v>3547132.7437728001</v>
      </c>
      <c r="Q172" s="277">
        <f t="shared" si="410"/>
        <v>6425654.7931200005</v>
      </c>
      <c r="R172" s="281">
        <f t="shared" si="338"/>
        <v>29507036.300726403</v>
      </c>
      <c r="S172" s="277">
        <f t="shared" ref="S172:Z172" si="411">+S168*1.43856%</f>
        <v>5287083.9244991997</v>
      </c>
      <c r="T172" s="277">
        <f t="shared" si="411"/>
        <v>6641081.5699008005</v>
      </c>
      <c r="U172" s="277">
        <f t="shared" si="411"/>
        <v>11842740.1764288</v>
      </c>
      <c r="V172" s="277">
        <f t="shared" si="411"/>
        <v>1958560.9729056</v>
      </c>
      <c r="W172" s="277">
        <f t="shared" si="411"/>
        <v>2264079.9145391998</v>
      </c>
      <c r="X172" s="277">
        <f t="shared" si="411"/>
        <v>5982380.6837472003</v>
      </c>
      <c r="Y172" s="277">
        <f t="shared" si="411"/>
        <v>0</v>
      </c>
      <c r="Z172" s="277">
        <f t="shared" si="411"/>
        <v>0</v>
      </c>
      <c r="AA172" s="281">
        <f t="shared" si="354"/>
        <v>33975927.242020801</v>
      </c>
      <c r="AB172" s="403">
        <f t="shared" si="340"/>
        <v>63482963.5427472</v>
      </c>
      <c r="AC172" s="326">
        <f t="shared" si="341"/>
        <v>1.0829330274846625</v>
      </c>
    </row>
    <row r="173" spans="1:29" ht="38.25" hidden="1" x14ac:dyDescent="0.2">
      <c r="A173" s="424"/>
      <c r="B173" s="323" t="s">
        <v>577</v>
      </c>
      <c r="C173" s="206" t="s">
        <v>221</v>
      </c>
      <c r="D173" s="324">
        <f>+D168*0.7048944%</f>
        <v>4758037.2</v>
      </c>
      <c r="E173" s="325">
        <f>SUM('ADICIONES  2021'!C173:N173)</f>
        <v>23966409.600000001</v>
      </c>
      <c r="F173" s="277">
        <f t="shared" ref="F173:J173" si="412">+F168*0.7048944%</f>
        <v>0</v>
      </c>
      <c r="G173" s="277">
        <f t="shared" si="412"/>
        <v>0</v>
      </c>
      <c r="H173" s="277">
        <f t="shared" si="412"/>
        <v>0</v>
      </c>
      <c r="I173" s="277">
        <f t="shared" si="412"/>
        <v>0</v>
      </c>
      <c r="J173" s="277">
        <f t="shared" si="412"/>
        <v>0</v>
      </c>
      <c r="K173" s="281">
        <f t="shared" si="330"/>
        <v>28724446.800000001</v>
      </c>
      <c r="L173" s="277">
        <f t="shared" ref="L173:Q173" si="413">+L168*0.7048944%</f>
        <v>1196996.9138830081</v>
      </c>
      <c r="M173" s="277">
        <f t="shared" si="413"/>
        <v>3381455.4465132002</v>
      </c>
      <c r="N173" s="277">
        <f t="shared" si="413"/>
        <v>2493778.7213236801</v>
      </c>
      <c r="O173" s="277">
        <f t="shared" si="413"/>
        <v>2499550.812558576</v>
      </c>
      <c r="P173" s="277">
        <f t="shared" si="413"/>
        <v>1738095.0444486721</v>
      </c>
      <c r="Q173" s="277">
        <f t="shared" si="413"/>
        <v>3148570.8486288004</v>
      </c>
      <c r="R173" s="281">
        <f t="shared" si="338"/>
        <v>14458447.787355937</v>
      </c>
      <c r="S173" s="277">
        <f t="shared" ref="S173:Z173" si="414">+S168*0.7048944%</f>
        <v>2590671.1230046083</v>
      </c>
      <c r="T173" s="277">
        <f t="shared" si="414"/>
        <v>3254129.9692513924</v>
      </c>
      <c r="U173" s="277">
        <f t="shared" si="414"/>
        <v>5802942.6864501126</v>
      </c>
      <c r="V173" s="277">
        <f t="shared" si="414"/>
        <v>959694.87672374409</v>
      </c>
      <c r="W173" s="277">
        <f t="shared" si="414"/>
        <v>1109399.158124208</v>
      </c>
      <c r="X173" s="277">
        <f t="shared" si="414"/>
        <v>2931366.535036128</v>
      </c>
      <c r="Y173" s="277">
        <f t="shared" si="414"/>
        <v>0</v>
      </c>
      <c r="Z173" s="277">
        <f t="shared" si="414"/>
        <v>0</v>
      </c>
      <c r="AA173" s="281">
        <f t="shared" si="354"/>
        <v>16648204.348590193</v>
      </c>
      <c r="AB173" s="403">
        <f t="shared" si="340"/>
        <v>31106652.135946132</v>
      </c>
      <c r="AC173" s="326">
        <f t="shared" si="341"/>
        <v>1.0829330274846627</v>
      </c>
    </row>
    <row r="174" spans="1:29" ht="25.5" hidden="1" x14ac:dyDescent="0.2">
      <c r="A174" s="424"/>
      <c r="B174" s="323" t="s">
        <v>578</v>
      </c>
      <c r="C174" s="206" t="s">
        <v>579</v>
      </c>
      <c r="D174" s="328">
        <f>+D168*20%</f>
        <v>135000000</v>
      </c>
      <c r="E174" s="325">
        <f>SUM('ADICIONES  2021'!C174:N174)</f>
        <v>680000000</v>
      </c>
      <c r="F174" s="278">
        <f t="shared" ref="F174:J174" si="415">+F168*20%</f>
        <v>0</v>
      </c>
      <c r="G174" s="278">
        <f t="shared" si="415"/>
        <v>0</v>
      </c>
      <c r="H174" s="278">
        <f t="shared" si="415"/>
        <v>0</v>
      </c>
      <c r="I174" s="278">
        <f t="shared" si="415"/>
        <v>0</v>
      </c>
      <c r="J174" s="278">
        <f t="shared" si="415"/>
        <v>0</v>
      </c>
      <c r="K174" s="281">
        <f t="shared" si="330"/>
        <v>815000000</v>
      </c>
      <c r="L174" s="278">
        <f t="shared" ref="L174:Q174" si="416">+L168*20%</f>
        <v>33962446.399999999</v>
      </c>
      <c r="M174" s="278">
        <f t="shared" si="416"/>
        <v>95942185</v>
      </c>
      <c r="N174" s="278">
        <f t="shared" si="416"/>
        <v>70756094</v>
      </c>
      <c r="O174" s="278">
        <f t="shared" si="416"/>
        <v>70919865.799999997</v>
      </c>
      <c r="P174" s="278">
        <f t="shared" si="416"/>
        <v>49315047.600000001</v>
      </c>
      <c r="Q174" s="278">
        <f t="shared" si="416"/>
        <v>89334540</v>
      </c>
      <c r="R174" s="281">
        <f t="shared" si="338"/>
        <v>410230178.80000001</v>
      </c>
      <c r="S174" s="278">
        <f t="shared" ref="S174:Z174" si="417">+S168*20%</f>
        <v>73505226.400000006</v>
      </c>
      <c r="T174" s="278">
        <f t="shared" si="417"/>
        <v>92329573.600000009</v>
      </c>
      <c r="U174" s="278">
        <f t="shared" si="417"/>
        <v>164647149.60000002</v>
      </c>
      <c r="V174" s="278">
        <f t="shared" si="417"/>
        <v>27229465.200000003</v>
      </c>
      <c r="W174" s="278">
        <f t="shared" si="417"/>
        <v>31477031.400000002</v>
      </c>
      <c r="X174" s="278">
        <f t="shared" si="417"/>
        <v>83171792.400000006</v>
      </c>
      <c r="Y174" s="278">
        <f t="shared" si="417"/>
        <v>0</v>
      </c>
      <c r="Z174" s="278">
        <f t="shared" si="417"/>
        <v>0</v>
      </c>
      <c r="AA174" s="281">
        <f t="shared" si="354"/>
        <v>472360238.60000002</v>
      </c>
      <c r="AB174" s="403">
        <f t="shared" si="340"/>
        <v>882590417.4000001</v>
      </c>
      <c r="AC174" s="326">
        <f t="shared" si="341"/>
        <v>1.0829330274846627</v>
      </c>
    </row>
    <row r="175" spans="1:29" s="19" customFormat="1" x14ac:dyDescent="0.2">
      <c r="A175" s="429">
        <v>1</v>
      </c>
      <c r="B175" s="323" t="s">
        <v>580</v>
      </c>
      <c r="C175" s="329" t="s">
        <v>581</v>
      </c>
      <c r="D175" s="330">
        <v>832000000</v>
      </c>
      <c r="E175" s="322">
        <f>SUM('ADICIONES  2021'!C175:N175)</f>
        <v>0</v>
      </c>
      <c r="F175" s="279"/>
      <c r="G175" s="279"/>
      <c r="H175" s="279"/>
      <c r="I175" s="279"/>
      <c r="J175" s="279"/>
      <c r="K175" s="281">
        <f t="shared" si="330"/>
        <v>832000000</v>
      </c>
      <c r="L175" s="279">
        <v>40394000</v>
      </c>
      <c r="M175" s="279">
        <v>72770000</v>
      </c>
      <c r="N175" s="279">
        <v>110342000</v>
      </c>
      <c r="O175" s="279">
        <v>97803000</v>
      </c>
      <c r="P175" s="279">
        <v>48494000</v>
      </c>
      <c r="Q175" s="279">
        <v>73230000</v>
      </c>
      <c r="R175" s="281">
        <f t="shared" si="338"/>
        <v>443033000</v>
      </c>
      <c r="S175" s="277">
        <v>58613000</v>
      </c>
      <c r="T175" s="277">
        <v>90940000</v>
      </c>
      <c r="U175" s="277">
        <v>75985000</v>
      </c>
      <c r="V175" s="277">
        <v>30850200</v>
      </c>
      <c r="W175" s="277">
        <v>20877400</v>
      </c>
      <c r="X175" s="277">
        <v>34288800</v>
      </c>
      <c r="Y175" s="277"/>
      <c r="Z175" s="279"/>
      <c r="AA175" s="276">
        <f t="shared" si="354"/>
        <v>311554400</v>
      </c>
      <c r="AB175" s="403">
        <f t="shared" si="340"/>
        <v>754587400</v>
      </c>
      <c r="AC175" s="326">
        <f t="shared" si="341"/>
        <v>0.90695600961538458</v>
      </c>
    </row>
    <row r="176" spans="1:29" ht="25.5" hidden="1" x14ac:dyDescent="0.2">
      <c r="A176" s="424"/>
      <c r="B176" s="323" t="s">
        <v>582</v>
      </c>
      <c r="C176" s="206" t="s">
        <v>212</v>
      </c>
      <c r="D176" s="324">
        <f>+D175*87.230682%</f>
        <v>725759274.24000001</v>
      </c>
      <c r="E176" s="325">
        <f>SUM('ADICIONES  2021'!C176:N176)</f>
        <v>0</v>
      </c>
      <c r="F176" s="277">
        <f t="shared" ref="F176:J176" si="418">+F175*87.230682%</f>
        <v>0</v>
      </c>
      <c r="G176" s="277">
        <f t="shared" si="418"/>
        <v>0</v>
      </c>
      <c r="H176" s="277">
        <f t="shared" si="418"/>
        <v>0</v>
      </c>
      <c r="I176" s="277">
        <f t="shared" si="418"/>
        <v>0</v>
      </c>
      <c r="J176" s="277">
        <f t="shared" si="418"/>
        <v>0</v>
      </c>
      <c r="K176" s="281">
        <f t="shared" si="330"/>
        <v>725759274.24000001</v>
      </c>
      <c r="L176" s="277">
        <f t="shared" ref="L176:Q176" si="419">+L175*87.230682%</f>
        <v>35235961.687080003</v>
      </c>
      <c r="M176" s="277">
        <f t="shared" si="419"/>
        <v>63477767.2914</v>
      </c>
      <c r="N176" s="277">
        <f t="shared" si="419"/>
        <v>96252079.132440001</v>
      </c>
      <c r="O176" s="277">
        <f t="shared" si="419"/>
        <v>85314223.916460007</v>
      </c>
      <c r="P176" s="277">
        <f t="shared" si="419"/>
        <v>42301646.929080002</v>
      </c>
      <c r="Q176" s="277">
        <f t="shared" si="419"/>
        <v>63879028.428600006</v>
      </c>
      <c r="R176" s="281">
        <f t="shared" si="338"/>
        <v>386460707.38506001</v>
      </c>
      <c r="S176" s="277">
        <f t="shared" ref="S176:Z176" si="420">+S175*87.230682%</f>
        <v>51128519.640660003</v>
      </c>
      <c r="T176" s="277">
        <f t="shared" si="420"/>
        <v>79327582.210800007</v>
      </c>
      <c r="U176" s="277">
        <f t="shared" si="420"/>
        <v>66282233.717700005</v>
      </c>
      <c r="V176" s="277">
        <f t="shared" si="420"/>
        <v>26910839.858364001</v>
      </c>
      <c r="W176" s="277">
        <f t="shared" si="420"/>
        <v>18211498.403868001</v>
      </c>
      <c r="X176" s="277">
        <f t="shared" si="420"/>
        <v>29910354.089616001</v>
      </c>
      <c r="Y176" s="277">
        <f t="shared" si="420"/>
        <v>0</v>
      </c>
      <c r="Z176" s="277">
        <f t="shared" si="420"/>
        <v>0</v>
      </c>
      <c r="AA176" s="281">
        <f t="shared" si="354"/>
        <v>271771027.92100799</v>
      </c>
      <c r="AB176" s="403">
        <f t="shared" si="340"/>
        <v>658231735.30606794</v>
      </c>
      <c r="AC176" s="326">
        <f t="shared" si="341"/>
        <v>0.90695600961538447</v>
      </c>
    </row>
    <row r="177" spans="1:29" ht="25.5" hidden="1" x14ac:dyDescent="0.2">
      <c r="A177" s="424"/>
      <c r="B177" s="323" t="s">
        <v>583</v>
      </c>
      <c r="C177" s="206" t="s">
        <v>213</v>
      </c>
      <c r="D177" s="324">
        <f>+D175*0.1%</f>
        <v>832000</v>
      </c>
      <c r="E177" s="325">
        <f>SUM('ADICIONES  2021'!C177:N177)</f>
        <v>0</v>
      </c>
      <c r="F177" s="277">
        <f t="shared" ref="F177:J177" si="421">+F175*0.1%</f>
        <v>0</v>
      </c>
      <c r="G177" s="277">
        <f t="shared" si="421"/>
        <v>0</v>
      </c>
      <c r="H177" s="277">
        <f t="shared" si="421"/>
        <v>0</v>
      </c>
      <c r="I177" s="277">
        <f t="shared" si="421"/>
        <v>0</v>
      </c>
      <c r="J177" s="277">
        <f t="shared" si="421"/>
        <v>0</v>
      </c>
      <c r="K177" s="281">
        <f t="shared" si="330"/>
        <v>832000</v>
      </c>
      <c r="L177" s="277">
        <f t="shared" ref="L177:Q177" si="422">+L175*0.1%</f>
        <v>40394</v>
      </c>
      <c r="M177" s="277">
        <f t="shared" si="422"/>
        <v>72770</v>
      </c>
      <c r="N177" s="277">
        <f t="shared" si="422"/>
        <v>110342</v>
      </c>
      <c r="O177" s="277">
        <f t="shared" si="422"/>
        <v>97803</v>
      </c>
      <c r="P177" s="277">
        <f t="shared" si="422"/>
        <v>48494</v>
      </c>
      <c r="Q177" s="277">
        <f t="shared" si="422"/>
        <v>73230</v>
      </c>
      <c r="R177" s="281">
        <f t="shared" si="338"/>
        <v>443033</v>
      </c>
      <c r="S177" s="277">
        <f t="shared" ref="S177:Z177" si="423">+S175*0.1%</f>
        <v>58613</v>
      </c>
      <c r="T177" s="277">
        <f t="shared" si="423"/>
        <v>90940</v>
      </c>
      <c r="U177" s="277">
        <f t="shared" si="423"/>
        <v>75985</v>
      </c>
      <c r="V177" s="277">
        <f t="shared" si="423"/>
        <v>30850.2</v>
      </c>
      <c r="W177" s="277">
        <f t="shared" si="423"/>
        <v>20877.400000000001</v>
      </c>
      <c r="X177" s="277">
        <f t="shared" si="423"/>
        <v>34288.800000000003</v>
      </c>
      <c r="Y177" s="277">
        <f t="shared" si="423"/>
        <v>0</v>
      </c>
      <c r="Z177" s="277">
        <f t="shared" si="423"/>
        <v>0</v>
      </c>
      <c r="AA177" s="281">
        <f t="shared" si="354"/>
        <v>311554.40000000002</v>
      </c>
      <c r="AB177" s="403">
        <f t="shared" si="340"/>
        <v>754587.4</v>
      </c>
      <c r="AC177" s="326">
        <f t="shared" si="341"/>
        <v>0.9069560096153847</v>
      </c>
    </row>
    <row r="178" spans="1:29" ht="25.5" hidden="1" x14ac:dyDescent="0.2">
      <c r="A178" s="424"/>
      <c r="B178" s="323" t="s">
        <v>584</v>
      </c>
      <c r="C178" s="206" t="s">
        <v>214</v>
      </c>
      <c r="D178" s="324">
        <f>+D175*9.99%</f>
        <v>83116800</v>
      </c>
      <c r="E178" s="325">
        <f>SUM('ADICIONES  2021'!C178:N178)</f>
        <v>0</v>
      </c>
      <c r="F178" s="277">
        <f t="shared" ref="F178:J178" si="424">+F175*9.99%</f>
        <v>0</v>
      </c>
      <c r="G178" s="277">
        <f t="shared" si="424"/>
        <v>0</v>
      </c>
      <c r="H178" s="277">
        <f t="shared" si="424"/>
        <v>0</v>
      </c>
      <c r="I178" s="277">
        <f t="shared" si="424"/>
        <v>0</v>
      </c>
      <c r="J178" s="277">
        <f t="shared" si="424"/>
        <v>0</v>
      </c>
      <c r="K178" s="281">
        <f t="shared" si="330"/>
        <v>83116800</v>
      </c>
      <c r="L178" s="277">
        <f t="shared" ref="L178:Q178" si="425">+L175*9.99%</f>
        <v>4035360.6</v>
      </c>
      <c r="M178" s="277">
        <f t="shared" si="425"/>
        <v>7269723</v>
      </c>
      <c r="N178" s="277">
        <f t="shared" si="425"/>
        <v>11023165.800000001</v>
      </c>
      <c r="O178" s="277">
        <f t="shared" si="425"/>
        <v>9770519.7000000011</v>
      </c>
      <c r="P178" s="277">
        <f t="shared" si="425"/>
        <v>4844550.6000000006</v>
      </c>
      <c r="Q178" s="277">
        <f t="shared" si="425"/>
        <v>7315677</v>
      </c>
      <c r="R178" s="281">
        <f t="shared" si="338"/>
        <v>44258996.700000003</v>
      </c>
      <c r="S178" s="277">
        <f t="shared" ref="S178:Z178" si="426">+S175*9.99%</f>
        <v>5855438.7000000002</v>
      </c>
      <c r="T178" s="277">
        <f t="shared" si="426"/>
        <v>9084906</v>
      </c>
      <c r="U178" s="277">
        <f t="shared" si="426"/>
        <v>7590901.5</v>
      </c>
      <c r="V178" s="277">
        <f t="shared" si="426"/>
        <v>3081934.98</v>
      </c>
      <c r="W178" s="277">
        <f t="shared" si="426"/>
        <v>2085652.26</v>
      </c>
      <c r="X178" s="277">
        <f t="shared" si="426"/>
        <v>3425451.12</v>
      </c>
      <c r="Y178" s="277">
        <f t="shared" si="426"/>
        <v>0</v>
      </c>
      <c r="Z178" s="277">
        <f t="shared" si="426"/>
        <v>0</v>
      </c>
      <c r="AA178" s="281">
        <f t="shared" si="354"/>
        <v>31124284.560000002</v>
      </c>
      <c r="AB178" s="403">
        <f t="shared" si="340"/>
        <v>75383281.260000005</v>
      </c>
      <c r="AC178" s="326">
        <f t="shared" si="341"/>
        <v>0.9069560096153847</v>
      </c>
    </row>
    <row r="179" spans="1:29" ht="25.5" hidden="1" x14ac:dyDescent="0.2">
      <c r="A179" s="424"/>
      <c r="B179" s="323" t="s">
        <v>585</v>
      </c>
      <c r="C179" s="206" t="s">
        <v>215</v>
      </c>
      <c r="D179" s="324">
        <f>+D175*1.7982%</f>
        <v>14961024.000000002</v>
      </c>
      <c r="E179" s="325">
        <f>SUM('ADICIONES  2021'!C179:N179)</f>
        <v>0</v>
      </c>
      <c r="F179" s="277">
        <f t="shared" ref="F179:J179" si="427">+F175*1.7982%</f>
        <v>0</v>
      </c>
      <c r="G179" s="277">
        <f t="shared" si="427"/>
        <v>0</v>
      </c>
      <c r="H179" s="277">
        <f t="shared" si="427"/>
        <v>0</v>
      </c>
      <c r="I179" s="277">
        <f t="shared" si="427"/>
        <v>0</v>
      </c>
      <c r="J179" s="277">
        <f t="shared" si="427"/>
        <v>0</v>
      </c>
      <c r="K179" s="281">
        <f t="shared" si="330"/>
        <v>14961024.000000002</v>
      </c>
      <c r="L179" s="277">
        <f t="shared" ref="L179:Q179" si="428">+L175*1.7982%</f>
        <v>726364.90800000005</v>
      </c>
      <c r="M179" s="277">
        <f t="shared" si="428"/>
        <v>1308550.1400000001</v>
      </c>
      <c r="N179" s="277">
        <f t="shared" si="428"/>
        <v>1984169.8440000003</v>
      </c>
      <c r="O179" s="277">
        <f t="shared" si="428"/>
        <v>1758693.5460000001</v>
      </c>
      <c r="P179" s="277">
        <f t="shared" si="428"/>
        <v>872019.10800000012</v>
      </c>
      <c r="Q179" s="277">
        <f t="shared" si="428"/>
        <v>1316821.8600000001</v>
      </c>
      <c r="R179" s="281">
        <f t="shared" si="338"/>
        <v>7966619.4060000014</v>
      </c>
      <c r="S179" s="277">
        <f t="shared" ref="S179:Z179" si="429">+S175*1.7982%</f>
        <v>1053978.966</v>
      </c>
      <c r="T179" s="277">
        <f t="shared" si="429"/>
        <v>1635283.08</v>
      </c>
      <c r="U179" s="277">
        <f t="shared" si="429"/>
        <v>1366362.27</v>
      </c>
      <c r="V179" s="277">
        <f t="shared" si="429"/>
        <v>554748.29639999999</v>
      </c>
      <c r="W179" s="277">
        <f t="shared" si="429"/>
        <v>375417.40680000006</v>
      </c>
      <c r="X179" s="277">
        <f t="shared" si="429"/>
        <v>616581.20160000003</v>
      </c>
      <c r="Y179" s="277">
        <f t="shared" si="429"/>
        <v>0</v>
      </c>
      <c r="Z179" s="277">
        <f t="shared" si="429"/>
        <v>0</v>
      </c>
      <c r="AA179" s="281">
        <f t="shared" si="354"/>
        <v>5602371.2208000002</v>
      </c>
      <c r="AB179" s="403">
        <f t="shared" si="340"/>
        <v>13568990.626800001</v>
      </c>
      <c r="AC179" s="326">
        <f t="shared" si="341"/>
        <v>0.90695600961538458</v>
      </c>
    </row>
    <row r="180" spans="1:29" ht="38.25" hidden="1" x14ac:dyDescent="0.2">
      <c r="A180" s="424"/>
      <c r="B180" s="323" t="s">
        <v>586</v>
      </c>
      <c r="C180" s="206" t="s">
        <v>216</v>
      </c>
      <c r="D180" s="324">
        <f>+D175*0.881118%</f>
        <v>7330901.7599999998</v>
      </c>
      <c r="E180" s="325">
        <f>SUM('ADICIONES  2021'!C180:N180)</f>
        <v>0</v>
      </c>
      <c r="F180" s="277">
        <f t="shared" ref="F180:J180" si="430">+F175*0.881118%</f>
        <v>0</v>
      </c>
      <c r="G180" s="277">
        <f t="shared" si="430"/>
        <v>0</v>
      </c>
      <c r="H180" s="277">
        <f t="shared" si="430"/>
        <v>0</v>
      </c>
      <c r="I180" s="277">
        <f t="shared" si="430"/>
        <v>0</v>
      </c>
      <c r="J180" s="277">
        <f t="shared" si="430"/>
        <v>0</v>
      </c>
      <c r="K180" s="281">
        <f t="shared" si="330"/>
        <v>7330901.7599999998</v>
      </c>
      <c r="L180" s="277">
        <f t="shared" ref="L180:Q180" si="431">+L175*0.881118%</f>
        <v>355918.80492000002</v>
      </c>
      <c r="M180" s="277">
        <f t="shared" si="431"/>
        <v>641189.5686</v>
      </c>
      <c r="N180" s="277">
        <f t="shared" si="431"/>
        <v>972243.22355999995</v>
      </c>
      <c r="O180" s="277">
        <f t="shared" si="431"/>
        <v>861759.83753999998</v>
      </c>
      <c r="P180" s="277">
        <f t="shared" si="431"/>
        <v>427289.36291999999</v>
      </c>
      <c r="Q180" s="277">
        <f t="shared" si="431"/>
        <v>645242.71140000003</v>
      </c>
      <c r="R180" s="281">
        <f t="shared" si="338"/>
        <v>3903643.5089399996</v>
      </c>
      <c r="S180" s="277">
        <f t="shared" ref="S180:Z180" si="432">+S175*0.881118%</f>
        <v>516449.69334</v>
      </c>
      <c r="T180" s="277">
        <f t="shared" si="432"/>
        <v>801288.70920000004</v>
      </c>
      <c r="U180" s="277">
        <f t="shared" si="432"/>
        <v>669517.51230000006</v>
      </c>
      <c r="V180" s="277">
        <f t="shared" si="432"/>
        <v>271826.66523600003</v>
      </c>
      <c r="W180" s="277">
        <f t="shared" si="432"/>
        <v>183954.52933200001</v>
      </c>
      <c r="X180" s="277">
        <f t="shared" si="432"/>
        <v>302124.78878399997</v>
      </c>
      <c r="Y180" s="277">
        <f t="shared" si="432"/>
        <v>0</v>
      </c>
      <c r="Z180" s="277">
        <f t="shared" si="432"/>
        <v>0</v>
      </c>
      <c r="AA180" s="281">
        <f t="shared" si="354"/>
        <v>2745161.8981920001</v>
      </c>
      <c r="AB180" s="403">
        <f t="shared" si="340"/>
        <v>6648805.4071319997</v>
      </c>
      <c r="AC180" s="326">
        <f t="shared" si="341"/>
        <v>0.90695600961538458</v>
      </c>
    </row>
    <row r="181" spans="1:29" s="61" customFormat="1" ht="15.75" hidden="1" x14ac:dyDescent="0.2">
      <c r="A181" s="425"/>
      <c r="B181" s="318" t="s">
        <v>587</v>
      </c>
      <c r="C181" s="319" t="s">
        <v>588</v>
      </c>
      <c r="D181" s="283">
        <f>+D182</f>
        <v>260000000</v>
      </c>
      <c r="E181" s="322">
        <f>SUM('ADICIONES  2021'!C181:N181)</f>
        <v>0</v>
      </c>
      <c r="F181" s="275">
        <f t="shared" ref="F181:J184" si="433">+F182</f>
        <v>0</v>
      </c>
      <c r="G181" s="275">
        <f t="shared" si="433"/>
        <v>0</v>
      </c>
      <c r="H181" s="275">
        <f t="shared" si="433"/>
        <v>0</v>
      </c>
      <c r="I181" s="275">
        <f t="shared" si="433"/>
        <v>0</v>
      </c>
      <c r="J181" s="275">
        <f t="shared" si="433"/>
        <v>0</v>
      </c>
      <c r="K181" s="276">
        <f t="shared" si="330"/>
        <v>260000000</v>
      </c>
      <c r="L181" s="275">
        <f t="shared" ref="L181:Q184" si="434">+L182</f>
        <v>18449079</v>
      </c>
      <c r="M181" s="275">
        <f t="shared" si="434"/>
        <v>22269664</v>
      </c>
      <c r="N181" s="275">
        <f t="shared" si="434"/>
        <v>30051717</v>
      </c>
      <c r="O181" s="275">
        <f t="shared" si="434"/>
        <v>18188817</v>
      </c>
      <c r="P181" s="275">
        <f t="shared" si="434"/>
        <v>18039653</v>
      </c>
      <c r="Q181" s="275">
        <f t="shared" si="434"/>
        <v>21039653</v>
      </c>
      <c r="R181" s="276">
        <f t="shared" si="338"/>
        <v>128038583</v>
      </c>
      <c r="S181" s="275">
        <f t="shared" ref="S181:Z184" si="435">+S182</f>
        <v>15370300</v>
      </c>
      <c r="T181" s="275">
        <f t="shared" si="435"/>
        <v>14245300</v>
      </c>
      <c r="U181" s="275">
        <f t="shared" si="435"/>
        <v>15165582</v>
      </c>
      <c r="V181" s="275">
        <f t="shared" si="435"/>
        <v>21365582</v>
      </c>
      <c r="W181" s="275">
        <f t="shared" si="435"/>
        <v>23287087</v>
      </c>
      <c r="X181" s="275">
        <f t="shared" si="435"/>
        <v>20849469</v>
      </c>
      <c r="Y181" s="275">
        <f t="shared" si="435"/>
        <v>0</v>
      </c>
      <c r="Z181" s="275">
        <f t="shared" si="435"/>
        <v>0</v>
      </c>
      <c r="AA181" s="276">
        <f t="shared" si="354"/>
        <v>110283320</v>
      </c>
      <c r="AB181" s="402">
        <f t="shared" si="340"/>
        <v>238321903</v>
      </c>
      <c r="AC181" s="321">
        <f t="shared" si="341"/>
        <v>0.91662270384615385</v>
      </c>
    </row>
    <row r="182" spans="1:29" s="61" customFormat="1" ht="15.75" hidden="1" x14ac:dyDescent="0.2">
      <c r="A182" s="425"/>
      <c r="B182" s="318" t="s">
        <v>589</v>
      </c>
      <c r="C182" s="334" t="s">
        <v>590</v>
      </c>
      <c r="D182" s="283">
        <f>+D183</f>
        <v>260000000</v>
      </c>
      <c r="E182" s="322">
        <f>SUM('ADICIONES  2021'!C182:N182)</f>
        <v>0</v>
      </c>
      <c r="F182" s="275">
        <f t="shared" si="433"/>
        <v>0</v>
      </c>
      <c r="G182" s="275">
        <f t="shared" si="433"/>
        <v>0</v>
      </c>
      <c r="H182" s="275">
        <f t="shared" si="433"/>
        <v>0</v>
      </c>
      <c r="I182" s="275">
        <f t="shared" si="433"/>
        <v>0</v>
      </c>
      <c r="J182" s="275">
        <f t="shared" si="433"/>
        <v>0</v>
      </c>
      <c r="K182" s="276">
        <f t="shared" si="330"/>
        <v>260000000</v>
      </c>
      <c r="L182" s="275">
        <f t="shared" si="434"/>
        <v>18449079</v>
      </c>
      <c r="M182" s="275">
        <f t="shared" si="434"/>
        <v>22269664</v>
      </c>
      <c r="N182" s="275">
        <f t="shared" si="434"/>
        <v>30051717</v>
      </c>
      <c r="O182" s="275">
        <f t="shared" si="434"/>
        <v>18188817</v>
      </c>
      <c r="P182" s="275">
        <f t="shared" si="434"/>
        <v>18039653</v>
      </c>
      <c r="Q182" s="275">
        <f t="shared" si="434"/>
        <v>21039653</v>
      </c>
      <c r="R182" s="276">
        <f t="shared" si="338"/>
        <v>128038583</v>
      </c>
      <c r="S182" s="275">
        <f t="shared" si="435"/>
        <v>15370300</v>
      </c>
      <c r="T182" s="275">
        <f t="shared" si="435"/>
        <v>14245300</v>
      </c>
      <c r="U182" s="275">
        <f t="shared" si="435"/>
        <v>15165582</v>
      </c>
      <c r="V182" s="275">
        <f t="shared" si="435"/>
        <v>21365582</v>
      </c>
      <c r="W182" s="275">
        <f t="shared" si="435"/>
        <v>23287087</v>
      </c>
      <c r="X182" s="275">
        <f t="shared" si="435"/>
        <v>20849469</v>
      </c>
      <c r="Y182" s="275">
        <f t="shared" si="435"/>
        <v>0</v>
      </c>
      <c r="Z182" s="275">
        <f t="shared" si="435"/>
        <v>0</v>
      </c>
      <c r="AA182" s="276">
        <f t="shared" si="354"/>
        <v>110283320</v>
      </c>
      <c r="AB182" s="402">
        <f t="shared" si="340"/>
        <v>238321903</v>
      </c>
      <c r="AC182" s="321">
        <f t="shared" si="341"/>
        <v>0.91662270384615385</v>
      </c>
    </row>
    <row r="183" spans="1:29" s="61" customFormat="1" ht="25.5" hidden="1" x14ac:dyDescent="0.2">
      <c r="A183" s="425"/>
      <c r="B183" s="318" t="s">
        <v>591</v>
      </c>
      <c r="C183" s="319" t="s">
        <v>592</v>
      </c>
      <c r="D183" s="283">
        <f>+D184</f>
        <v>260000000</v>
      </c>
      <c r="E183" s="322">
        <f>SUM('ADICIONES  2021'!C183:N183)</f>
        <v>0</v>
      </c>
      <c r="F183" s="275">
        <f t="shared" si="433"/>
        <v>0</v>
      </c>
      <c r="G183" s="275">
        <f t="shared" si="433"/>
        <v>0</v>
      </c>
      <c r="H183" s="275">
        <f t="shared" si="433"/>
        <v>0</v>
      </c>
      <c r="I183" s="275">
        <f t="shared" si="433"/>
        <v>0</v>
      </c>
      <c r="J183" s="275">
        <f t="shared" si="433"/>
        <v>0</v>
      </c>
      <c r="K183" s="276">
        <f t="shared" si="330"/>
        <v>260000000</v>
      </c>
      <c r="L183" s="275">
        <f t="shared" si="434"/>
        <v>18449079</v>
      </c>
      <c r="M183" s="275">
        <f t="shared" si="434"/>
        <v>22269664</v>
      </c>
      <c r="N183" s="275">
        <f t="shared" si="434"/>
        <v>30051717</v>
      </c>
      <c r="O183" s="275">
        <f t="shared" si="434"/>
        <v>18188817</v>
      </c>
      <c r="P183" s="275">
        <f t="shared" si="434"/>
        <v>18039653</v>
      </c>
      <c r="Q183" s="275">
        <f t="shared" si="434"/>
        <v>21039653</v>
      </c>
      <c r="R183" s="276">
        <f t="shared" si="338"/>
        <v>128038583</v>
      </c>
      <c r="S183" s="275">
        <f t="shared" si="435"/>
        <v>15370300</v>
      </c>
      <c r="T183" s="275">
        <f t="shared" si="435"/>
        <v>14245300</v>
      </c>
      <c r="U183" s="275">
        <f t="shared" si="435"/>
        <v>15165582</v>
      </c>
      <c r="V183" s="275">
        <f t="shared" si="435"/>
        <v>21365582</v>
      </c>
      <c r="W183" s="275">
        <f t="shared" si="435"/>
        <v>23287087</v>
      </c>
      <c r="X183" s="275">
        <f t="shared" si="435"/>
        <v>20849469</v>
      </c>
      <c r="Y183" s="275">
        <f t="shared" si="435"/>
        <v>0</v>
      </c>
      <c r="Z183" s="275">
        <f t="shared" si="435"/>
        <v>0</v>
      </c>
      <c r="AA183" s="276">
        <f t="shared" si="354"/>
        <v>110283320</v>
      </c>
      <c r="AB183" s="402">
        <f t="shared" si="340"/>
        <v>238321903</v>
      </c>
      <c r="AC183" s="321">
        <f t="shared" si="341"/>
        <v>0.91662270384615385</v>
      </c>
    </row>
    <row r="184" spans="1:29" s="61" customFormat="1" ht="25.5" hidden="1" x14ac:dyDescent="0.2">
      <c r="A184" s="425"/>
      <c r="B184" s="318" t="s">
        <v>593</v>
      </c>
      <c r="C184" s="319" t="s">
        <v>594</v>
      </c>
      <c r="D184" s="283">
        <f>+D185</f>
        <v>260000000</v>
      </c>
      <c r="E184" s="322">
        <f>SUM('ADICIONES  2021'!C184:N184)</f>
        <v>0</v>
      </c>
      <c r="F184" s="275">
        <f t="shared" si="433"/>
        <v>0</v>
      </c>
      <c r="G184" s="275">
        <f t="shared" si="433"/>
        <v>0</v>
      </c>
      <c r="H184" s="275">
        <f t="shared" si="433"/>
        <v>0</v>
      </c>
      <c r="I184" s="275">
        <f t="shared" si="433"/>
        <v>0</v>
      </c>
      <c r="J184" s="275">
        <f t="shared" si="433"/>
        <v>0</v>
      </c>
      <c r="K184" s="276">
        <f t="shared" si="330"/>
        <v>260000000</v>
      </c>
      <c r="L184" s="275">
        <f t="shared" si="434"/>
        <v>18449079</v>
      </c>
      <c r="M184" s="275">
        <f t="shared" si="434"/>
        <v>22269664</v>
      </c>
      <c r="N184" s="275">
        <f t="shared" si="434"/>
        <v>30051717</v>
      </c>
      <c r="O184" s="275">
        <f t="shared" si="434"/>
        <v>18188817</v>
      </c>
      <c r="P184" s="275">
        <f t="shared" si="434"/>
        <v>18039653</v>
      </c>
      <c r="Q184" s="275">
        <f t="shared" si="434"/>
        <v>21039653</v>
      </c>
      <c r="R184" s="276">
        <f t="shared" si="338"/>
        <v>128038583</v>
      </c>
      <c r="S184" s="275">
        <f t="shared" si="435"/>
        <v>15370300</v>
      </c>
      <c r="T184" s="275">
        <f t="shared" si="435"/>
        <v>14245300</v>
      </c>
      <c r="U184" s="275">
        <f t="shared" si="435"/>
        <v>15165582</v>
      </c>
      <c r="V184" s="275">
        <f t="shared" si="435"/>
        <v>21365582</v>
      </c>
      <c r="W184" s="275">
        <f t="shared" si="435"/>
        <v>23287087</v>
      </c>
      <c r="X184" s="275">
        <f t="shared" si="435"/>
        <v>20849469</v>
      </c>
      <c r="Y184" s="275">
        <f t="shared" si="435"/>
        <v>0</v>
      </c>
      <c r="Z184" s="275">
        <f t="shared" si="435"/>
        <v>0</v>
      </c>
      <c r="AA184" s="276">
        <f t="shared" si="354"/>
        <v>110283320</v>
      </c>
      <c r="AB184" s="402">
        <f t="shared" si="340"/>
        <v>238321903</v>
      </c>
      <c r="AC184" s="321">
        <f t="shared" si="341"/>
        <v>0.91662270384615385</v>
      </c>
    </row>
    <row r="185" spans="1:29" s="19" customFormat="1" ht="38.25" x14ac:dyDescent="0.2">
      <c r="A185" s="429">
        <v>1</v>
      </c>
      <c r="B185" s="318" t="s">
        <v>595</v>
      </c>
      <c r="C185" s="206" t="s">
        <v>596</v>
      </c>
      <c r="D185" s="330">
        <v>260000000</v>
      </c>
      <c r="E185" s="322">
        <f>SUM('ADICIONES  2021'!C185:N185)</f>
        <v>0</v>
      </c>
      <c r="F185" s="279"/>
      <c r="G185" s="279"/>
      <c r="H185" s="279"/>
      <c r="I185" s="279"/>
      <c r="J185" s="279"/>
      <c r="K185" s="281">
        <f t="shared" si="330"/>
        <v>260000000</v>
      </c>
      <c r="L185" s="279">
        <v>18449079</v>
      </c>
      <c r="M185" s="279">
        <v>22269664</v>
      </c>
      <c r="N185" s="279">
        <v>30051717</v>
      </c>
      <c r="O185" s="279">
        <v>18188817</v>
      </c>
      <c r="P185" s="279">
        <v>18039653</v>
      </c>
      <c r="Q185" s="279">
        <v>21039653</v>
      </c>
      <c r="R185" s="281">
        <f t="shared" si="338"/>
        <v>128038583</v>
      </c>
      <c r="S185" s="277">
        <v>15370300</v>
      </c>
      <c r="T185" s="277">
        <v>14245300</v>
      </c>
      <c r="U185" s="277">
        <v>15165582</v>
      </c>
      <c r="V185" s="277">
        <v>21365582</v>
      </c>
      <c r="W185" s="277">
        <v>23287087</v>
      </c>
      <c r="X185" s="277">
        <v>20849469</v>
      </c>
      <c r="Y185" s="277"/>
      <c r="Z185" s="279"/>
      <c r="AA185" s="276">
        <f t="shared" si="354"/>
        <v>110283320</v>
      </c>
      <c r="AB185" s="403">
        <f t="shared" si="340"/>
        <v>238321903</v>
      </c>
      <c r="AC185" s="326">
        <f t="shared" si="341"/>
        <v>0.91662270384615385</v>
      </c>
    </row>
    <row r="186" spans="1:29" ht="38.25" hidden="1" x14ac:dyDescent="0.2">
      <c r="A186" s="424"/>
      <c r="B186" s="323" t="s">
        <v>597</v>
      </c>
      <c r="C186" s="206" t="s">
        <v>598</v>
      </c>
      <c r="D186" s="324">
        <f>+D185*87.230682%</f>
        <v>226799773.20000002</v>
      </c>
      <c r="E186" s="325">
        <f>SUM('ADICIONES  2021'!C186:N186)</f>
        <v>0</v>
      </c>
      <c r="F186" s="277">
        <f t="shared" ref="F186:J186" si="436">+F185*87.230682%</f>
        <v>0</v>
      </c>
      <c r="G186" s="277">
        <f t="shared" si="436"/>
        <v>0</v>
      </c>
      <c r="H186" s="277">
        <f t="shared" si="436"/>
        <v>0</v>
      </c>
      <c r="I186" s="277">
        <f t="shared" si="436"/>
        <v>0</v>
      </c>
      <c r="J186" s="277">
        <f t="shared" si="436"/>
        <v>0</v>
      </c>
      <c r="K186" s="281">
        <f t="shared" si="330"/>
        <v>226799773.20000002</v>
      </c>
      <c r="L186" s="277">
        <f t="shared" ref="L186:Q186" si="437">+L185*87.230682%</f>
        <v>16093257.434418781</v>
      </c>
      <c r="M186" s="277">
        <f t="shared" si="437"/>
        <v>19425979.786308482</v>
      </c>
      <c r="N186" s="277">
        <f t="shared" si="437"/>
        <v>26214317.691809941</v>
      </c>
      <c r="O186" s="277">
        <f t="shared" si="437"/>
        <v>15866229.116831942</v>
      </c>
      <c r="P186" s="277">
        <f t="shared" si="437"/>
        <v>15736112.34233346</v>
      </c>
      <c r="Q186" s="277">
        <f t="shared" si="437"/>
        <v>18353032.802333459</v>
      </c>
      <c r="R186" s="281">
        <f t="shared" si="338"/>
        <v>111688929.17403607</v>
      </c>
      <c r="S186" s="277">
        <f t="shared" ref="S186:Z186" si="438">+S185*87.230682%</f>
        <v>13407617.515446</v>
      </c>
      <c r="T186" s="277">
        <f t="shared" si="438"/>
        <v>12426272.342946</v>
      </c>
      <c r="U186" s="277">
        <f t="shared" si="438"/>
        <v>13229040.607869241</v>
      </c>
      <c r="V186" s="277">
        <f t="shared" si="438"/>
        <v>18637342.89186924</v>
      </c>
      <c r="W186" s="277">
        <f t="shared" si="438"/>
        <v>20313484.80803334</v>
      </c>
      <c r="X186" s="277">
        <f t="shared" si="438"/>
        <v>18187134.002078582</v>
      </c>
      <c r="Y186" s="277">
        <f t="shared" si="438"/>
        <v>0</v>
      </c>
      <c r="Z186" s="277">
        <f t="shared" si="438"/>
        <v>0</v>
      </c>
      <c r="AA186" s="281">
        <f t="shared" si="354"/>
        <v>96200892.168242395</v>
      </c>
      <c r="AB186" s="403">
        <f t="shared" si="340"/>
        <v>207889821.34227848</v>
      </c>
      <c r="AC186" s="326">
        <f t="shared" si="341"/>
        <v>0.91662270384615385</v>
      </c>
    </row>
    <row r="187" spans="1:29" ht="38.25" hidden="1" x14ac:dyDescent="0.2">
      <c r="A187" s="424"/>
      <c r="B187" s="323" t="s">
        <v>599</v>
      </c>
      <c r="C187" s="206" t="s">
        <v>600</v>
      </c>
      <c r="D187" s="324">
        <f>+D185*0.1%</f>
        <v>260000</v>
      </c>
      <c r="E187" s="325">
        <f>SUM('ADICIONES  2021'!C187:N187)</f>
        <v>0</v>
      </c>
      <c r="F187" s="277">
        <f t="shared" ref="F187:J187" si="439">+F185*0.1%</f>
        <v>0</v>
      </c>
      <c r="G187" s="277">
        <f t="shared" si="439"/>
        <v>0</v>
      </c>
      <c r="H187" s="277">
        <f t="shared" si="439"/>
        <v>0</v>
      </c>
      <c r="I187" s="277">
        <f t="shared" si="439"/>
        <v>0</v>
      </c>
      <c r="J187" s="277">
        <f t="shared" si="439"/>
        <v>0</v>
      </c>
      <c r="K187" s="281">
        <f t="shared" si="330"/>
        <v>260000</v>
      </c>
      <c r="L187" s="277">
        <f t="shared" ref="L187:Q187" si="440">+L185*0.1%</f>
        <v>18449.079000000002</v>
      </c>
      <c r="M187" s="277">
        <f t="shared" si="440"/>
        <v>22269.664000000001</v>
      </c>
      <c r="N187" s="277">
        <f t="shared" si="440"/>
        <v>30051.717000000001</v>
      </c>
      <c r="O187" s="277">
        <f t="shared" si="440"/>
        <v>18188.816999999999</v>
      </c>
      <c r="P187" s="277">
        <f t="shared" si="440"/>
        <v>18039.653000000002</v>
      </c>
      <c r="Q187" s="277">
        <f t="shared" si="440"/>
        <v>21039.653000000002</v>
      </c>
      <c r="R187" s="281">
        <f t="shared" si="338"/>
        <v>128038.58300000001</v>
      </c>
      <c r="S187" s="277">
        <f t="shared" ref="S187:Z187" si="441">+S185*0.1%</f>
        <v>15370.300000000001</v>
      </c>
      <c r="T187" s="277">
        <f t="shared" si="441"/>
        <v>14245.300000000001</v>
      </c>
      <c r="U187" s="277">
        <f t="shared" si="441"/>
        <v>15165.582</v>
      </c>
      <c r="V187" s="277">
        <f t="shared" si="441"/>
        <v>21365.582000000002</v>
      </c>
      <c r="W187" s="277">
        <f t="shared" si="441"/>
        <v>23287.087</v>
      </c>
      <c r="X187" s="277">
        <f t="shared" si="441"/>
        <v>20849.469000000001</v>
      </c>
      <c r="Y187" s="277">
        <f t="shared" si="441"/>
        <v>0</v>
      </c>
      <c r="Z187" s="277">
        <f t="shared" si="441"/>
        <v>0</v>
      </c>
      <c r="AA187" s="281">
        <f t="shared" si="354"/>
        <v>110283.31999999999</v>
      </c>
      <c r="AB187" s="403">
        <f t="shared" si="340"/>
        <v>238321.90299999999</v>
      </c>
      <c r="AC187" s="326">
        <f t="shared" si="341"/>
        <v>0.91662270384615385</v>
      </c>
    </row>
    <row r="188" spans="1:29" ht="38.25" hidden="1" x14ac:dyDescent="0.2">
      <c r="A188" s="424"/>
      <c r="B188" s="323" t="s">
        <v>601</v>
      </c>
      <c r="C188" s="206" t="s">
        <v>602</v>
      </c>
      <c r="D188" s="324">
        <f>+D185*9.99%</f>
        <v>25974000</v>
      </c>
      <c r="E188" s="325">
        <f>SUM('ADICIONES  2021'!C188:N188)</f>
        <v>0</v>
      </c>
      <c r="F188" s="277">
        <f t="shared" ref="F188:J188" si="442">+F185*9.99%</f>
        <v>0</v>
      </c>
      <c r="G188" s="277">
        <f t="shared" si="442"/>
        <v>0</v>
      </c>
      <c r="H188" s="277">
        <f t="shared" si="442"/>
        <v>0</v>
      </c>
      <c r="I188" s="277">
        <f t="shared" si="442"/>
        <v>0</v>
      </c>
      <c r="J188" s="277">
        <f t="shared" si="442"/>
        <v>0</v>
      </c>
      <c r="K188" s="281">
        <f t="shared" si="330"/>
        <v>25974000</v>
      </c>
      <c r="L188" s="277">
        <f t="shared" ref="L188:Q188" si="443">+L185*9.99%</f>
        <v>1843062.9921000001</v>
      </c>
      <c r="M188" s="277">
        <f t="shared" si="443"/>
        <v>2224739.4336000001</v>
      </c>
      <c r="N188" s="277">
        <f t="shared" si="443"/>
        <v>3002166.5282999999</v>
      </c>
      <c r="O188" s="277">
        <f t="shared" si="443"/>
        <v>1817062.8183000002</v>
      </c>
      <c r="P188" s="277">
        <f t="shared" si="443"/>
        <v>1802161.3347</v>
      </c>
      <c r="Q188" s="277">
        <f t="shared" si="443"/>
        <v>2101861.3347</v>
      </c>
      <c r="R188" s="281">
        <f t="shared" si="338"/>
        <v>12791054.441699998</v>
      </c>
      <c r="S188" s="277">
        <f t="shared" ref="S188:Z188" si="444">+S185*9.99%</f>
        <v>1535492.97</v>
      </c>
      <c r="T188" s="277">
        <f t="shared" si="444"/>
        <v>1423105.47</v>
      </c>
      <c r="U188" s="277">
        <f t="shared" si="444"/>
        <v>1515041.6418000001</v>
      </c>
      <c r="V188" s="277">
        <f t="shared" si="444"/>
        <v>2134421.6417999999</v>
      </c>
      <c r="W188" s="277">
        <f t="shared" si="444"/>
        <v>2326379.9912999999</v>
      </c>
      <c r="X188" s="277">
        <f t="shared" si="444"/>
        <v>2082861.9531</v>
      </c>
      <c r="Y188" s="277">
        <f t="shared" si="444"/>
        <v>0</v>
      </c>
      <c r="Z188" s="277">
        <f t="shared" si="444"/>
        <v>0</v>
      </c>
      <c r="AA188" s="281">
        <f t="shared" si="354"/>
        <v>11017303.668</v>
      </c>
      <c r="AB188" s="403">
        <f t="shared" si="340"/>
        <v>23808358.109699998</v>
      </c>
      <c r="AC188" s="326">
        <f t="shared" si="341"/>
        <v>0.91662270384615374</v>
      </c>
    </row>
    <row r="189" spans="1:29" ht="38.25" hidden="1" x14ac:dyDescent="0.2">
      <c r="A189" s="424"/>
      <c r="B189" s="323" t="s">
        <v>603</v>
      </c>
      <c r="C189" s="206" t="s">
        <v>604</v>
      </c>
      <c r="D189" s="324">
        <f>+D185*1.7982%</f>
        <v>4675320</v>
      </c>
      <c r="E189" s="325">
        <f>SUM('ADICIONES  2021'!C189:N189)</f>
        <v>0</v>
      </c>
      <c r="F189" s="277">
        <f t="shared" ref="F189:J189" si="445">+F185*1.7982%</f>
        <v>0</v>
      </c>
      <c r="G189" s="277">
        <f t="shared" si="445"/>
        <v>0</v>
      </c>
      <c r="H189" s="277">
        <f t="shared" si="445"/>
        <v>0</v>
      </c>
      <c r="I189" s="277">
        <f t="shared" si="445"/>
        <v>0</v>
      </c>
      <c r="J189" s="277">
        <f t="shared" si="445"/>
        <v>0</v>
      </c>
      <c r="K189" s="281">
        <f t="shared" si="330"/>
        <v>4675320</v>
      </c>
      <c r="L189" s="277">
        <f t="shared" ref="L189:Q189" si="446">+L185*1.7982%</f>
        <v>331751.33857800002</v>
      </c>
      <c r="M189" s="277">
        <f t="shared" si="446"/>
        <v>400453.09804800001</v>
      </c>
      <c r="N189" s="277">
        <f t="shared" si="446"/>
        <v>540389.97509399999</v>
      </c>
      <c r="O189" s="277">
        <f t="shared" si="446"/>
        <v>327071.307294</v>
      </c>
      <c r="P189" s="277">
        <f t="shared" si="446"/>
        <v>324389.04024600005</v>
      </c>
      <c r="Q189" s="277">
        <f t="shared" si="446"/>
        <v>378335.04024600005</v>
      </c>
      <c r="R189" s="281">
        <f t="shared" si="338"/>
        <v>2302389.7995060002</v>
      </c>
      <c r="S189" s="277">
        <f t="shared" ref="S189:Z189" si="447">+S185*1.7982%</f>
        <v>276388.73460000003</v>
      </c>
      <c r="T189" s="277">
        <f t="shared" si="447"/>
        <v>256158.98460000003</v>
      </c>
      <c r="U189" s="277">
        <f t="shared" si="447"/>
        <v>272707.49552400003</v>
      </c>
      <c r="V189" s="277">
        <f t="shared" si="447"/>
        <v>384195.89552400005</v>
      </c>
      <c r="W189" s="277">
        <f t="shared" si="447"/>
        <v>418748.39843400003</v>
      </c>
      <c r="X189" s="277">
        <f t="shared" si="447"/>
        <v>374915.15155800001</v>
      </c>
      <c r="Y189" s="277">
        <f t="shared" si="447"/>
        <v>0</v>
      </c>
      <c r="Z189" s="277">
        <f t="shared" si="447"/>
        <v>0</v>
      </c>
      <c r="AA189" s="281">
        <f t="shared" si="354"/>
        <v>1983114.6602400001</v>
      </c>
      <c r="AB189" s="403">
        <f t="shared" si="340"/>
        <v>4285504.4597460004</v>
      </c>
      <c r="AC189" s="326">
        <f t="shared" si="341"/>
        <v>0.91662270384615396</v>
      </c>
    </row>
    <row r="190" spans="1:29" ht="38.25" hidden="1" x14ac:dyDescent="0.2">
      <c r="A190" s="424"/>
      <c r="B190" s="323" t="s">
        <v>605</v>
      </c>
      <c r="C190" s="329" t="s">
        <v>606</v>
      </c>
      <c r="D190" s="324">
        <f>+D185*0.881118%</f>
        <v>2290906.7999999998</v>
      </c>
      <c r="E190" s="325">
        <f>SUM('ADICIONES  2021'!C190:N190)</f>
        <v>0</v>
      </c>
      <c r="F190" s="277">
        <f t="shared" ref="F190:J190" si="448">+F185*0.881118%</f>
        <v>0</v>
      </c>
      <c r="G190" s="277">
        <f t="shared" si="448"/>
        <v>0</v>
      </c>
      <c r="H190" s="277">
        <f t="shared" si="448"/>
        <v>0</v>
      </c>
      <c r="I190" s="277">
        <f t="shared" si="448"/>
        <v>0</v>
      </c>
      <c r="J190" s="277">
        <f t="shared" si="448"/>
        <v>0</v>
      </c>
      <c r="K190" s="281">
        <f t="shared" si="330"/>
        <v>2290906.7999999998</v>
      </c>
      <c r="L190" s="277">
        <f t="shared" ref="L190:Q190" si="449">+L185*0.881118%</f>
        <v>162558.15590322</v>
      </c>
      <c r="M190" s="277">
        <f t="shared" si="449"/>
        <v>196222.01804351999</v>
      </c>
      <c r="N190" s="277">
        <f t="shared" si="449"/>
        <v>264791.08779606002</v>
      </c>
      <c r="O190" s="277">
        <f t="shared" si="449"/>
        <v>160264.94057405999</v>
      </c>
      <c r="P190" s="277">
        <f t="shared" si="449"/>
        <v>158950.62972053999</v>
      </c>
      <c r="Q190" s="277">
        <f t="shared" si="449"/>
        <v>185384.16972054</v>
      </c>
      <c r="R190" s="281">
        <f t="shared" si="338"/>
        <v>1128171.00175794</v>
      </c>
      <c r="S190" s="277">
        <f t="shared" ref="S190:Z190" si="450">+S185*0.881118%</f>
        <v>135430.47995400001</v>
      </c>
      <c r="T190" s="277">
        <f t="shared" si="450"/>
        <v>125517.902454</v>
      </c>
      <c r="U190" s="277">
        <f t="shared" si="450"/>
        <v>133626.67280676001</v>
      </c>
      <c r="V190" s="277">
        <f t="shared" si="450"/>
        <v>188255.98880676</v>
      </c>
      <c r="W190" s="277">
        <f t="shared" si="450"/>
        <v>205186.71523266</v>
      </c>
      <c r="X190" s="277">
        <f t="shared" si="450"/>
        <v>183708.42426341999</v>
      </c>
      <c r="Y190" s="277">
        <f t="shared" si="450"/>
        <v>0</v>
      </c>
      <c r="Z190" s="277">
        <f t="shared" si="450"/>
        <v>0</v>
      </c>
      <c r="AA190" s="281">
        <f t="shared" si="354"/>
        <v>971726.18351760018</v>
      </c>
      <c r="AB190" s="403">
        <f t="shared" si="340"/>
        <v>2099897.1852755402</v>
      </c>
      <c r="AC190" s="326">
        <f t="shared" si="341"/>
        <v>0.91662270384615396</v>
      </c>
    </row>
    <row r="191" spans="1:29" s="61" customFormat="1" ht="15.75" x14ac:dyDescent="0.2">
      <c r="A191" s="428">
        <v>1</v>
      </c>
      <c r="B191" s="318" t="s">
        <v>607</v>
      </c>
      <c r="C191" s="319" t="s">
        <v>608</v>
      </c>
      <c r="D191" s="283">
        <f>+D192+D200+D206+D216</f>
        <v>104209963818</v>
      </c>
      <c r="E191" s="322">
        <f>SUM('ADICIONES  2021'!C191:N191)</f>
        <v>10963952830.030001</v>
      </c>
      <c r="F191" s="275">
        <f t="shared" ref="F191:J191" si="451">+F192+F200+F206+F216</f>
        <v>3027284471</v>
      </c>
      <c r="G191" s="275">
        <f t="shared" si="451"/>
        <v>0</v>
      </c>
      <c r="H191" s="275">
        <f t="shared" si="451"/>
        <v>0</v>
      </c>
      <c r="I191" s="275">
        <f t="shared" si="451"/>
        <v>0</v>
      </c>
      <c r="J191" s="275">
        <f t="shared" si="451"/>
        <v>0</v>
      </c>
      <c r="K191" s="276">
        <f t="shared" si="330"/>
        <v>112146632177.03</v>
      </c>
      <c r="L191" s="275">
        <f t="shared" ref="L191:Q191" si="452">+L192+L200+L206+L216</f>
        <v>6634610340.9099998</v>
      </c>
      <c r="M191" s="275">
        <f t="shared" si="452"/>
        <v>8037321341.5299997</v>
      </c>
      <c r="N191" s="275">
        <f t="shared" si="452"/>
        <v>8329136993.6999998</v>
      </c>
      <c r="O191" s="275">
        <f t="shared" si="452"/>
        <v>7571180061.6900005</v>
      </c>
      <c r="P191" s="275">
        <f t="shared" si="452"/>
        <v>8776462305.4599991</v>
      </c>
      <c r="Q191" s="275">
        <f t="shared" si="452"/>
        <v>9584573862.5599995</v>
      </c>
      <c r="R191" s="276">
        <f t="shared" si="338"/>
        <v>48933284905.849998</v>
      </c>
      <c r="S191" s="275">
        <f t="shared" ref="S191:Z191" si="453">+S192+S200+S206+S216</f>
        <v>8034676646.3299999</v>
      </c>
      <c r="T191" s="275">
        <f t="shared" si="453"/>
        <v>7131527284.6899996</v>
      </c>
      <c r="U191" s="275">
        <f t="shared" si="453"/>
        <v>10000723900.539999</v>
      </c>
      <c r="V191" s="275">
        <f t="shared" si="453"/>
        <v>8778484708.1499996</v>
      </c>
      <c r="W191" s="275">
        <f t="shared" si="453"/>
        <v>15329130093.299999</v>
      </c>
      <c r="X191" s="275">
        <f t="shared" si="453"/>
        <v>5663312055.6999998</v>
      </c>
      <c r="Y191" s="275">
        <f t="shared" si="453"/>
        <v>0</v>
      </c>
      <c r="Z191" s="275">
        <f t="shared" si="453"/>
        <v>0</v>
      </c>
      <c r="AA191" s="276">
        <f t="shared" si="354"/>
        <v>54937854688.709991</v>
      </c>
      <c r="AB191" s="402">
        <f t="shared" si="340"/>
        <v>103871139594.56</v>
      </c>
      <c r="AC191" s="321">
        <f t="shared" si="341"/>
        <v>0.92620828265795219</v>
      </c>
    </row>
    <row r="192" spans="1:29" s="61" customFormat="1" ht="15.75" x14ac:dyDescent="0.2">
      <c r="A192" s="428">
        <v>1</v>
      </c>
      <c r="B192" s="318" t="s">
        <v>609</v>
      </c>
      <c r="C192" s="319" t="s">
        <v>610</v>
      </c>
      <c r="D192" s="275">
        <f>+D193+D197+D198+D199</f>
        <v>38056330164</v>
      </c>
      <c r="E192" s="322">
        <f>SUM('ADICIONES  2021'!C192:N192)</f>
        <v>4024675156</v>
      </c>
      <c r="F192" s="275">
        <f t="shared" ref="F192:J192" si="454">+F193+F197+F198+F199</f>
        <v>2343073471</v>
      </c>
      <c r="G192" s="275">
        <f t="shared" si="454"/>
        <v>0</v>
      </c>
      <c r="H192" s="275">
        <f t="shared" si="454"/>
        <v>0</v>
      </c>
      <c r="I192" s="275">
        <f t="shared" si="454"/>
        <v>0</v>
      </c>
      <c r="J192" s="275">
        <f t="shared" si="454"/>
        <v>0</v>
      </c>
      <c r="K192" s="276">
        <f t="shared" si="330"/>
        <v>39737931849</v>
      </c>
      <c r="L192" s="275">
        <f t="shared" ref="L192:Q192" si="455">+L193+L197+L198+L199</f>
        <v>1807132284.9100001</v>
      </c>
      <c r="M192" s="275">
        <f t="shared" si="455"/>
        <v>2535499423.54</v>
      </c>
      <c r="N192" s="275">
        <f t="shared" si="455"/>
        <v>3951800697.96</v>
      </c>
      <c r="O192" s="275">
        <f t="shared" si="455"/>
        <v>2959306782.6900001</v>
      </c>
      <c r="P192" s="275">
        <f t="shared" si="455"/>
        <v>3999985062.46</v>
      </c>
      <c r="Q192" s="275">
        <f t="shared" si="455"/>
        <v>4231944300.0500002</v>
      </c>
      <c r="R192" s="276">
        <f t="shared" si="338"/>
        <v>19485668551.610001</v>
      </c>
      <c r="S192" s="275">
        <f>+S193+S197+S198+S199</f>
        <v>3621814882.3299999</v>
      </c>
      <c r="T192" s="275">
        <f t="shared" ref="T192:Z192" si="456">+T193+T197+T198+T199</f>
        <v>2759807005.9099998</v>
      </c>
      <c r="U192" s="275">
        <f t="shared" si="456"/>
        <v>4218219758.2799997</v>
      </c>
      <c r="V192" s="275">
        <f t="shared" si="456"/>
        <v>3017528673.46</v>
      </c>
      <c r="W192" s="275">
        <f t="shared" si="456"/>
        <v>6091681098</v>
      </c>
      <c r="X192" s="275">
        <f t="shared" si="456"/>
        <v>1644383893.6300001</v>
      </c>
      <c r="Y192" s="275">
        <f t="shared" si="456"/>
        <v>0</v>
      </c>
      <c r="Z192" s="275">
        <f t="shared" si="456"/>
        <v>0</v>
      </c>
      <c r="AA192" s="276">
        <f t="shared" si="354"/>
        <v>21353435311.610001</v>
      </c>
      <c r="AB192" s="402">
        <f t="shared" si="340"/>
        <v>40839103863.220001</v>
      </c>
      <c r="AC192" s="321">
        <f t="shared" si="341"/>
        <v>1.027710853660033</v>
      </c>
    </row>
    <row r="193" spans="1:29" s="61" customFormat="1" ht="15.75" hidden="1" x14ac:dyDescent="0.2">
      <c r="A193" s="425"/>
      <c r="B193" s="318" t="s">
        <v>611</v>
      </c>
      <c r="C193" s="319" t="s">
        <v>612</v>
      </c>
      <c r="D193" s="283">
        <f>SUM(D194:D196)</f>
        <v>28475122042</v>
      </c>
      <c r="E193" s="322">
        <f>SUM('ADICIONES  2021'!C193:N193)</f>
        <v>0</v>
      </c>
      <c r="F193" s="275">
        <f t="shared" ref="F193:J193" si="457">SUM(F194:F196)</f>
        <v>2343073471</v>
      </c>
      <c r="G193" s="275">
        <f t="shared" si="457"/>
        <v>0</v>
      </c>
      <c r="H193" s="275">
        <f t="shared" si="457"/>
        <v>0</v>
      </c>
      <c r="I193" s="275">
        <f t="shared" si="457"/>
        <v>0</v>
      </c>
      <c r="J193" s="275">
        <f t="shared" si="457"/>
        <v>0</v>
      </c>
      <c r="K193" s="276">
        <f t="shared" si="330"/>
        <v>26132048571</v>
      </c>
      <c r="L193" s="275">
        <f t="shared" ref="L193:Q193" si="458">SUM(L194:L196)</f>
        <v>1807132284.9100001</v>
      </c>
      <c r="M193" s="275">
        <f t="shared" si="458"/>
        <v>1368944374.54</v>
      </c>
      <c r="N193" s="275">
        <f t="shared" si="458"/>
        <v>1690104655.96</v>
      </c>
      <c r="O193" s="275">
        <f t="shared" si="458"/>
        <v>1828458761.6900001</v>
      </c>
      <c r="P193" s="275">
        <f t="shared" si="458"/>
        <v>2869137041.46</v>
      </c>
      <c r="Q193" s="275">
        <f t="shared" si="458"/>
        <v>3101096279.0500002</v>
      </c>
      <c r="R193" s="276">
        <f t="shared" si="338"/>
        <v>12664873397.610001</v>
      </c>
      <c r="S193" s="275">
        <f>SUM(S194:S196)</f>
        <v>2490966861.3299999</v>
      </c>
      <c r="T193" s="275">
        <f t="shared" ref="T193:Z193" si="459">SUM(T194:T196)</f>
        <v>1628958984.9100001</v>
      </c>
      <c r="U193" s="275">
        <f t="shared" si="459"/>
        <v>3087371737.2799997</v>
      </c>
      <c r="V193" s="275">
        <f t="shared" si="459"/>
        <v>1886680652.46</v>
      </c>
      <c r="W193" s="275">
        <f t="shared" si="459"/>
        <v>3794278028</v>
      </c>
      <c r="X193" s="275">
        <f t="shared" si="459"/>
        <v>513535874.63</v>
      </c>
      <c r="Y193" s="275">
        <f t="shared" si="459"/>
        <v>0</v>
      </c>
      <c r="Z193" s="275">
        <f t="shared" si="459"/>
        <v>0</v>
      </c>
      <c r="AA193" s="276">
        <f t="shared" si="354"/>
        <v>13401792138.609999</v>
      </c>
      <c r="AB193" s="402">
        <f t="shared" si="340"/>
        <v>26066665536.220001</v>
      </c>
      <c r="AC193" s="321">
        <f t="shared" si="341"/>
        <v>0.99749797515482364</v>
      </c>
    </row>
    <row r="194" spans="1:29" ht="14.25" x14ac:dyDescent="0.2">
      <c r="A194" s="427">
        <v>1</v>
      </c>
      <c r="B194" s="323" t="s">
        <v>613</v>
      </c>
      <c r="C194" s="206" t="s">
        <v>614</v>
      </c>
      <c r="D194" s="324">
        <v>22468768140</v>
      </c>
      <c r="E194" s="325">
        <f>SUM('ADICIONES  2021'!C194:N194)</f>
        <v>0</v>
      </c>
      <c r="F194" s="277">
        <v>2343073471</v>
      </c>
      <c r="G194" s="277"/>
      <c r="H194" s="277"/>
      <c r="I194" s="277"/>
      <c r="J194" s="277"/>
      <c r="K194" s="281">
        <f t="shared" si="330"/>
        <v>20125694669</v>
      </c>
      <c r="L194" s="277">
        <v>1496322037</v>
      </c>
      <c r="M194" s="277">
        <v>1368196271</v>
      </c>
      <c r="N194" s="277">
        <v>1496322037</v>
      </c>
      <c r="O194" s="277">
        <v>1496322037</v>
      </c>
      <c r="P194" s="277">
        <v>1496322037</v>
      </c>
      <c r="Q194" s="277">
        <v>2992644074</v>
      </c>
      <c r="R194" s="281">
        <f t="shared" si="338"/>
        <v>10346128493</v>
      </c>
      <c r="S194" s="277">
        <v>1496322037</v>
      </c>
      <c r="T194" s="277">
        <v>1496322037</v>
      </c>
      <c r="U194" s="277">
        <v>1496322037</v>
      </c>
      <c r="V194" s="277">
        <v>1496322037</v>
      </c>
      <c r="W194" s="277">
        <v>3794278028</v>
      </c>
      <c r="X194" s="277"/>
      <c r="Y194" s="277"/>
      <c r="Z194" s="277"/>
      <c r="AA194" s="281">
        <f t="shared" si="354"/>
        <v>9779566176</v>
      </c>
      <c r="AB194" s="403">
        <f t="shared" si="340"/>
        <v>20125694669</v>
      </c>
      <c r="AC194" s="326">
        <f t="shared" si="341"/>
        <v>1</v>
      </c>
    </row>
    <row r="195" spans="1:29" ht="25.5" x14ac:dyDescent="0.2">
      <c r="A195" s="427">
        <v>1</v>
      </c>
      <c r="B195" s="323" t="s">
        <v>615</v>
      </c>
      <c r="C195" s="206" t="s">
        <v>616</v>
      </c>
      <c r="D195" s="324">
        <v>4054780119</v>
      </c>
      <c r="E195" s="325">
        <f>SUM('ADICIONES  2021'!C195:N195)</f>
        <v>0</v>
      </c>
      <c r="F195" s="277"/>
      <c r="G195" s="277"/>
      <c r="H195" s="277"/>
      <c r="I195" s="277"/>
      <c r="J195" s="277"/>
      <c r="K195" s="281">
        <f t="shared" si="330"/>
        <v>4054780119</v>
      </c>
      <c r="L195" s="277">
        <v>310810247.91000003</v>
      </c>
      <c r="M195" s="277">
        <v>748103.54</v>
      </c>
      <c r="N195" s="277">
        <v>193782618.96000001</v>
      </c>
      <c r="O195" s="277">
        <v>332136724.69</v>
      </c>
      <c r="P195" s="277">
        <v>1372815004.46</v>
      </c>
      <c r="Q195" s="277">
        <v>108452205.05</v>
      </c>
      <c r="R195" s="281">
        <f t="shared" si="338"/>
        <v>2318744904.6100006</v>
      </c>
      <c r="S195" s="277">
        <v>994644824.33000004</v>
      </c>
      <c r="T195" s="277">
        <v>132636947.91</v>
      </c>
      <c r="U195" s="277">
        <v>1591049700.28</v>
      </c>
      <c r="V195" s="277">
        <v>390358615.45999998</v>
      </c>
      <c r="W195" s="277">
        <v>0</v>
      </c>
      <c r="X195" s="277">
        <v>513535874.63</v>
      </c>
      <c r="Y195" s="277"/>
      <c r="Z195" s="277"/>
      <c r="AA195" s="281">
        <f t="shared" si="354"/>
        <v>3622225962.6100001</v>
      </c>
      <c r="AB195" s="403">
        <f t="shared" si="340"/>
        <v>5940970867.2200012</v>
      </c>
      <c r="AC195" s="326">
        <f t="shared" si="341"/>
        <v>1.4651770731985285</v>
      </c>
    </row>
    <row r="196" spans="1:29" ht="14.25" x14ac:dyDescent="0.2">
      <c r="A196" s="427">
        <v>1</v>
      </c>
      <c r="B196" s="323" t="s">
        <v>617</v>
      </c>
      <c r="C196" s="206" t="s">
        <v>618</v>
      </c>
      <c r="D196" s="324">
        <v>1951573783</v>
      </c>
      <c r="E196" s="325">
        <f>SUM('ADICIONES  2021'!C196:N196)</f>
        <v>0</v>
      </c>
      <c r="F196" s="277"/>
      <c r="G196" s="277"/>
      <c r="H196" s="277"/>
      <c r="I196" s="277"/>
      <c r="J196" s="277"/>
      <c r="K196" s="281">
        <f t="shared" si="330"/>
        <v>1951573783</v>
      </c>
      <c r="L196" s="277">
        <v>0</v>
      </c>
      <c r="M196" s="277">
        <v>0</v>
      </c>
      <c r="N196" s="277">
        <v>0</v>
      </c>
      <c r="O196" s="277">
        <v>0</v>
      </c>
      <c r="P196" s="277">
        <v>0</v>
      </c>
      <c r="Q196" s="277">
        <v>0</v>
      </c>
      <c r="R196" s="281">
        <f t="shared" si="338"/>
        <v>0</v>
      </c>
      <c r="S196" s="277">
        <v>0</v>
      </c>
      <c r="T196" s="277">
        <v>0</v>
      </c>
      <c r="U196" s="277">
        <v>0</v>
      </c>
      <c r="V196" s="277">
        <v>0</v>
      </c>
      <c r="W196" s="277">
        <v>0</v>
      </c>
      <c r="X196" s="277"/>
      <c r="Y196" s="277"/>
      <c r="Z196" s="277"/>
      <c r="AA196" s="281">
        <f t="shared" si="354"/>
        <v>0</v>
      </c>
      <c r="AB196" s="403">
        <f t="shared" si="340"/>
        <v>0</v>
      </c>
      <c r="AC196" s="326">
        <f t="shared" si="341"/>
        <v>0</v>
      </c>
    </row>
    <row r="197" spans="1:29" ht="14.25" x14ac:dyDescent="0.2">
      <c r="A197" s="427">
        <v>1</v>
      </c>
      <c r="B197" s="323" t="s">
        <v>619</v>
      </c>
      <c r="C197" s="329" t="s">
        <v>620</v>
      </c>
      <c r="D197" s="324">
        <v>9581208122</v>
      </c>
      <c r="E197" s="325">
        <f>SUM('ADICIONES  2021'!C197:N197)</f>
        <v>0</v>
      </c>
      <c r="F197" s="277"/>
      <c r="G197" s="277"/>
      <c r="H197" s="277"/>
      <c r="I197" s="277"/>
      <c r="J197" s="277"/>
      <c r="K197" s="281">
        <f t="shared" si="330"/>
        <v>9581208122</v>
      </c>
      <c r="L197" s="277">
        <v>0</v>
      </c>
      <c r="M197" s="277">
        <v>1166555049</v>
      </c>
      <c r="N197" s="277">
        <v>2261696042</v>
      </c>
      <c r="O197" s="277">
        <v>1130848021</v>
      </c>
      <c r="P197" s="277">
        <v>1130848021</v>
      </c>
      <c r="Q197" s="277">
        <v>1130848021</v>
      </c>
      <c r="R197" s="281">
        <f t="shared" si="338"/>
        <v>6820795154</v>
      </c>
      <c r="S197" s="277">
        <v>1130848021</v>
      </c>
      <c r="T197" s="277">
        <v>1130848021</v>
      </c>
      <c r="U197" s="277">
        <v>1130848021</v>
      </c>
      <c r="V197" s="277">
        <v>1130848021</v>
      </c>
      <c r="W197" s="277">
        <v>-1762979116</v>
      </c>
      <c r="X197" s="277">
        <v>1130848019</v>
      </c>
      <c r="Y197" s="277"/>
      <c r="Z197" s="277"/>
      <c r="AA197" s="281">
        <f t="shared" si="354"/>
        <v>3891260987</v>
      </c>
      <c r="AB197" s="403">
        <f t="shared" si="340"/>
        <v>10712056141</v>
      </c>
      <c r="AC197" s="326">
        <f t="shared" si="341"/>
        <v>1.118027706381139</v>
      </c>
    </row>
    <row r="198" spans="1:29" ht="14.25" x14ac:dyDescent="0.2">
      <c r="A198" s="427">
        <v>1</v>
      </c>
      <c r="B198" s="323" t="s">
        <v>619</v>
      </c>
      <c r="C198" s="329" t="s">
        <v>620</v>
      </c>
      <c r="D198" s="324"/>
      <c r="E198" s="325">
        <f>SUM('ADICIONES  2021'!C198:N198)</f>
        <v>2858120107</v>
      </c>
      <c r="F198" s="277"/>
      <c r="G198" s="277"/>
      <c r="H198" s="277"/>
      <c r="I198" s="277"/>
      <c r="J198" s="277"/>
      <c r="K198" s="281">
        <f t="shared" si="330"/>
        <v>2858120107</v>
      </c>
      <c r="L198" s="277"/>
      <c r="M198" s="277"/>
      <c r="N198" s="277"/>
      <c r="O198" s="277"/>
      <c r="P198" s="277"/>
      <c r="Q198" s="277"/>
      <c r="R198" s="281">
        <f t="shared" si="338"/>
        <v>0</v>
      </c>
      <c r="S198" s="277"/>
      <c r="T198" s="277">
        <v>0</v>
      </c>
      <c r="U198" s="277">
        <v>0</v>
      </c>
      <c r="V198" s="277">
        <v>0</v>
      </c>
      <c r="W198" s="277">
        <v>2893827137</v>
      </c>
      <c r="X198" s="277"/>
      <c r="Y198" s="277"/>
      <c r="Z198" s="277"/>
      <c r="AA198" s="281">
        <f t="shared" ref="AA198:AA199" si="460">SUM(S198:Z198)</f>
        <v>2893827137</v>
      </c>
      <c r="AB198" s="403">
        <f t="shared" si="340"/>
        <v>2893827137</v>
      </c>
      <c r="AC198" s="326">
        <f t="shared" si="341"/>
        <v>1.0124931873620524</v>
      </c>
    </row>
    <row r="199" spans="1:29" ht="25.5" x14ac:dyDescent="0.2">
      <c r="A199" s="427">
        <v>1</v>
      </c>
      <c r="B199" s="323" t="s">
        <v>1848</v>
      </c>
      <c r="C199" s="329" t="s">
        <v>1849</v>
      </c>
      <c r="D199" s="324"/>
      <c r="E199" s="325">
        <f>SUM('ADICIONES  2021'!C199:N199)</f>
        <v>1166555049</v>
      </c>
      <c r="F199" s="277"/>
      <c r="G199" s="277"/>
      <c r="H199" s="277"/>
      <c r="I199" s="277"/>
      <c r="J199" s="277"/>
      <c r="K199" s="281">
        <f t="shared" si="330"/>
        <v>1166555049</v>
      </c>
      <c r="L199" s="277"/>
      <c r="M199" s="277"/>
      <c r="N199" s="277"/>
      <c r="O199" s="277"/>
      <c r="P199" s="277"/>
      <c r="Q199" s="277"/>
      <c r="R199" s="281">
        <f t="shared" si="338"/>
        <v>0</v>
      </c>
      <c r="S199" s="277"/>
      <c r="T199" s="277">
        <v>0</v>
      </c>
      <c r="U199" s="277">
        <v>0</v>
      </c>
      <c r="V199" s="277">
        <v>0</v>
      </c>
      <c r="W199" s="277">
        <v>1166555049</v>
      </c>
      <c r="X199" s="277"/>
      <c r="Y199" s="277"/>
      <c r="Z199" s="277"/>
      <c r="AA199" s="281">
        <f t="shared" si="460"/>
        <v>1166555049</v>
      </c>
      <c r="AB199" s="403">
        <f t="shared" si="340"/>
        <v>1166555049</v>
      </c>
      <c r="AC199" s="326">
        <f t="shared" si="341"/>
        <v>1</v>
      </c>
    </row>
    <row r="200" spans="1:29" s="61" customFormat="1" ht="15.75" hidden="1" x14ac:dyDescent="0.2">
      <c r="A200" s="425"/>
      <c r="B200" s="318" t="s">
        <v>621</v>
      </c>
      <c r="C200" s="319" t="s">
        <v>622</v>
      </c>
      <c r="D200" s="283">
        <f>+D201</f>
        <v>26607211000</v>
      </c>
      <c r="E200" s="322">
        <f>SUM('ADICIONES  2021'!C200:N200)</f>
        <v>0</v>
      </c>
      <c r="F200" s="275">
        <f t="shared" ref="F200:J201" si="461">+F201</f>
        <v>684211000</v>
      </c>
      <c r="G200" s="275">
        <f t="shared" si="461"/>
        <v>0</v>
      </c>
      <c r="H200" s="275">
        <f t="shared" si="461"/>
        <v>0</v>
      </c>
      <c r="I200" s="275">
        <f t="shared" si="461"/>
        <v>0</v>
      </c>
      <c r="J200" s="275">
        <f t="shared" si="461"/>
        <v>0</v>
      </c>
      <c r="K200" s="276">
        <f t="shared" si="330"/>
        <v>25923000000</v>
      </c>
      <c r="L200" s="275">
        <f t="shared" ref="L200:Q201" si="462">+L201</f>
        <v>2138137700</v>
      </c>
      <c r="M200" s="275">
        <f t="shared" si="462"/>
        <v>2332148877</v>
      </c>
      <c r="N200" s="275">
        <f t="shared" si="462"/>
        <v>2067713952</v>
      </c>
      <c r="O200" s="275">
        <f t="shared" si="462"/>
        <v>2146608857</v>
      </c>
      <c r="P200" s="275">
        <f t="shared" si="462"/>
        <v>2495200340</v>
      </c>
      <c r="Q200" s="275">
        <f t="shared" si="462"/>
        <v>2151327249</v>
      </c>
      <c r="R200" s="276">
        <f t="shared" si="338"/>
        <v>13331136975</v>
      </c>
      <c r="S200" s="275">
        <f t="shared" ref="S200:Z201" si="463">+S201</f>
        <v>1836998746</v>
      </c>
      <c r="T200" s="275">
        <f t="shared" si="463"/>
        <v>1633845027</v>
      </c>
      <c r="U200" s="275">
        <f t="shared" si="463"/>
        <v>2336995605</v>
      </c>
      <c r="V200" s="275">
        <f t="shared" si="463"/>
        <v>2287375454</v>
      </c>
      <c r="W200" s="275">
        <f t="shared" si="463"/>
        <v>2333651495</v>
      </c>
      <c r="X200" s="275">
        <f t="shared" si="463"/>
        <v>2392964749</v>
      </c>
      <c r="Y200" s="275">
        <f t="shared" si="463"/>
        <v>0</v>
      </c>
      <c r="Z200" s="275">
        <f t="shared" si="463"/>
        <v>0</v>
      </c>
      <c r="AA200" s="276">
        <f t="shared" si="354"/>
        <v>12821831076</v>
      </c>
      <c r="AB200" s="402">
        <f t="shared" si="340"/>
        <v>26152968051</v>
      </c>
      <c r="AC200" s="321">
        <f t="shared" si="341"/>
        <v>1.0088711974308529</v>
      </c>
    </row>
    <row r="201" spans="1:29" s="61" customFormat="1" ht="15.75" hidden="1" x14ac:dyDescent="0.2">
      <c r="A201" s="425"/>
      <c r="B201" s="318" t="s">
        <v>623</v>
      </c>
      <c r="C201" s="319" t="s">
        <v>624</v>
      </c>
      <c r="D201" s="283">
        <f>+D202</f>
        <v>26607211000</v>
      </c>
      <c r="E201" s="322">
        <f>SUM('ADICIONES  2021'!C201:N201)</f>
        <v>0</v>
      </c>
      <c r="F201" s="275">
        <f t="shared" si="461"/>
        <v>684211000</v>
      </c>
      <c r="G201" s="275">
        <f t="shared" si="461"/>
        <v>0</v>
      </c>
      <c r="H201" s="275">
        <f t="shared" si="461"/>
        <v>0</v>
      </c>
      <c r="I201" s="275">
        <f t="shared" si="461"/>
        <v>0</v>
      </c>
      <c r="J201" s="275">
        <f t="shared" si="461"/>
        <v>0</v>
      </c>
      <c r="K201" s="276">
        <f t="shared" si="330"/>
        <v>25923000000</v>
      </c>
      <c r="L201" s="275">
        <f t="shared" si="462"/>
        <v>2138137700</v>
      </c>
      <c r="M201" s="275">
        <f t="shared" si="462"/>
        <v>2332148877</v>
      </c>
      <c r="N201" s="275">
        <f t="shared" si="462"/>
        <v>2067713952</v>
      </c>
      <c r="O201" s="275">
        <f t="shared" si="462"/>
        <v>2146608857</v>
      </c>
      <c r="P201" s="275">
        <f t="shared" si="462"/>
        <v>2495200340</v>
      </c>
      <c r="Q201" s="275">
        <f t="shared" si="462"/>
        <v>2151327249</v>
      </c>
      <c r="R201" s="276">
        <f t="shared" si="338"/>
        <v>13331136975</v>
      </c>
      <c r="S201" s="275">
        <f t="shared" si="463"/>
        <v>1836998746</v>
      </c>
      <c r="T201" s="275">
        <f t="shared" si="463"/>
        <v>1633845027</v>
      </c>
      <c r="U201" s="275">
        <f t="shared" si="463"/>
        <v>2336995605</v>
      </c>
      <c r="V201" s="275">
        <f t="shared" si="463"/>
        <v>2287375454</v>
      </c>
      <c r="W201" s="275">
        <f t="shared" si="463"/>
        <v>2333651495</v>
      </c>
      <c r="X201" s="275">
        <f t="shared" si="463"/>
        <v>2392964749</v>
      </c>
      <c r="Y201" s="275">
        <f t="shared" si="463"/>
        <v>0</v>
      </c>
      <c r="Z201" s="275">
        <f t="shared" si="463"/>
        <v>0</v>
      </c>
      <c r="AA201" s="276">
        <f t="shared" si="354"/>
        <v>12821831076</v>
      </c>
      <c r="AB201" s="402">
        <f t="shared" si="340"/>
        <v>26152968051</v>
      </c>
      <c r="AC201" s="321">
        <f t="shared" si="341"/>
        <v>1.0088711974308529</v>
      </c>
    </row>
    <row r="202" spans="1:29" s="19" customFormat="1" x14ac:dyDescent="0.2">
      <c r="A202" s="429">
        <v>1</v>
      </c>
      <c r="B202" s="323" t="s">
        <v>625</v>
      </c>
      <c r="C202" s="206" t="s">
        <v>626</v>
      </c>
      <c r="D202" s="283">
        <f>SUM(D203:D205)</f>
        <v>26607211000</v>
      </c>
      <c r="E202" s="322">
        <f>SUM('ADICIONES  2021'!C202:N202)</f>
        <v>0</v>
      </c>
      <c r="F202" s="275">
        <f t="shared" ref="F202:J202" si="464">SUM(F203:F205)</f>
        <v>684211000</v>
      </c>
      <c r="G202" s="275">
        <f t="shared" si="464"/>
        <v>0</v>
      </c>
      <c r="H202" s="275">
        <f t="shared" si="464"/>
        <v>0</v>
      </c>
      <c r="I202" s="275">
        <f t="shared" si="464"/>
        <v>0</v>
      </c>
      <c r="J202" s="275">
        <f t="shared" si="464"/>
        <v>0</v>
      </c>
      <c r="K202" s="281">
        <f t="shared" si="330"/>
        <v>25923000000</v>
      </c>
      <c r="L202" s="275">
        <f t="shared" ref="L202:Q202" si="465">SUM(L203:L205)</f>
        <v>2138137700</v>
      </c>
      <c r="M202" s="275">
        <f t="shared" si="465"/>
        <v>2332148877</v>
      </c>
      <c r="N202" s="275">
        <f t="shared" si="465"/>
        <v>2067713952</v>
      </c>
      <c r="O202" s="275">
        <f t="shared" si="465"/>
        <v>2146608857</v>
      </c>
      <c r="P202" s="275">
        <f t="shared" si="465"/>
        <v>2495200340</v>
      </c>
      <c r="Q202" s="275">
        <f t="shared" si="465"/>
        <v>2151327249</v>
      </c>
      <c r="R202" s="281">
        <f t="shared" si="338"/>
        <v>13331136975</v>
      </c>
      <c r="S202" s="278">
        <f t="shared" ref="S202:Z202" si="466">SUM(S203:S205)</f>
        <v>1836998746</v>
      </c>
      <c r="T202" s="278">
        <f t="shared" si="466"/>
        <v>1633845027</v>
      </c>
      <c r="U202" s="278">
        <f t="shared" si="466"/>
        <v>2336995605</v>
      </c>
      <c r="V202" s="278">
        <f t="shared" si="466"/>
        <v>2287375454</v>
      </c>
      <c r="W202" s="278">
        <f t="shared" si="466"/>
        <v>2333651495</v>
      </c>
      <c r="X202" s="278">
        <f t="shared" si="466"/>
        <v>2392964749</v>
      </c>
      <c r="Y202" s="278">
        <f t="shared" si="466"/>
        <v>0</v>
      </c>
      <c r="Z202" s="275">
        <f t="shared" si="466"/>
        <v>0</v>
      </c>
      <c r="AA202" s="276">
        <f t="shared" si="354"/>
        <v>12821831076</v>
      </c>
      <c r="AB202" s="403">
        <f t="shared" si="340"/>
        <v>26152968051</v>
      </c>
      <c r="AC202" s="326">
        <f t="shared" si="341"/>
        <v>1.0088711974308529</v>
      </c>
    </row>
    <row r="203" spans="1:29" ht="14.25" hidden="1" x14ac:dyDescent="0.2">
      <c r="A203" s="424"/>
      <c r="B203" s="323" t="s">
        <v>627</v>
      </c>
      <c r="C203" s="206" t="s">
        <v>628</v>
      </c>
      <c r="D203" s="332">
        <v>13000000000</v>
      </c>
      <c r="E203" s="325">
        <f>SUM('ADICIONES  2021'!C203:N203)</f>
        <v>0</v>
      </c>
      <c r="F203" s="281"/>
      <c r="G203" s="281"/>
      <c r="H203" s="281"/>
      <c r="I203" s="281"/>
      <c r="J203" s="281"/>
      <c r="K203" s="281">
        <f t="shared" si="330"/>
        <v>13000000000</v>
      </c>
      <c r="L203" s="281">
        <v>1069068850</v>
      </c>
      <c r="M203" s="281">
        <v>1166074438.5</v>
      </c>
      <c r="N203" s="281">
        <v>1033856976</v>
      </c>
      <c r="O203" s="281">
        <v>1073304428.5</v>
      </c>
      <c r="P203" s="281">
        <v>1247600170</v>
      </c>
      <c r="Q203" s="281">
        <v>1075663624.5</v>
      </c>
      <c r="R203" s="281">
        <f t="shared" si="338"/>
        <v>6665568487.5</v>
      </c>
      <c r="S203" s="281">
        <v>918499373</v>
      </c>
      <c r="T203" s="281">
        <v>816922513.5</v>
      </c>
      <c r="U203" s="281">
        <v>1168497802.5</v>
      </c>
      <c r="V203" s="281">
        <v>1143687727</v>
      </c>
      <c r="W203" s="281">
        <v>1166825747.5</v>
      </c>
      <c r="X203" s="281">
        <v>1196482374.5</v>
      </c>
      <c r="Y203" s="281"/>
      <c r="Z203" s="281"/>
      <c r="AA203" s="281">
        <f t="shared" si="354"/>
        <v>6410915538</v>
      </c>
      <c r="AB203" s="403">
        <f t="shared" si="340"/>
        <v>13076484025.5</v>
      </c>
      <c r="AC203" s="326">
        <v>0</v>
      </c>
    </row>
    <row r="204" spans="1:29" ht="14.25" hidden="1" x14ac:dyDescent="0.2">
      <c r="A204" s="424"/>
      <c r="B204" s="323" t="s">
        <v>629</v>
      </c>
      <c r="C204" s="206" t="s">
        <v>630</v>
      </c>
      <c r="D204" s="332">
        <v>684211000</v>
      </c>
      <c r="E204" s="325">
        <f>SUM('ADICIONES  2021'!C204:N204)</f>
        <v>0</v>
      </c>
      <c r="F204" s="281">
        <v>684211000</v>
      </c>
      <c r="G204" s="281"/>
      <c r="H204" s="281"/>
      <c r="I204" s="281"/>
      <c r="J204" s="281"/>
      <c r="K204" s="281">
        <f t="shared" si="330"/>
        <v>0</v>
      </c>
      <c r="L204" s="281">
        <v>0</v>
      </c>
      <c r="M204" s="281">
        <v>0</v>
      </c>
      <c r="N204" s="281">
        <v>0</v>
      </c>
      <c r="O204" s="281">
        <v>0</v>
      </c>
      <c r="P204" s="281">
        <v>0</v>
      </c>
      <c r="Q204" s="281">
        <v>0</v>
      </c>
      <c r="R204" s="281">
        <f t="shared" si="338"/>
        <v>0</v>
      </c>
      <c r="S204" s="281">
        <v>0</v>
      </c>
      <c r="T204" s="281">
        <v>0</v>
      </c>
      <c r="U204" s="281">
        <v>0</v>
      </c>
      <c r="V204" s="281">
        <v>0</v>
      </c>
      <c r="W204" s="281">
        <v>0</v>
      </c>
      <c r="X204" s="281">
        <v>0</v>
      </c>
      <c r="Y204" s="281"/>
      <c r="Z204" s="281"/>
      <c r="AA204" s="281">
        <f t="shared" si="354"/>
        <v>0</v>
      </c>
      <c r="AB204" s="403">
        <f t="shared" si="340"/>
        <v>0</v>
      </c>
      <c r="AC204" s="326">
        <v>0</v>
      </c>
    </row>
    <row r="205" spans="1:29" ht="14.25" hidden="1" x14ac:dyDescent="0.2">
      <c r="A205" s="424"/>
      <c r="B205" s="323" t="s">
        <v>631</v>
      </c>
      <c r="C205" s="206" t="s">
        <v>632</v>
      </c>
      <c r="D205" s="332">
        <v>12923000000</v>
      </c>
      <c r="E205" s="325">
        <f>SUM('ADICIONES  2021'!C205:N205)</f>
        <v>0</v>
      </c>
      <c r="F205" s="281"/>
      <c r="G205" s="281"/>
      <c r="H205" s="281"/>
      <c r="I205" s="281"/>
      <c r="J205" s="281"/>
      <c r="K205" s="281">
        <f t="shared" si="330"/>
        <v>12923000000</v>
      </c>
      <c r="L205" s="281">
        <v>1069068850</v>
      </c>
      <c r="M205" s="281">
        <v>1166074438.5</v>
      </c>
      <c r="N205" s="281">
        <v>1033856976</v>
      </c>
      <c r="O205" s="281">
        <v>1073304428.5</v>
      </c>
      <c r="P205" s="281">
        <v>1247600170</v>
      </c>
      <c r="Q205" s="281">
        <v>1075663624.5</v>
      </c>
      <c r="R205" s="281">
        <f t="shared" si="338"/>
        <v>6665568487.5</v>
      </c>
      <c r="S205" s="281">
        <v>918499373</v>
      </c>
      <c r="T205" s="281">
        <v>816922513.5</v>
      </c>
      <c r="U205" s="281">
        <v>1168497802.5</v>
      </c>
      <c r="V205" s="281">
        <v>1143687727</v>
      </c>
      <c r="W205" s="281">
        <v>1166825747.5</v>
      </c>
      <c r="X205" s="281">
        <v>1196482374.5</v>
      </c>
      <c r="Y205" s="281"/>
      <c r="Z205" s="281"/>
      <c r="AA205" s="281">
        <f t="shared" si="354"/>
        <v>6410915538</v>
      </c>
      <c r="AB205" s="403">
        <f t="shared" si="340"/>
        <v>13076484025.5</v>
      </c>
      <c r="AC205" s="326">
        <f t="shared" si="341"/>
        <v>1.0118768107637546</v>
      </c>
    </row>
    <row r="206" spans="1:29" s="61" customFormat="1" ht="25.5" hidden="1" x14ac:dyDescent="0.2">
      <c r="A206" s="425"/>
      <c r="B206" s="318" t="s">
        <v>633</v>
      </c>
      <c r="C206" s="319" t="s">
        <v>634</v>
      </c>
      <c r="D206" s="283">
        <f>+D208+D207</f>
        <v>29546422654</v>
      </c>
      <c r="E206" s="322">
        <f>SUM('ADICIONES  2021'!C206:N206)</f>
        <v>5432385663</v>
      </c>
      <c r="F206" s="283">
        <f t="shared" ref="F206:J206" si="467">+F208+F207</f>
        <v>0</v>
      </c>
      <c r="G206" s="283">
        <f t="shared" si="467"/>
        <v>0</v>
      </c>
      <c r="H206" s="283">
        <f t="shared" si="467"/>
        <v>0</v>
      </c>
      <c r="I206" s="283">
        <f t="shared" si="467"/>
        <v>0</v>
      </c>
      <c r="J206" s="283">
        <f t="shared" si="467"/>
        <v>0</v>
      </c>
      <c r="K206" s="276">
        <f t="shared" ref="K206:K272" si="468">+D206+E206-F206+G206-H206</f>
        <v>34978808317</v>
      </c>
      <c r="L206" s="283">
        <f t="shared" ref="L206:Q206" si="469">+L208+L207</f>
        <v>2689340356</v>
      </c>
      <c r="M206" s="283">
        <f t="shared" si="469"/>
        <v>3121740609</v>
      </c>
      <c r="N206" s="283">
        <f t="shared" si="469"/>
        <v>2232489239</v>
      </c>
      <c r="O206" s="283">
        <f t="shared" si="469"/>
        <v>2465264422</v>
      </c>
      <c r="P206" s="283">
        <f t="shared" si="469"/>
        <v>2281276903</v>
      </c>
      <c r="Q206" s="283">
        <f t="shared" si="469"/>
        <v>2326994969</v>
      </c>
      <c r="R206" s="276">
        <f t="shared" si="338"/>
        <v>15117106498</v>
      </c>
      <c r="S206" s="283">
        <f t="shared" ref="S206:Y206" si="470">+S208+S207</f>
        <v>2575863018</v>
      </c>
      <c r="T206" s="283">
        <f t="shared" si="470"/>
        <v>2244528451</v>
      </c>
      <c r="U206" s="283">
        <f t="shared" si="470"/>
        <v>3352466797</v>
      </c>
      <c r="V206" s="283">
        <f t="shared" si="470"/>
        <v>2979199898</v>
      </c>
      <c r="W206" s="283">
        <f t="shared" si="470"/>
        <v>6795511607</v>
      </c>
      <c r="X206" s="283">
        <f t="shared" si="470"/>
        <v>1478027618</v>
      </c>
      <c r="Y206" s="283">
        <f t="shared" si="470"/>
        <v>0</v>
      </c>
      <c r="Z206" s="283">
        <f>+Z208+Z207</f>
        <v>0</v>
      </c>
      <c r="AA206" s="276">
        <f>SUM(S206:Z206)</f>
        <v>19425597389</v>
      </c>
      <c r="AB206" s="402">
        <f t="shared" si="340"/>
        <v>34542703887</v>
      </c>
      <c r="AC206" s="321">
        <f t="shared" si="341"/>
        <v>0.98753232454211282</v>
      </c>
    </row>
    <row r="207" spans="1:29" s="19" customFormat="1" ht="25.5" x14ac:dyDescent="0.2">
      <c r="A207" s="429">
        <v>1</v>
      </c>
      <c r="B207" s="323" t="s">
        <v>1850</v>
      </c>
      <c r="C207" s="206" t="s">
        <v>1851</v>
      </c>
      <c r="D207" s="328"/>
      <c r="E207" s="325">
        <f>SUM('ADICIONES  2021'!C207:N207)</f>
        <v>5432385663</v>
      </c>
      <c r="F207" s="278"/>
      <c r="G207" s="278"/>
      <c r="H207" s="278"/>
      <c r="I207" s="278"/>
      <c r="J207" s="278"/>
      <c r="K207" s="281">
        <f t="shared" si="468"/>
        <v>5432385663</v>
      </c>
      <c r="L207" s="278"/>
      <c r="M207" s="278"/>
      <c r="N207" s="278"/>
      <c r="O207" s="278"/>
      <c r="P207" s="278"/>
      <c r="Q207" s="278"/>
      <c r="R207" s="281">
        <f t="shared" si="338"/>
        <v>0</v>
      </c>
      <c r="S207" s="278"/>
      <c r="T207" s="278"/>
      <c r="U207" s="278"/>
      <c r="V207" s="278"/>
      <c r="W207" s="278">
        <v>5432385663</v>
      </c>
      <c r="X207" s="278"/>
      <c r="Y207" s="278"/>
      <c r="Z207" s="278"/>
      <c r="AA207" s="276">
        <f>SUM(S207:Z207)</f>
        <v>5432385663</v>
      </c>
      <c r="AB207" s="403">
        <f t="shared" si="340"/>
        <v>5432385663</v>
      </c>
      <c r="AC207" s="326">
        <f t="shared" si="341"/>
        <v>1</v>
      </c>
    </row>
    <row r="208" spans="1:29" s="61" customFormat="1" ht="15.75" hidden="1" x14ac:dyDescent="0.2">
      <c r="A208" s="425"/>
      <c r="B208" s="318" t="s">
        <v>635</v>
      </c>
      <c r="C208" s="319" t="s">
        <v>636</v>
      </c>
      <c r="D208" s="283">
        <f>SUM(D209:D212)</f>
        <v>29546422654</v>
      </c>
      <c r="E208" s="322">
        <f>SUM('ADICIONES  2021'!C208:N208)</f>
        <v>0</v>
      </c>
      <c r="F208" s="275">
        <f t="shared" ref="F208:J208" si="471">SUM(F209:F212)</f>
        <v>0</v>
      </c>
      <c r="G208" s="275">
        <f t="shared" si="471"/>
        <v>0</v>
      </c>
      <c r="H208" s="275">
        <f t="shared" si="471"/>
        <v>0</v>
      </c>
      <c r="I208" s="275">
        <f t="shared" si="471"/>
        <v>0</v>
      </c>
      <c r="J208" s="275">
        <f t="shared" si="471"/>
        <v>0</v>
      </c>
      <c r="K208" s="276">
        <f t="shared" si="468"/>
        <v>29546422654</v>
      </c>
      <c r="L208" s="275">
        <f t="shared" ref="L208:Q208" si="472">SUM(L209:L212)</f>
        <v>2689340356</v>
      </c>
      <c r="M208" s="275">
        <f t="shared" si="472"/>
        <v>3121740609</v>
      </c>
      <c r="N208" s="275">
        <f t="shared" si="472"/>
        <v>2232489239</v>
      </c>
      <c r="O208" s="275">
        <f t="shared" si="472"/>
        <v>2465264422</v>
      </c>
      <c r="P208" s="275">
        <f t="shared" si="472"/>
        <v>2281276903</v>
      </c>
      <c r="Q208" s="275">
        <f t="shared" si="472"/>
        <v>2326994969</v>
      </c>
      <c r="R208" s="276">
        <f t="shared" si="338"/>
        <v>15117106498</v>
      </c>
      <c r="S208" s="275">
        <f t="shared" ref="S208:Z208" si="473">SUM(S209:S212)</f>
        <v>2575863018</v>
      </c>
      <c r="T208" s="275">
        <f t="shared" si="473"/>
        <v>2244528451</v>
      </c>
      <c r="U208" s="275">
        <f t="shared" si="473"/>
        <v>3352466797</v>
      </c>
      <c r="V208" s="275">
        <f t="shared" si="473"/>
        <v>2979199898</v>
      </c>
      <c r="W208" s="275">
        <f t="shared" si="473"/>
        <v>1363125944</v>
      </c>
      <c r="X208" s="275">
        <f t="shared" si="473"/>
        <v>1478027618</v>
      </c>
      <c r="Y208" s="275">
        <f t="shared" si="473"/>
        <v>0</v>
      </c>
      <c r="Z208" s="275">
        <f t="shared" si="473"/>
        <v>0</v>
      </c>
      <c r="AA208" s="276">
        <f t="shared" si="354"/>
        <v>13993211726</v>
      </c>
      <c r="AB208" s="402">
        <f t="shared" si="340"/>
        <v>29110318224</v>
      </c>
      <c r="AC208" s="321">
        <f t="shared" si="341"/>
        <v>0.98524002600562</v>
      </c>
    </row>
    <row r="209" spans="1:29" ht="14.25" x14ac:dyDescent="0.2">
      <c r="A209" s="427">
        <v>1</v>
      </c>
      <c r="B209" s="323" t="s">
        <v>637</v>
      </c>
      <c r="C209" s="206" t="s">
        <v>638</v>
      </c>
      <c r="D209" s="324">
        <v>2000000000</v>
      </c>
      <c r="E209" s="325">
        <f>SUM('ADICIONES  2021'!C209:N209)</f>
        <v>0</v>
      </c>
      <c r="F209" s="277"/>
      <c r="G209" s="277"/>
      <c r="H209" s="277"/>
      <c r="I209" s="277"/>
      <c r="J209" s="277"/>
      <c r="K209" s="281">
        <f t="shared" si="468"/>
        <v>2000000000</v>
      </c>
      <c r="L209" s="277">
        <v>0</v>
      </c>
      <c r="M209" s="277">
        <v>250391108</v>
      </c>
      <c r="N209" s="277">
        <v>7595746</v>
      </c>
      <c r="O209" s="277">
        <v>7749123</v>
      </c>
      <c r="P209" s="277">
        <v>7239528</v>
      </c>
      <c r="Q209" s="277">
        <v>7940102</v>
      </c>
      <c r="R209" s="281">
        <f t="shared" ref="R209:R275" si="474">SUM(L209:Q209)</f>
        <v>280915607</v>
      </c>
      <c r="S209" s="277">
        <v>11152333</v>
      </c>
      <c r="T209" s="277">
        <v>7432241</v>
      </c>
      <c r="U209" s="277">
        <v>7089610</v>
      </c>
      <c r="V209" s="277">
        <v>7455059</v>
      </c>
      <c r="W209" s="277">
        <v>7480352</v>
      </c>
      <c r="X209" s="277">
        <v>27124703</v>
      </c>
      <c r="Y209" s="277"/>
      <c r="Z209" s="277"/>
      <c r="AA209" s="281">
        <f t="shared" si="354"/>
        <v>67734298</v>
      </c>
      <c r="AB209" s="403">
        <f t="shared" ref="AB209:AB275" si="475">+R209+AA209</f>
        <v>348649905</v>
      </c>
      <c r="AC209" s="326">
        <f t="shared" si="341"/>
        <v>0.17432495249999999</v>
      </c>
    </row>
    <row r="210" spans="1:29" ht="14.25" x14ac:dyDescent="0.2">
      <c r="A210" s="427">
        <v>1</v>
      </c>
      <c r="B210" s="323" t="s">
        <v>639</v>
      </c>
      <c r="C210" s="206" t="s">
        <v>640</v>
      </c>
      <c r="D210" s="324">
        <v>13813301332</v>
      </c>
      <c r="E210" s="325">
        <f>SUM('ADICIONES  2021'!C210:N210)</f>
        <v>0</v>
      </c>
      <c r="F210" s="277"/>
      <c r="G210" s="277"/>
      <c r="H210" s="277"/>
      <c r="I210" s="277"/>
      <c r="J210" s="277"/>
      <c r="K210" s="281">
        <f t="shared" si="468"/>
        <v>13813301332</v>
      </c>
      <c r="L210" s="277">
        <v>0</v>
      </c>
      <c r="M210" s="277">
        <v>0</v>
      </c>
      <c r="N210" s="277">
        <v>0</v>
      </c>
      <c r="O210" s="277">
        <v>0</v>
      </c>
      <c r="P210" s="277">
        <v>0</v>
      </c>
      <c r="Q210" s="277">
        <v>0</v>
      </c>
      <c r="R210" s="281">
        <f t="shared" si="474"/>
        <v>0</v>
      </c>
      <c r="S210" s="277">
        <v>0</v>
      </c>
      <c r="T210" s="277">
        <v>0</v>
      </c>
      <c r="U210" s="277">
        <v>2670394009</v>
      </c>
      <c r="V210" s="277">
        <v>2686024499</v>
      </c>
      <c r="W210" s="277">
        <v>8388362850</v>
      </c>
      <c r="X210" s="277"/>
      <c r="Y210" s="277"/>
      <c r="Z210" s="277"/>
      <c r="AA210" s="281">
        <f t="shared" si="354"/>
        <v>13744781358</v>
      </c>
      <c r="AB210" s="403">
        <f t="shared" si="475"/>
        <v>13744781358</v>
      </c>
      <c r="AC210" s="326">
        <f t="shared" si="341"/>
        <v>0.9950395656799822</v>
      </c>
    </row>
    <row r="211" spans="1:29" ht="25.5" x14ac:dyDescent="0.2">
      <c r="A211" s="427">
        <v>1</v>
      </c>
      <c r="B211" s="323" t="s">
        <v>641</v>
      </c>
      <c r="C211" s="206" t="s">
        <v>642</v>
      </c>
      <c r="D211" s="324">
        <v>7046121322</v>
      </c>
      <c r="E211" s="325">
        <f>SUM('ADICIONES  2021'!C211:N211)</f>
        <v>0</v>
      </c>
      <c r="F211" s="277"/>
      <c r="G211" s="277"/>
      <c r="H211" s="277"/>
      <c r="I211" s="277"/>
      <c r="J211" s="277"/>
      <c r="K211" s="281">
        <f t="shared" si="468"/>
        <v>7046121322</v>
      </c>
      <c r="L211" s="277">
        <v>1914493529</v>
      </c>
      <c r="M211" s="277">
        <v>1914493529</v>
      </c>
      <c r="N211" s="277">
        <v>1914493529</v>
      </c>
      <c r="O211" s="277">
        <v>1914493529</v>
      </c>
      <c r="P211" s="277">
        <v>1914493529</v>
      </c>
      <c r="Q211" s="277">
        <v>1914493529</v>
      </c>
      <c r="R211" s="281">
        <f t="shared" si="474"/>
        <v>11486961174</v>
      </c>
      <c r="S211" s="277">
        <v>1973761499</v>
      </c>
      <c r="T211" s="277">
        <v>1973761499</v>
      </c>
      <c r="U211" s="277">
        <v>0</v>
      </c>
      <c r="V211" s="277">
        <v>0</v>
      </c>
      <c r="W211" s="277">
        <v>-8388362850</v>
      </c>
      <c r="X211" s="277"/>
      <c r="Y211" s="277"/>
      <c r="Z211" s="277"/>
      <c r="AA211" s="281">
        <f t="shared" si="354"/>
        <v>-4440839852</v>
      </c>
      <c r="AB211" s="403">
        <f t="shared" si="475"/>
        <v>7046121322</v>
      </c>
      <c r="AC211" s="326">
        <f t="shared" si="341"/>
        <v>1</v>
      </c>
    </row>
    <row r="212" spans="1:29" s="61" customFormat="1" ht="15.75" hidden="1" x14ac:dyDescent="0.2">
      <c r="A212" s="425"/>
      <c r="B212" s="318" t="s">
        <v>643</v>
      </c>
      <c r="C212" s="334" t="s">
        <v>644</v>
      </c>
      <c r="D212" s="283">
        <f>SUM(D213:D215)</f>
        <v>6687000000</v>
      </c>
      <c r="E212" s="322">
        <f>SUM('ADICIONES  2021'!C212:N212)</f>
        <v>0</v>
      </c>
      <c r="F212" s="275">
        <f t="shared" ref="F212:J212" si="476">SUM(F213:F215)</f>
        <v>0</v>
      </c>
      <c r="G212" s="275">
        <f t="shared" si="476"/>
        <v>0</v>
      </c>
      <c r="H212" s="275">
        <f t="shared" si="476"/>
        <v>0</v>
      </c>
      <c r="I212" s="275">
        <f t="shared" si="476"/>
        <v>0</v>
      </c>
      <c r="J212" s="275">
        <f t="shared" si="476"/>
        <v>0</v>
      </c>
      <c r="K212" s="276">
        <f t="shared" si="468"/>
        <v>6687000000</v>
      </c>
      <c r="L212" s="275">
        <f t="shared" ref="L212:Q212" si="477">SUM(L213:L215)</f>
        <v>774846827</v>
      </c>
      <c r="M212" s="275">
        <f t="shared" si="477"/>
        <v>956855972</v>
      </c>
      <c r="N212" s="275">
        <f t="shared" si="477"/>
        <v>310399964</v>
      </c>
      <c r="O212" s="275">
        <f t="shared" si="477"/>
        <v>543021770</v>
      </c>
      <c r="P212" s="275">
        <f t="shared" si="477"/>
        <v>359543846</v>
      </c>
      <c r="Q212" s="275">
        <f t="shared" si="477"/>
        <v>404561338</v>
      </c>
      <c r="R212" s="276">
        <f t="shared" si="474"/>
        <v>3349229717</v>
      </c>
      <c r="S212" s="275">
        <f t="shared" ref="S212:Z212" si="478">SUM(S213:S215)</f>
        <v>590949186</v>
      </c>
      <c r="T212" s="275">
        <f t="shared" si="478"/>
        <v>263334711</v>
      </c>
      <c r="U212" s="275">
        <f t="shared" si="478"/>
        <v>674983178</v>
      </c>
      <c r="V212" s="275">
        <f t="shared" si="478"/>
        <v>285720340</v>
      </c>
      <c r="W212" s="275">
        <f t="shared" si="478"/>
        <v>1355645592</v>
      </c>
      <c r="X212" s="275">
        <f t="shared" si="478"/>
        <v>1450902915</v>
      </c>
      <c r="Y212" s="275">
        <f t="shared" si="478"/>
        <v>0</v>
      </c>
      <c r="Z212" s="275">
        <f t="shared" si="478"/>
        <v>0</v>
      </c>
      <c r="AA212" s="276">
        <f t="shared" si="354"/>
        <v>4621535922</v>
      </c>
      <c r="AB212" s="402">
        <f t="shared" si="475"/>
        <v>7970765639</v>
      </c>
      <c r="AC212" s="321">
        <f t="shared" ref="AC212:AC287" si="479">+AB212/K212</f>
        <v>1.1919793089576791</v>
      </c>
    </row>
    <row r="213" spans="1:29" ht="14.25" x14ac:dyDescent="0.2">
      <c r="A213" s="427">
        <v>1</v>
      </c>
      <c r="B213" s="323" t="s">
        <v>645</v>
      </c>
      <c r="C213" s="206" t="s">
        <v>646</v>
      </c>
      <c r="D213" s="332">
        <v>4100000000</v>
      </c>
      <c r="E213" s="325">
        <f>SUM('ADICIONES  2021'!C213:N213)</f>
        <v>0</v>
      </c>
      <c r="F213" s="281"/>
      <c r="G213" s="281"/>
      <c r="H213" s="281"/>
      <c r="I213" s="281"/>
      <c r="J213" s="281"/>
      <c r="K213" s="281">
        <f t="shared" si="468"/>
        <v>4100000000</v>
      </c>
      <c r="L213" s="281">
        <v>323158015</v>
      </c>
      <c r="M213" s="281">
        <v>641354900</v>
      </c>
      <c r="N213" s="281">
        <v>76236793</v>
      </c>
      <c r="O213" s="281">
        <v>382579570</v>
      </c>
      <c r="P213" s="281">
        <v>232838443</v>
      </c>
      <c r="Q213" s="281">
        <v>225772422</v>
      </c>
      <c r="R213" s="281">
        <f t="shared" si="474"/>
        <v>1881940143</v>
      </c>
      <c r="S213" s="281">
        <v>322677630</v>
      </c>
      <c r="T213" s="281">
        <v>128740681</v>
      </c>
      <c r="U213" s="281">
        <v>316514026</v>
      </c>
      <c r="V213" s="281">
        <v>119027600</v>
      </c>
      <c r="W213" s="281">
        <v>668683200</v>
      </c>
      <c r="X213" s="281">
        <v>408559029</v>
      </c>
      <c r="Y213" s="281"/>
      <c r="Z213" s="281"/>
      <c r="AA213" s="281">
        <f t="shared" si="354"/>
        <v>1964202166</v>
      </c>
      <c r="AB213" s="403">
        <f t="shared" si="475"/>
        <v>3846142309</v>
      </c>
      <c r="AC213" s="326">
        <f t="shared" si="479"/>
        <v>0.93808349000000002</v>
      </c>
    </row>
    <row r="214" spans="1:29" ht="14.25" x14ac:dyDescent="0.2">
      <c r="A214" s="427">
        <v>1</v>
      </c>
      <c r="B214" s="323" t="s">
        <v>647</v>
      </c>
      <c r="C214" s="206" t="s">
        <v>648</v>
      </c>
      <c r="D214" s="332">
        <v>57000000</v>
      </c>
      <c r="E214" s="325">
        <f>SUM('ADICIONES  2021'!C214:N214)</f>
        <v>0</v>
      </c>
      <c r="F214" s="281"/>
      <c r="G214" s="281"/>
      <c r="H214" s="281"/>
      <c r="I214" s="281"/>
      <c r="J214" s="281"/>
      <c r="K214" s="281">
        <f t="shared" si="468"/>
        <v>57000000</v>
      </c>
      <c r="L214" s="281">
        <v>1760508</v>
      </c>
      <c r="M214" s="281">
        <v>170172</v>
      </c>
      <c r="N214" s="281">
        <v>510968</v>
      </c>
      <c r="O214" s="281">
        <v>5800</v>
      </c>
      <c r="P214" s="281">
        <v>43240</v>
      </c>
      <c r="Q214" s="281">
        <v>5772168</v>
      </c>
      <c r="R214" s="281">
        <f t="shared" si="474"/>
        <v>8262856</v>
      </c>
      <c r="S214" s="281">
        <v>490100</v>
      </c>
      <c r="T214" s="281">
        <v>78416</v>
      </c>
      <c r="U214" s="281">
        <v>388388</v>
      </c>
      <c r="V214" s="281">
        <v>3803540</v>
      </c>
      <c r="W214" s="281">
        <v>56492</v>
      </c>
      <c r="X214" s="281">
        <v>125000</v>
      </c>
      <c r="Y214" s="281"/>
      <c r="Z214" s="281"/>
      <c r="AA214" s="281">
        <f t="shared" ref="AA214:AA280" si="480">SUM(S214:Z214)</f>
        <v>4941936</v>
      </c>
      <c r="AB214" s="403">
        <f t="shared" si="475"/>
        <v>13204792</v>
      </c>
      <c r="AC214" s="326">
        <f t="shared" si="479"/>
        <v>0.23166301754385965</v>
      </c>
    </row>
    <row r="215" spans="1:29" ht="14.25" x14ac:dyDescent="0.2">
      <c r="A215" s="427">
        <v>1</v>
      </c>
      <c r="B215" s="323" t="s">
        <v>649</v>
      </c>
      <c r="C215" s="206" t="s">
        <v>650</v>
      </c>
      <c r="D215" s="324">
        <v>2530000000</v>
      </c>
      <c r="E215" s="325">
        <f>SUM('ADICIONES  2021'!C215:N215)</f>
        <v>0</v>
      </c>
      <c r="F215" s="277"/>
      <c r="G215" s="277"/>
      <c r="H215" s="277"/>
      <c r="I215" s="277"/>
      <c r="J215" s="277"/>
      <c r="K215" s="281">
        <f t="shared" si="468"/>
        <v>2530000000</v>
      </c>
      <c r="L215" s="277">
        <v>449928304</v>
      </c>
      <c r="M215" s="277">
        <v>315330900</v>
      </c>
      <c r="N215" s="277">
        <v>233652203</v>
      </c>
      <c r="O215" s="277">
        <v>160436400</v>
      </c>
      <c r="P215" s="277">
        <v>126662163</v>
      </c>
      <c r="Q215" s="277">
        <v>173016748</v>
      </c>
      <c r="R215" s="281">
        <f t="shared" si="474"/>
        <v>1459026718</v>
      </c>
      <c r="S215" s="277">
        <v>267781456</v>
      </c>
      <c r="T215" s="277">
        <v>134515614</v>
      </c>
      <c r="U215" s="277">
        <v>358080764</v>
      </c>
      <c r="V215" s="277">
        <v>162889200</v>
      </c>
      <c r="W215" s="277">
        <v>686905900</v>
      </c>
      <c r="X215" s="277">
        <v>1042218886</v>
      </c>
      <c r="Y215" s="277"/>
      <c r="Z215" s="277"/>
      <c r="AA215" s="281">
        <f t="shared" si="480"/>
        <v>2652391820</v>
      </c>
      <c r="AB215" s="403">
        <f t="shared" si="475"/>
        <v>4111418538</v>
      </c>
      <c r="AC215" s="326">
        <f t="shared" si="479"/>
        <v>1.6250666158102767</v>
      </c>
    </row>
    <row r="216" spans="1:29" s="61" customFormat="1" ht="15.75" hidden="1" x14ac:dyDescent="0.2">
      <c r="A216" s="425"/>
      <c r="B216" s="318" t="s">
        <v>651</v>
      </c>
      <c r="C216" s="319" t="s">
        <v>652</v>
      </c>
      <c r="D216" s="283">
        <f>+D217</f>
        <v>10000000000</v>
      </c>
      <c r="E216" s="322">
        <f>SUM('ADICIONES  2021'!C216:N216)</f>
        <v>1506892011.03</v>
      </c>
      <c r="F216" s="275">
        <f t="shared" ref="F216:J216" si="481">+F217</f>
        <v>0</v>
      </c>
      <c r="G216" s="275">
        <f t="shared" si="481"/>
        <v>0</v>
      </c>
      <c r="H216" s="275">
        <f t="shared" si="481"/>
        <v>0</v>
      </c>
      <c r="I216" s="275">
        <f t="shared" si="481"/>
        <v>0</v>
      </c>
      <c r="J216" s="275">
        <f t="shared" si="481"/>
        <v>0</v>
      </c>
      <c r="K216" s="276">
        <f t="shared" si="468"/>
        <v>11506892011.030001</v>
      </c>
      <c r="L216" s="275">
        <f t="shared" ref="L216:Q216" si="482">+L217</f>
        <v>0</v>
      </c>
      <c r="M216" s="275">
        <f t="shared" si="482"/>
        <v>47932431.990000002</v>
      </c>
      <c r="N216" s="275">
        <f t="shared" si="482"/>
        <v>77133104.739999995</v>
      </c>
      <c r="O216" s="275">
        <f t="shared" si="482"/>
        <v>0</v>
      </c>
      <c r="P216" s="275">
        <f t="shared" si="482"/>
        <v>0</v>
      </c>
      <c r="Q216" s="275">
        <f t="shared" si="482"/>
        <v>874307344.50999999</v>
      </c>
      <c r="R216" s="276">
        <f t="shared" si="474"/>
        <v>999372881.24000001</v>
      </c>
      <c r="S216" s="275">
        <f t="shared" ref="S216:Z216" si="483">+S217</f>
        <v>0</v>
      </c>
      <c r="T216" s="275">
        <f t="shared" si="483"/>
        <v>493346800.77999997</v>
      </c>
      <c r="U216" s="275">
        <f t="shared" si="483"/>
        <v>93041740.260000005</v>
      </c>
      <c r="V216" s="275">
        <f t="shared" si="483"/>
        <v>494380682.69</v>
      </c>
      <c r="W216" s="275">
        <f t="shared" si="483"/>
        <v>108285893.29999995</v>
      </c>
      <c r="X216" s="275">
        <f t="shared" si="483"/>
        <v>147935795.06999999</v>
      </c>
      <c r="Y216" s="275">
        <f t="shared" si="483"/>
        <v>0</v>
      </c>
      <c r="Z216" s="275">
        <f t="shared" si="483"/>
        <v>0</v>
      </c>
      <c r="AA216" s="276">
        <f t="shared" si="480"/>
        <v>1336990912.0999999</v>
      </c>
      <c r="AB216" s="402">
        <f t="shared" si="475"/>
        <v>2336363793.3400002</v>
      </c>
      <c r="AC216" s="321">
        <f t="shared" si="479"/>
        <v>0.20304038580534731</v>
      </c>
    </row>
    <row r="217" spans="1:29" s="61" customFormat="1" ht="15.75" hidden="1" x14ac:dyDescent="0.2">
      <c r="A217" s="425"/>
      <c r="B217" s="318" t="s">
        <v>653</v>
      </c>
      <c r="C217" s="319" t="s">
        <v>654</v>
      </c>
      <c r="D217" s="283">
        <f>SUM(D218:D220)</f>
        <v>10000000000</v>
      </c>
      <c r="E217" s="322">
        <f>SUM('ADICIONES  2021'!C217:N217)</f>
        <v>1506892011.03</v>
      </c>
      <c r="F217" s="275">
        <f>SUM(F218:F220)</f>
        <v>0</v>
      </c>
      <c r="G217" s="275">
        <f t="shared" ref="G217:J217" si="484">SUM(G218:G220)</f>
        <v>0</v>
      </c>
      <c r="H217" s="275">
        <f t="shared" si="484"/>
        <v>0</v>
      </c>
      <c r="I217" s="275">
        <f t="shared" si="484"/>
        <v>0</v>
      </c>
      <c r="J217" s="275">
        <f t="shared" si="484"/>
        <v>0</v>
      </c>
      <c r="K217" s="276">
        <f t="shared" si="468"/>
        <v>11506892011.030001</v>
      </c>
      <c r="L217" s="275">
        <f t="shared" ref="L217:Q217" si="485">SUM(L218:L220)</f>
        <v>0</v>
      </c>
      <c r="M217" s="275">
        <f t="shared" si="485"/>
        <v>47932431.990000002</v>
      </c>
      <c r="N217" s="275">
        <f t="shared" si="485"/>
        <v>77133104.739999995</v>
      </c>
      <c r="O217" s="275">
        <f t="shared" si="485"/>
        <v>0</v>
      </c>
      <c r="P217" s="275">
        <f t="shared" si="485"/>
        <v>0</v>
      </c>
      <c r="Q217" s="275">
        <f t="shared" si="485"/>
        <v>874307344.50999999</v>
      </c>
      <c r="R217" s="276">
        <f t="shared" si="474"/>
        <v>999372881.24000001</v>
      </c>
      <c r="S217" s="275">
        <f t="shared" ref="S217:Z217" si="486">SUM(S218:S220)</f>
        <v>0</v>
      </c>
      <c r="T217" s="275">
        <f t="shared" si="486"/>
        <v>493346800.77999997</v>
      </c>
      <c r="U217" s="275">
        <f t="shared" si="486"/>
        <v>93041740.260000005</v>
      </c>
      <c r="V217" s="275">
        <f t="shared" si="486"/>
        <v>494380682.69</v>
      </c>
      <c r="W217" s="275">
        <f t="shared" si="486"/>
        <v>108285893.29999995</v>
      </c>
      <c r="X217" s="275">
        <f t="shared" si="486"/>
        <v>147935795.06999999</v>
      </c>
      <c r="Y217" s="275">
        <f t="shared" si="486"/>
        <v>0</v>
      </c>
      <c r="Z217" s="275">
        <f t="shared" si="486"/>
        <v>0</v>
      </c>
      <c r="AA217" s="276">
        <f t="shared" si="480"/>
        <v>1336990912.0999999</v>
      </c>
      <c r="AB217" s="402">
        <f t="shared" si="475"/>
        <v>2336363793.3400002</v>
      </c>
      <c r="AC217" s="321">
        <f t="shared" si="479"/>
        <v>0.20304038580534731</v>
      </c>
    </row>
    <row r="218" spans="1:29" ht="14.25" x14ac:dyDescent="0.2">
      <c r="A218" s="427">
        <v>1</v>
      </c>
      <c r="B218" s="323" t="s">
        <v>655</v>
      </c>
      <c r="C218" s="206" t="s">
        <v>656</v>
      </c>
      <c r="D218" s="324">
        <v>0</v>
      </c>
      <c r="E218" s="325">
        <f>SUM('ADICIONES  2021'!C218:N218)</f>
        <v>0</v>
      </c>
      <c r="F218" s="277"/>
      <c r="G218" s="277"/>
      <c r="H218" s="277"/>
      <c r="I218" s="277"/>
      <c r="J218" s="277"/>
      <c r="K218" s="281">
        <f t="shared" si="468"/>
        <v>0</v>
      </c>
      <c r="L218" s="277">
        <v>0</v>
      </c>
      <c r="M218" s="277">
        <v>47932431.990000002</v>
      </c>
      <c r="N218" s="277">
        <v>77133104.739999995</v>
      </c>
      <c r="O218" s="277">
        <v>0</v>
      </c>
      <c r="P218" s="277"/>
      <c r="Q218" s="277">
        <v>874307344.50999999</v>
      </c>
      <c r="R218" s="281">
        <f t="shared" si="474"/>
        <v>999372881.24000001</v>
      </c>
      <c r="S218" s="277">
        <v>0</v>
      </c>
      <c r="T218" s="277">
        <v>493346800.77999997</v>
      </c>
      <c r="U218" s="277">
        <v>93041740.260000005</v>
      </c>
      <c r="V218" s="277">
        <v>494380682.69</v>
      </c>
      <c r="W218" s="277">
        <v>-1398606117.73</v>
      </c>
      <c r="X218" s="277">
        <v>147935795.06999999</v>
      </c>
      <c r="Y218" s="277"/>
      <c r="Z218" s="277"/>
      <c r="AA218" s="281">
        <f t="shared" si="480"/>
        <v>-169901098.93000001</v>
      </c>
      <c r="AB218" s="403">
        <f t="shared" si="475"/>
        <v>829471782.30999994</v>
      </c>
      <c r="AC218" s="326">
        <v>0</v>
      </c>
    </row>
    <row r="219" spans="1:29" ht="14.25" x14ac:dyDescent="0.2">
      <c r="A219" s="427">
        <v>1</v>
      </c>
      <c r="B219" s="323" t="s">
        <v>655</v>
      </c>
      <c r="C219" s="206" t="s">
        <v>656</v>
      </c>
      <c r="D219" s="324"/>
      <c r="E219" s="325">
        <f>SUM('ADICIONES  2021'!C219:N219)</f>
        <v>1506892011.03</v>
      </c>
      <c r="F219" s="277"/>
      <c r="G219" s="277"/>
      <c r="H219" s="277"/>
      <c r="I219" s="277"/>
      <c r="J219" s="277"/>
      <c r="K219" s="281">
        <f t="shared" si="468"/>
        <v>1506892011.03</v>
      </c>
      <c r="L219" s="277"/>
      <c r="M219" s="277"/>
      <c r="N219" s="277"/>
      <c r="O219" s="277"/>
      <c r="P219" s="277"/>
      <c r="Q219" s="277"/>
      <c r="R219" s="281">
        <f t="shared" si="474"/>
        <v>0</v>
      </c>
      <c r="S219" s="277"/>
      <c r="T219" s="277"/>
      <c r="U219" s="277"/>
      <c r="V219" s="277"/>
      <c r="W219" s="277">
        <v>1506892011.03</v>
      </c>
      <c r="X219" s="277">
        <v>0</v>
      </c>
      <c r="Y219" s="277"/>
      <c r="Z219" s="277"/>
      <c r="AA219" s="281">
        <f t="shared" si="480"/>
        <v>1506892011.03</v>
      </c>
      <c r="AB219" s="403">
        <f t="shared" si="475"/>
        <v>1506892011.03</v>
      </c>
      <c r="AC219" s="326">
        <v>1</v>
      </c>
    </row>
    <row r="220" spans="1:29" ht="25.5" x14ac:dyDescent="0.2">
      <c r="A220" s="427">
        <v>1</v>
      </c>
      <c r="B220" s="323" t="s">
        <v>657</v>
      </c>
      <c r="C220" s="206" t="s">
        <v>658</v>
      </c>
      <c r="D220" s="324">
        <v>10000000000</v>
      </c>
      <c r="E220" s="325">
        <f>SUM('ADICIONES  2021'!C220:N220)</f>
        <v>0</v>
      </c>
      <c r="F220" s="281"/>
      <c r="G220" s="281"/>
      <c r="H220" s="281"/>
      <c r="I220" s="281"/>
      <c r="J220" s="281"/>
      <c r="K220" s="281">
        <f t="shared" si="468"/>
        <v>10000000000</v>
      </c>
      <c r="L220" s="281">
        <v>0</v>
      </c>
      <c r="M220" s="281">
        <v>0</v>
      </c>
      <c r="N220" s="281">
        <v>0</v>
      </c>
      <c r="O220" s="281">
        <v>0</v>
      </c>
      <c r="P220" s="281"/>
      <c r="Q220" s="281">
        <v>0</v>
      </c>
      <c r="R220" s="281">
        <f t="shared" si="474"/>
        <v>0</v>
      </c>
      <c r="S220" s="281">
        <v>0</v>
      </c>
      <c r="T220" s="281">
        <v>0</v>
      </c>
      <c r="U220" s="281">
        <v>0</v>
      </c>
      <c r="V220" s="281">
        <v>0</v>
      </c>
      <c r="W220" s="281">
        <v>0</v>
      </c>
      <c r="X220" s="281">
        <v>0</v>
      </c>
      <c r="Y220" s="281"/>
      <c r="Z220" s="281"/>
      <c r="AA220" s="281">
        <f t="shared" si="480"/>
        <v>0</v>
      </c>
      <c r="AB220" s="403">
        <f t="shared" si="475"/>
        <v>0</v>
      </c>
      <c r="AC220" s="326">
        <f t="shared" si="479"/>
        <v>0</v>
      </c>
    </row>
    <row r="221" spans="1:29" s="61" customFormat="1" ht="15.75" hidden="1" x14ac:dyDescent="0.2">
      <c r="A221" s="425"/>
      <c r="B221" s="318" t="s">
        <v>659</v>
      </c>
      <c r="C221" s="319" t="s">
        <v>660</v>
      </c>
      <c r="D221" s="283">
        <f>+D222</f>
        <v>10852525000</v>
      </c>
      <c r="E221" s="322">
        <f>SUM('ADICIONES  2021'!C221:N221)</f>
        <v>0</v>
      </c>
      <c r="F221" s="275">
        <f t="shared" ref="F221:J223" si="487">+F222</f>
        <v>0</v>
      </c>
      <c r="G221" s="275">
        <f t="shared" si="487"/>
        <v>0</v>
      </c>
      <c r="H221" s="275">
        <f t="shared" si="487"/>
        <v>0</v>
      </c>
      <c r="I221" s="275">
        <f t="shared" si="487"/>
        <v>0</v>
      </c>
      <c r="J221" s="275">
        <f t="shared" si="487"/>
        <v>0</v>
      </c>
      <c r="K221" s="276">
        <f t="shared" si="468"/>
        <v>10852525000</v>
      </c>
      <c r="L221" s="275">
        <f t="shared" ref="L221:Q223" si="488">+L222</f>
        <v>2049544273.3199999</v>
      </c>
      <c r="M221" s="275">
        <f t="shared" si="488"/>
        <v>284517805.75920004</v>
      </c>
      <c r="N221" s="275">
        <f t="shared" si="488"/>
        <v>1538455203.9090004</v>
      </c>
      <c r="O221" s="275">
        <f t="shared" si="488"/>
        <v>18575260.469999999</v>
      </c>
      <c r="P221" s="275">
        <f t="shared" si="488"/>
        <v>413440660.61999995</v>
      </c>
      <c r="Q221" s="275">
        <f t="shared" si="488"/>
        <v>639021396.77999997</v>
      </c>
      <c r="R221" s="276">
        <f t="shared" si="474"/>
        <v>4943554600.8582001</v>
      </c>
      <c r="S221" s="275">
        <f t="shared" ref="S221:Z223" si="489">+S222</f>
        <v>1695978999.0000002</v>
      </c>
      <c r="T221" s="275">
        <f t="shared" si="489"/>
        <v>251134638.30000001</v>
      </c>
      <c r="U221" s="275">
        <f t="shared" si="489"/>
        <v>2247003365.4900002</v>
      </c>
      <c r="V221" s="275">
        <f t="shared" si="489"/>
        <v>564191404.92000008</v>
      </c>
      <c r="W221" s="275">
        <f t="shared" si="489"/>
        <v>1743878652.7500002</v>
      </c>
      <c r="X221" s="275">
        <f t="shared" si="489"/>
        <v>317341897.47000003</v>
      </c>
      <c r="Y221" s="275">
        <f t="shared" si="489"/>
        <v>82528859.209999993</v>
      </c>
      <c r="Z221" s="275">
        <f t="shared" si="489"/>
        <v>0</v>
      </c>
      <c r="AA221" s="276">
        <f t="shared" si="480"/>
        <v>6902057817.1400013</v>
      </c>
      <c r="AB221" s="402">
        <f t="shared" si="475"/>
        <v>11845612417.998201</v>
      </c>
      <c r="AC221" s="321">
        <f t="shared" si="479"/>
        <v>1.0915074987616431</v>
      </c>
    </row>
    <row r="222" spans="1:29" s="61" customFormat="1" ht="38.25" x14ac:dyDescent="0.2">
      <c r="A222" s="428">
        <v>1</v>
      </c>
      <c r="B222" s="318" t="s">
        <v>661</v>
      </c>
      <c r="C222" s="319" t="s">
        <v>662</v>
      </c>
      <c r="D222" s="283">
        <f>+D223</f>
        <v>10852525000</v>
      </c>
      <c r="E222" s="322">
        <f>SUM('ADICIONES  2021'!C222:N222)</f>
        <v>0</v>
      </c>
      <c r="F222" s="275">
        <f t="shared" si="487"/>
        <v>0</v>
      </c>
      <c r="G222" s="275">
        <f t="shared" si="487"/>
        <v>0</v>
      </c>
      <c r="H222" s="275">
        <f t="shared" si="487"/>
        <v>0</v>
      </c>
      <c r="I222" s="275">
        <f t="shared" si="487"/>
        <v>0</v>
      </c>
      <c r="J222" s="275">
        <f t="shared" si="487"/>
        <v>0</v>
      </c>
      <c r="K222" s="276">
        <f t="shared" si="468"/>
        <v>10852525000</v>
      </c>
      <c r="L222" s="275">
        <f t="shared" si="488"/>
        <v>2049544273.3199999</v>
      </c>
      <c r="M222" s="275">
        <f t="shared" si="488"/>
        <v>284517805.75920004</v>
      </c>
      <c r="N222" s="275">
        <f t="shared" si="488"/>
        <v>1538455203.9090004</v>
      </c>
      <c r="O222" s="275">
        <f t="shared" si="488"/>
        <v>18575260.469999999</v>
      </c>
      <c r="P222" s="275">
        <f t="shared" si="488"/>
        <v>413440660.61999995</v>
      </c>
      <c r="Q222" s="275">
        <f t="shared" si="488"/>
        <v>639021396.77999997</v>
      </c>
      <c r="R222" s="276">
        <f t="shared" si="474"/>
        <v>4943554600.8582001</v>
      </c>
      <c r="S222" s="275">
        <f t="shared" si="489"/>
        <v>1695978999.0000002</v>
      </c>
      <c r="T222" s="275">
        <f t="shared" si="489"/>
        <v>251134638.30000001</v>
      </c>
      <c r="U222" s="275">
        <f t="shared" si="489"/>
        <v>2247003365.4900002</v>
      </c>
      <c r="V222" s="275">
        <f t="shared" si="489"/>
        <v>564191404.92000008</v>
      </c>
      <c r="W222" s="275">
        <f t="shared" si="489"/>
        <v>1743878652.7500002</v>
      </c>
      <c r="X222" s="275">
        <f t="shared" si="489"/>
        <v>317341897.47000003</v>
      </c>
      <c r="Y222" s="275">
        <f t="shared" si="489"/>
        <v>82528859.209999993</v>
      </c>
      <c r="Z222" s="275">
        <f t="shared" si="489"/>
        <v>0</v>
      </c>
      <c r="AA222" s="276">
        <f t="shared" si="480"/>
        <v>6902057817.1400013</v>
      </c>
      <c r="AB222" s="402">
        <f t="shared" si="475"/>
        <v>11845612417.998201</v>
      </c>
      <c r="AC222" s="321">
        <f t="shared" si="479"/>
        <v>1.0915074987616431</v>
      </c>
    </row>
    <row r="223" spans="1:29" s="61" customFormat="1" ht="25.5" hidden="1" x14ac:dyDescent="0.2">
      <c r="A223" s="425"/>
      <c r="B223" s="318" t="s">
        <v>663</v>
      </c>
      <c r="C223" s="319" t="s">
        <v>664</v>
      </c>
      <c r="D223" s="283">
        <f>+D224</f>
        <v>10852525000</v>
      </c>
      <c r="E223" s="322">
        <f>SUM('ADICIONES  2021'!C223:N223)</f>
        <v>0</v>
      </c>
      <c r="F223" s="275">
        <f t="shared" si="487"/>
        <v>0</v>
      </c>
      <c r="G223" s="275">
        <f t="shared" si="487"/>
        <v>0</v>
      </c>
      <c r="H223" s="275">
        <f t="shared" si="487"/>
        <v>0</v>
      </c>
      <c r="I223" s="275">
        <f t="shared" si="487"/>
        <v>0</v>
      </c>
      <c r="J223" s="275">
        <f t="shared" si="487"/>
        <v>0</v>
      </c>
      <c r="K223" s="276">
        <f t="shared" si="468"/>
        <v>10852525000</v>
      </c>
      <c r="L223" s="275">
        <f t="shared" si="488"/>
        <v>2049544273.3199999</v>
      </c>
      <c r="M223" s="275">
        <f t="shared" si="488"/>
        <v>284517805.75920004</v>
      </c>
      <c r="N223" s="275">
        <f t="shared" si="488"/>
        <v>1538455203.9090004</v>
      </c>
      <c r="O223" s="275">
        <f t="shared" si="488"/>
        <v>18575260.469999999</v>
      </c>
      <c r="P223" s="275">
        <f t="shared" si="488"/>
        <v>413440660.61999995</v>
      </c>
      <c r="Q223" s="275">
        <f t="shared" si="488"/>
        <v>639021396.77999997</v>
      </c>
      <c r="R223" s="276">
        <f t="shared" si="474"/>
        <v>4943554600.8582001</v>
      </c>
      <c r="S223" s="275">
        <f t="shared" si="489"/>
        <v>1695978999.0000002</v>
      </c>
      <c r="T223" s="275">
        <f t="shared" si="489"/>
        <v>251134638.30000001</v>
      </c>
      <c r="U223" s="275">
        <f t="shared" si="489"/>
        <v>2247003365.4900002</v>
      </c>
      <c r="V223" s="275">
        <f t="shared" si="489"/>
        <v>564191404.92000008</v>
      </c>
      <c r="W223" s="275">
        <f t="shared" si="489"/>
        <v>1743878652.7500002</v>
      </c>
      <c r="X223" s="275">
        <f t="shared" si="489"/>
        <v>317341897.47000003</v>
      </c>
      <c r="Y223" s="275">
        <f t="shared" si="489"/>
        <v>82528859.209999993</v>
      </c>
      <c r="Z223" s="275">
        <f t="shared" si="489"/>
        <v>0</v>
      </c>
      <c r="AA223" s="276">
        <f t="shared" si="480"/>
        <v>6902057817.1400013</v>
      </c>
      <c r="AB223" s="402">
        <f t="shared" si="475"/>
        <v>11845612417.998201</v>
      </c>
      <c r="AC223" s="321">
        <f t="shared" si="479"/>
        <v>1.0915074987616431</v>
      </c>
    </row>
    <row r="224" spans="1:29" s="61" customFormat="1" ht="25.5" hidden="1" x14ac:dyDescent="0.2">
      <c r="A224" s="425"/>
      <c r="B224" s="318" t="s">
        <v>665</v>
      </c>
      <c r="C224" s="319" t="s">
        <v>666</v>
      </c>
      <c r="D224" s="283">
        <f>+D225+D236</f>
        <v>10852525000</v>
      </c>
      <c r="E224" s="322">
        <f>SUM('ADICIONES  2021'!C224:N224)</f>
        <v>0</v>
      </c>
      <c r="F224" s="275">
        <f t="shared" ref="F224:J224" si="490">+F225+F236</f>
        <v>0</v>
      </c>
      <c r="G224" s="275">
        <f t="shared" si="490"/>
        <v>0</v>
      </c>
      <c r="H224" s="275">
        <f t="shared" si="490"/>
        <v>0</v>
      </c>
      <c r="I224" s="275">
        <f t="shared" si="490"/>
        <v>0</v>
      </c>
      <c r="J224" s="275">
        <f t="shared" si="490"/>
        <v>0</v>
      </c>
      <c r="K224" s="276">
        <f t="shared" si="468"/>
        <v>10852525000</v>
      </c>
      <c r="L224" s="275">
        <f t="shared" ref="L224:Q224" si="491">+L225+L236</f>
        <v>2049544273.3199999</v>
      </c>
      <c r="M224" s="275">
        <f t="shared" si="491"/>
        <v>284517805.75920004</v>
      </c>
      <c r="N224" s="275">
        <f t="shared" si="491"/>
        <v>1538455203.9090004</v>
      </c>
      <c r="O224" s="275">
        <f t="shared" si="491"/>
        <v>18575260.469999999</v>
      </c>
      <c r="P224" s="275">
        <f t="shared" si="491"/>
        <v>413440660.61999995</v>
      </c>
      <c r="Q224" s="275">
        <f t="shared" si="491"/>
        <v>639021396.77999997</v>
      </c>
      <c r="R224" s="276">
        <f t="shared" si="474"/>
        <v>4943554600.8582001</v>
      </c>
      <c r="S224" s="275">
        <f t="shared" ref="S224:Z224" si="492">+S225+S236</f>
        <v>1695978999.0000002</v>
      </c>
      <c r="T224" s="275">
        <f t="shared" si="492"/>
        <v>251134638.30000001</v>
      </c>
      <c r="U224" s="275">
        <f t="shared" si="492"/>
        <v>2247003365.4900002</v>
      </c>
      <c r="V224" s="275">
        <f t="shared" si="492"/>
        <v>564191404.92000008</v>
      </c>
      <c r="W224" s="275">
        <f t="shared" si="492"/>
        <v>1743878652.7500002</v>
      </c>
      <c r="X224" s="275">
        <f t="shared" si="492"/>
        <v>317341897.47000003</v>
      </c>
      <c r="Y224" s="275">
        <f t="shared" si="492"/>
        <v>82528859.209999993</v>
      </c>
      <c r="Z224" s="275">
        <f t="shared" si="492"/>
        <v>0</v>
      </c>
      <c r="AA224" s="276">
        <f t="shared" si="480"/>
        <v>6902057817.1400013</v>
      </c>
      <c r="AB224" s="402">
        <f t="shared" si="475"/>
        <v>11845612417.998201</v>
      </c>
      <c r="AC224" s="321">
        <f t="shared" si="479"/>
        <v>1.0915074987616431</v>
      </c>
    </row>
    <row r="225" spans="1:29" s="61" customFormat="1" ht="25.5" hidden="1" x14ac:dyDescent="0.2">
      <c r="A225" s="425"/>
      <c r="B225" s="318" t="s">
        <v>667</v>
      </c>
      <c r="C225" s="319" t="s">
        <v>668</v>
      </c>
      <c r="D225" s="283">
        <f>SUM(D226:D235)</f>
        <v>7804967500</v>
      </c>
      <c r="E225" s="322">
        <f>SUM('ADICIONES  2021'!C225:N225)</f>
        <v>0</v>
      </c>
      <c r="F225" s="276"/>
      <c r="G225" s="276"/>
      <c r="H225" s="276"/>
      <c r="I225" s="276"/>
      <c r="J225" s="276"/>
      <c r="K225" s="276">
        <f t="shared" si="468"/>
        <v>7804967500</v>
      </c>
      <c r="L225" s="275">
        <f t="shared" ref="L225:S225" si="493">SUM(L226:L235)</f>
        <v>2049544273.3199999</v>
      </c>
      <c r="M225" s="275">
        <f t="shared" si="493"/>
        <v>284517805.75920004</v>
      </c>
      <c r="N225" s="275">
        <f t="shared" si="493"/>
        <v>1538455203.9090004</v>
      </c>
      <c r="O225" s="275">
        <f t="shared" si="493"/>
        <v>18575260.469999999</v>
      </c>
      <c r="P225" s="275">
        <f t="shared" si="493"/>
        <v>413440660.61999995</v>
      </c>
      <c r="Q225" s="275">
        <f t="shared" si="493"/>
        <v>639021396.77999997</v>
      </c>
      <c r="R225" s="276">
        <f t="shared" si="474"/>
        <v>4943554600.8582001</v>
      </c>
      <c r="S225" s="275">
        <f t="shared" si="493"/>
        <v>1695978999.0000002</v>
      </c>
      <c r="T225" s="275">
        <f t="shared" ref="T225:Y225" si="494">SUM(T226:T235)</f>
        <v>251134638.30000001</v>
      </c>
      <c r="U225" s="275">
        <f t="shared" si="494"/>
        <v>2247003365.4900002</v>
      </c>
      <c r="V225" s="275">
        <f t="shared" si="494"/>
        <v>564191404.92000008</v>
      </c>
      <c r="W225" s="275">
        <f t="shared" si="494"/>
        <v>1743878652.7500002</v>
      </c>
      <c r="X225" s="275">
        <f t="shared" si="494"/>
        <v>317341897.47000003</v>
      </c>
      <c r="Y225" s="275">
        <f t="shared" si="494"/>
        <v>82528859.209999993</v>
      </c>
      <c r="Z225" s="275"/>
      <c r="AA225" s="275">
        <f t="shared" si="480"/>
        <v>6902057817.1400013</v>
      </c>
      <c r="AB225" s="402">
        <f t="shared" si="475"/>
        <v>11845612417.998201</v>
      </c>
      <c r="AC225" s="321">
        <f t="shared" si="479"/>
        <v>1.5177016967717292</v>
      </c>
    </row>
    <row r="226" spans="1:29" ht="38.25" hidden="1" x14ac:dyDescent="0.2">
      <c r="A226" s="424"/>
      <c r="B226" s="323" t="s">
        <v>669</v>
      </c>
      <c r="C226" s="206" t="s">
        <v>279</v>
      </c>
      <c r="D226" s="324"/>
      <c r="E226" s="325">
        <f>SUM('ADICIONES  2021'!C226:N226)</f>
        <v>0</v>
      </c>
      <c r="F226" s="277">
        <f>+F225*0%</f>
        <v>0</v>
      </c>
      <c r="G226" s="277">
        <f t="shared" ref="G226:J226" si="495">+G225*0%</f>
        <v>0</v>
      </c>
      <c r="H226" s="277">
        <f t="shared" si="495"/>
        <v>0</v>
      </c>
      <c r="I226" s="277">
        <f t="shared" si="495"/>
        <v>0</v>
      </c>
      <c r="J226" s="277">
        <f t="shared" si="495"/>
        <v>0</v>
      </c>
      <c r="K226" s="281">
        <f t="shared" si="468"/>
        <v>0</v>
      </c>
      <c r="L226" s="277">
        <f>1211239200*0%</f>
        <v>0</v>
      </c>
      <c r="M226" s="277">
        <f>322089552*0%</f>
        <v>0</v>
      </c>
      <c r="N226" s="277">
        <f>1741614540*0%</f>
        <v>0</v>
      </c>
      <c r="O226" s="277">
        <f>21028200*0%</f>
        <v>0</v>
      </c>
      <c r="P226" s="277">
        <f>468037200*0%</f>
        <v>0</v>
      </c>
      <c r="Q226" s="277">
        <f>723406800*0%</f>
        <v>0</v>
      </c>
      <c r="R226" s="281">
        <f t="shared" si="474"/>
        <v>0</v>
      </c>
      <c r="S226" s="277">
        <f>1919940000*0%</f>
        <v>0</v>
      </c>
      <c r="T226" s="277">
        <f>284298000*0%</f>
        <v>0</v>
      </c>
      <c r="U226" s="277">
        <f>2543729400*0%</f>
        <v>0</v>
      </c>
      <c r="V226" s="277">
        <f>638695200*0%</f>
        <v>0</v>
      </c>
      <c r="W226" s="277">
        <f>1974165000*0%</f>
        <v>0</v>
      </c>
      <c r="X226" s="277">
        <f>359248200*0%</f>
        <v>0</v>
      </c>
      <c r="Y226" s="277"/>
      <c r="Z226" s="277">
        <f t="shared" ref="Z226" si="496">+Z225*0%</f>
        <v>0</v>
      </c>
      <c r="AA226" s="281">
        <f t="shared" si="480"/>
        <v>0</v>
      </c>
      <c r="AB226" s="403">
        <f t="shared" si="475"/>
        <v>0</v>
      </c>
      <c r="AC226" s="326" t="e">
        <f t="shared" si="479"/>
        <v>#DIV/0!</v>
      </c>
    </row>
    <row r="227" spans="1:29" ht="38.25" hidden="1" x14ac:dyDescent="0.2">
      <c r="A227" s="424"/>
      <c r="B227" s="323" t="s">
        <v>670</v>
      </c>
      <c r="C227" s="206" t="s">
        <v>280</v>
      </c>
      <c r="D227" s="324">
        <v>0</v>
      </c>
      <c r="E227" s="325">
        <f>SUM('ADICIONES  2021'!C227:N227)</f>
        <v>0</v>
      </c>
      <c r="F227" s="277">
        <f>+F225*0%</f>
        <v>0</v>
      </c>
      <c r="G227" s="277">
        <f t="shared" ref="G227:J227" si="497">+G225*0%</f>
        <v>0</v>
      </c>
      <c r="H227" s="277">
        <f t="shared" si="497"/>
        <v>0</v>
      </c>
      <c r="I227" s="277">
        <f t="shared" si="497"/>
        <v>0</v>
      </c>
      <c r="J227" s="277">
        <f t="shared" si="497"/>
        <v>0</v>
      </c>
      <c r="K227" s="281">
        <f t="shared" si="468"/>
        <v>0</v>
      </c>
      <c r="L227" s="277">
        <f>1211239200*0%</f>
        <v>0</v>
      </c>
      <c r="M227" s="277">
        <f>322089552*0%</f>
        <v>0</v>
      </c>
      <c r="N227" s="277">
        <f>1741614540*0%</f>
        <v>0</v>
      </c>
      <c r="O227" s="277">
        <f>21028200*0%</f>
        <v>0</v>
      </c>
      <c r="P227" s="277">
        <f>468037200*0%</f>
        <v>0</v>
      </c>
      <c r="Q227" s="277">
        <f>723406800*0%</f>
        <v>0</v>
      </c>
      <c r="R227" s="281">
        <f t="shared" si="474"/>
        <v>0</v>
      </c>
      <c r="S227" s="277">
        <f>1919940000*0%</f>
        <v>0</v>
      </c>
      <c r="T227" s="277">
        <f>284298000*0%</f>
        <v>0</v>
      </c>
      <c r="U227" s="277">
        <f>2543729400*0%</f>
        <v>0</v>
      </c>
      <c r="V227" s="277">
        <f>638695200*0%</f>
        <v>0</v>
      </c>
      <c r="W227" s="277">
        <f>1974165000*0%</f>
        <v>0</v>
      </c>
      <c r="X227" s="277">
        <f>359248200*0%</f>
        <v>0</v>
      </c>
      <c r="Y227" s="277"/>
      <c r="Z227" s="277">
        <f t="shared" ref="Z227" si="498">+Z225*0%</f>
        <v>0</v>
      </c>
      <c r="AA227" s="281">
        <f t="shared" si="480"/>
        <v>0</v>
      </c>
      <c r="AB227" s="403">
        <f t="shared" si="475"/>
        <v>0</v>
      </c>
      <c r="AC227" s="326" t="e">
        <f t="shared" si="479"/>
        <v>#DIV/0!</v>
      </c>
    </row>
    <row r="228" spans="1:29" ht="38.25" hidden="1" x14ac:dyDescent="0.2">
      <c r="A228" s="424"/>
      <c r="B228" s="323" t="s">
        <v>671</v>
      </c>
      <c r="C228" s="206" t="s">
        <v>672</v>
      </c>
      <c r="D228" s="324">
        <v>939032499.99999976</v>
      </c>
      <c r="E228" s="325">
        <f>SUM('ADICIONES  2021'!C228:N228)</f>
        <v>0</v>
      </c>
      <c r="F228" s="277">
        <f>+F225*11.665%</f>
        <v>0</v>
      </c>
      <c r="G228" s="277">
        <f t="shared" ref="G228:J228" si="499">+G225*11.665%</f>
        <v>0</v>
      </c>
      <c r="H228" s="277">
        <f t="shared" si="499"/>
        <v>0</v>
      </c>
      <c r="I228" s="277">
        <f t="shared" si="499"/>
        <v>0</v>
      </c>
      <c r="J228" s="277">
        <f t="shared" si="499"/>
        <v>0</v>
      </c>
      <c r="K228" s="281">
        <f t="shared" si="468"/>
        <v>939032499.99999976</v>
      </c>
      <c r="L228" s="277">
        <f>1211239200*11.665%</f>
        <v>141291052.67999998</v>
      </c>
      <c r="M228" s="277">
        <f>322089552*11.665%</f>
        <v>37571746.240799993</v>
      </c>
      <c r="N228" s="277">
        <f>1741614540*11.665%</f>
        <v>203159336.09099999</v>
      </c>
      <c r="O228" s="277">
        <f>21028200*11.665%</f>
        <v>2452939.5299999998</v>
      </c>
      <c r="P228" s="277">
        <f>468037200*11.665%</f>
        <v>54596539.379999995</v>
      </c>
      <c r="Q228" s="277">
        <f>723406800*11.665%</f>
        <v>84385403.219999999</v>
      </c>
      <c r="R228" s="281">
        <f t="shared" si="474"/>
        <v>523457017.14179993</v>
      </c>
      <c r="S228" s="277">
        <f>1919940000*11.665%</f>
        <v>223961000.99999997</v>
      </c>
      <c r="T228" s="277">
        <f>284298000*11.665%</f>
        <v>33163361.699999996</v>
      </c>
      <c r="U228" s="277">
        <f>2543729400*11.665%</f>
        <v>296726034.50999999</v>
      </c>
      <c r="V228" s="277">
        <f>638695200*11.665%</f>
        <v>74503795.079999998</v>
      </c>
      <c r="W228" s="277">
        <f>1974165000*11.665%</f>
        <v>230286347.24999997</v>
      </c>
      <c r="X228" s="277">
        <f>359248200*11.665%</f>
        <v>41906302.529999994</v>
      </c>
      <c r="Y228" s="277">
        <v>82528859.209999993</v>
      </c>
      <c r="Z228" s="277">
        <f t="shared" ref="Z228" si="500">+Z225*11.665%</f>
        <v>0</v>
      </c>
      <c r="AA228" s="281">
        <f t="shared" si="480"/>
        <v>983075701.27999997</v>
      </c>
      <c r="AB228" s="403">
        <f t="shared" si="475"/>
        <v>1506532718.4217999</v>
      </c>
      <c r="AC228" s="326">
        <f t="shared" si="479"/>
        <v>1.6043456626067791</v>
      </c>
    </row>
    <row r="229" spans="1:29" ht="38.25" hidden="1" x14ac:dyDescent="0.2">
      <c r="A229" s="424"/>
      <c r="B229" s="323" t="s">
        <v>673</v>
      </c>
      <c r="C229" s="206" t="s">
        <v>674</v>
      </c>
      <c r="D229" s="324">
        <v>694000000</v>
      </c>
      <c r="E229" s="325">
        <f>SUM('ADICIONES  2021'!C229:N229)</f>
        <v>0</v>
      </c>
      <c r="F229" s="277">
        <f>+F225*0%</f>
        <v>0</v>
      </c>
      <c r="G229" s="277">
        <f t="shared" ref="G229:J229" si="501">+G225*0%</f>
        <v>0</v>
      </c>
      <c r="H229" s="277">
        <f t="shared" si="501"/>
        <v>0</v>
      </c>
      <c r="I229" s="277">
        <f t="shared" si="501"/>
        <v>0</v>
      </c>
      <c r="J229" s="277">
        <f t="shared" si="501"/>
        <v>0</v>
      </c>
      <c r="K229" s="281">
        <f t="shared" si="468"/>
        <v>694000000</v>
      </c>
      <c r="L229" s="277">
        <v>979596126</v>
      </c>
      <c r="M229" s="277">
        <v>0</v>
      </c>
      <c r="N229" s="277">
        <v>0</v>
      </c>
      <c r="O229" s="277"/>
      <c r="P229" s="277"/>
      <c r="Q229" s="277"/>
      <c r="R229" s="281">
        <f t="shared" si="474"/>
        <v>979596126</v>
      </c>
      <c r="S229" s="277"/>
      <c r="T229" s="277"/>
      <c r="U229" s="277"/>
      <c r="V229" s="277"/>
      <c r="W229" s="277"/>
      <c r="X229" s="277"/>
      <c r="Y229" s="277"/>
      <c r="Z229" s="277"/>
      <c r="AA229" s="281">
        <f t="shared" si="480"/>
        <v>0</v>
      </c>
      <c r="AB229" s="403">
        <f t="shared" si="475"/>
        <v>979596126</v>
      </c>
      <c r="AC229" s="326">
        <v>0</v>
      </c>
    </row>
    <row r="230" spans="1:29" ht="38.25" hidden="1" x14ac:dyDescent="0.2">
      <c r="A230" s="424"/>
      <c r="B230" s="323" t="s">
        <v>675</v>
      </c>
      <c r="C230" s="206" t="s">
        <v>676</v>
      </c>
      <c r="D230" s="324">
        <v>4890066193.0966997</v>
      </c>
      <c r="E230" s="325">
        <f>SUM('ADICIONES  2021'!C230:N230)</f>
        <v>0</v>
      </c>
      <c r="F230" s="277">
        <f>+F225*60.7461638894%</f>
        <v>0</v>
      </c>
      <c r="G230" s="277">
        <f t="shared" ref="G230:J230" si="502">+G225*60.7461638894%</f>
        <v>0</v>
      </c>
      <c r="H230" s="277">
        <f t="shared" si="502"/>
        <v>0</v>
      </c>
      <c r="I230" s="277">
        <f t="shared" si="502"/>
        <v>0</v>
      </c>
      <c r="J230" s="277">
        <f t="shared" si="502"/>
        <v>0</v>
      </c>
      <c r="K230" s="281">
        <f t="shared" si="468"/>
        <v>4890066193.0966997</v>
      </c>
      <c r="L230" s="277">
        <f>1211239200*60.7461638894%</f>
        <v>735781349.52465749</v>
      </c>
      <c r="M230" s="277">
        <f>322089552*60.7461638894%</f>
        <v>195657047.12855425</v>
      </c>
      <c r="N230" s="277">
        <f>1741614540*60.7461638894%</f>
        <v>1057964022.79002</v>
      </c>
      <c r="O230" s="277">
        <f>21028200*60.7461638894%</f>
        <v>12773824.834990812</v>
      </c>
      <c r="P230" s="277">
        <f>468037200*60.7461638894%</f>
        <v>284314644.57535887</v>
      </c>
      <c r="Q230" s="277">
        <f>723406800*60.7461638894%</f>
        <v>439441880.31506413</v>
      </c>
      <c r="R230" s="281">
        <f t="shared" si="474"/>
        <v>2725932769.1686454</v>
      </c>
      <c r="S230" s="277">
        <f>1919940000*60.7461638894%</f>
        <v>1166289898.9781466</v>
      </c>
      <c r="T230" s="277">
        <f>284298000*60.7461638894%</f>
        <v>172700129.01428643</v>
      </c>
      <c r="U230" s="277">
        <f>2543729400*60.7461638894%</f>
        <v>1545218030.2268515</v>
      </c>
      <c r="V230" s="277">
        <f>638695200*60.7461638894%</f>
        <v>387982832.94573116</v>
      </c>
      <c r="W230" s="277">
        <f>1974165000*60.7461638894%</f>
        <v>1199229506.3471737</v>
      </c>
      <c r="X230" s="277">
        <f>359248200*60.7461638894%</f>
        <v>218229500.34171951</v>
      </c>
      <c r="Y230" s="277"/>
      <c r="Z230" s="277">
        <f t="shared" ref="Z230" si="503">+Z225*60.7461638894%</f>
        <v>0</v>
      </c>
      <c r="AA230" s="281">
        <f t="shared" si="480"/>
        <v>4689649897.8539095</v>
      </c>
      <c r="AB230" s="403">
        <f t="shared" si="475"/>
        <v>7415582667.0225544</v>
      </c>
      <c r="AC230" s="326">
        <v>0</v>
      </c>
    </row>
    <row r="231" spans="1:29" ht="38.25" hidden="1" x14ac:dyDescent="0.2">
      <c r="A231" s="424"/>
      <c r="B231" s="323" t="s">
        <v>677</v>
      </c>
      <c r="C231" s="206" t="s">
        <v>678</v>
      </c>
      <c r="D231" s="324">
        <v>6171935</v>
      </c>
      <c r="E231" s="325">
        <f>SUM('ADICIONES  2021'!C231:N231)</f>
        <v>0</v>
      </c>
      <c r="F231" s="277">
        <f>+F225*0.07667%</f>
        <v>0</v>
      </c>
      <c r="G231" s="277">
        <f t="shared" ref="G231:J231" si="504">+G225*0.07667%</f>
        <v>0</v>
      </c>
      <c r="H231" s="277">
        <f t="shared" si="504"/>
        <v>0</v>
      </c>
      <c r="I231" s="277">
        <f t="shared" si="504"/>
        <v>0</v>
      </c>
      <c r="J231" s="277">
        <f t="shared" si="504"/>
        <v>0</v>
      </c>
      <c r="K231" s="281">
        <f t="shared" si="468"/>
        <v>6171935</v>
      </c>
      <c r="L231" s="277">
        <f>1211239200*0.07667%</f>
        <v>928657.09464000002</v>
      </c>
      <c r="M231" s="277">
        <f>322089552*0.07667%</f>
        <v>246946.05951840003</v>
      </c>
      <c r="N231" s="277">
        <f>1741614540*0.07667%</f>
        <v>1335295.867818</v>
      </c>
      <c r="O231" s="277">
        <f>21028200*0.07667%</f>
        <v>16122.320940000001</v>
      </c>
      <c r="P231" s="277">
        <f>468037200*0.07667%</f>
        <v>358844.12124000001</v>
      </c>
      <c r="Q231" s="277">
        <f>723406800*0.07667%</f>
        <v>554635.99355999997</v>
      </c>
      <c r="R231" s="281">
        <f t="shared" si="474"/>
        <v>3440501.4577164003</v>
      </c>
      <c r="S231" s="277">
        <f>1919940000*0.07667%</f>
        <v>1472017.9980000001</v>
      </c>
      <c r="T231" s="277">
        <f>284298000*0.07667%</f>
        <v>217971.27660000001</v>
      </c>
      <c r="U231" s="277">
        <f>2543729400*0.07667%</f>
        <v>1950277.3309800001</v>
      </c>
      <c r="V231" s="277">
        <f>638695200*0.07667%</f>
        <v>489687.60984000005</v>
      </c>
      <c r="W231" s="277">
        <f>1974165000*0.07667%</f>
        <v>1513592.3055</v>
      </c>
      <c r="X231" s="277">
        <f>359248200*0.07667%</f>
        <v>275435.59494000004</v>
      </c>
      <c r="Y231" s="277"/>
      <c r="Z231" s="277">
        <f t="shared" ref="Z231" si="505">+Z225*0.07667%</f>
        <v>0</v>
      </c>
      <c r="AA231" s="281">
        <f t="shared" si="480"/>
        <v>5918982.1158600003</v>
      </c>
      <c r="AB231" s="403">
        <f t="shared" si="475"/>
        <v>9359483.5735764001</v>
      </c>
      <c r="AC231" s="326">
        <f t="shared" si="479"/>
        <v>1.5164585455900621</v>
      </c>
    </row>
    <row r="232" spans="1:29" ht="38.25" hidden="1" x14ac:dyDescent="0.2">
      <c r="A232" s="424"/>
      <c r="B232" s="323" t="s">
        <v>679</v>
      </c>
      <c r="C232" s="206" t="s">
        <v>282</v>
      </c>
      <c r="D232" s="324">
        <v>616576306.5</v>
      </c>
      <c r="E232" s="325">
        <f>SUM('ADICIONES  2021'!C232:N232)</f>
        <v>0</v>
      </c>
      <c r="F232" s="277">
        <f>+F225*7.659333%</f>
        <v>0</v>
      </c>
      <c r="G232" s="277">
        <f t="shared" ref="G232:J232" si="506">+G225*7.659333%</f>
        <v>0</v>
      </c>
      <c r="H232" s="277">
        <f t="shared" si="506"/>
        <v>0</v>
      </c>
      <c r="I232" s="277">
        <f t="shared" si="506"/>
        <v>0</v>
      </c>
      <c r="J232" s="277">
        <f t="shared" si="506"/>
        <v>0</v>
      </c>
      <c r="K232" s="281">
        <f t="shared" si="468"/>
        <v>616576306.5</v>
      </c>
      <c r="L232" s="277">
        <f>1211239200*7.659333%</f>
        <v>92772843.754536003</v>
      </c>
      <c r="M232" s="277">
        <f>322089552*7.659333%</f>
        <v>24669911.34588816</v>
      </c>
      <c r="N232" s="277">
        <f>1741614540*7.659333%</f>
        <v>133396057.1950182</v>
      </c>
      <c r="O232" s="277">
        <f>21028200*7.659333%</f>
        <v>1610619.8619059999</v>
      </c>
      <c r="P232" s="277">
        <f>468037200*7.659333%</f>
        <v>35848527.711875997</v>
      </c>
      <c r="Q232" s="277">
        <f>723406800*7.659333%</f>
        <v>55408135.756644003</v>
      </c>
      <c r="R232" s="281">
        <f t="shared" si="474"/>
        <v>343706095.62586838</v>
      </c>
      <c r="S232" s="277">
        <f>1919940000*7.659333%</f>
        <v>147054598.0002</v>
      </c>
      <c r="T232" s="277">
        <f>284298000*7.659333%</f>
        <v>21775330.532340001</v>
      </c>
      <c r="U232" s="277">
        <f>2543729400*7.659333%</f>
        <v>194832705.36490199</v>
      </c>
      <c r="V232" s="277">
        <f>638695200*7.659333%</f>
        <v>48919792.223016001</v>
      </c>
      <c r="W232" s="277">
        <f>1974165000*7.659333%</f>
        <v>151207871.31944999</v>
      </c>
      <c r="X232" s="277">
        <f>359248200*7.659333%</f>
        <v>27516015.934505999</v>
      </c>
      <c r="Y232" s="277"/>
      <c r="Z232" s="277">
        <f t="shared" ref="Z232" si="507">+Z225*7.659333%</f>
        <v>0</v>
      </c>
      <c r="AA232" s="281">
        <f t="shared" si="480"/>
        <v>591306313.37441397</v>
      </c>
      <c r="AB232" s="403">
        <f t="shared" si="475"/>
        <v>935012409.00028229</v>
      </c>
      <c r="AC232" s="326">
        <f t="shared" si="479"/>
        <v>1.5164585455900621</v>
      </c>
    </row>
    <row r="233" spans="1:29" ht="38.25" hidden="1" x14ac:dyDescent="0.2">
      <c r="A233" s="424"/>
      <c r="B233" s="323" t="s">
        <v>680</v>
      </c>
      <c r="C233" s="206" t="s">
        <v>283</v>
      </c>
      <c r="D233" s="324">
        <v>110983735.17</v>
      </c>
      <c r="E233" s="325">
        <f>SUM('ADICIONES  2021'!C233:N233)</f>
        <v>0</v>
      </c>
      <c r="F233" s="277">
        <f>+F225*1.37867994%</f>
        <v>0</v>
      </c>
      <c r="G233" s="277">
        <f t="shared" ref="G233:J233" si="508">+G225*1.37867994%</f>
        <v>0</v>
      </c>
      <c r="H233" s="277">
        <f t="shared" si="508"/>
        <v>0</v>
      </c>
      <c r="I233" s="277">
        <f t="shared" si="508"/>
        <v>0</v>
      </c>
      <c r="J233" s="277">
        <f t="shared" si="508"/>
        <v>0</v>
      </c>
      <c r="K233" s="281">
        <f t="shared" si="468"/>
        <v>110983735.17</v>
      </c>
      <c r="L233" s="277">
        <f>1211239200*1.37867994%</f>
        <v>16699111.875816481</v>
      </c>
      <c r="M233" s="277">
        <f>322089552*1.37867994%</f>
        <v>4440584.0422598692</v>
      </c>
      <c r="N233" s="277">
        <f>1741614540*1.37867994%</f>
        <v>24011290.295103278</v>
      </c>
      <c r="O233" s="277">
        <f>21028200*1.37867994%</f>
        <v>289911.57514308003</v>
      </c>
      <c r="P233" s="277">
        <f>468037200*1.37867994%</f>
        <v>6452734.9881376801</v>
      </c>
      <c r="Q233" s="277">
        <f>723406800*1.37867994%</f>
        <v>9973464.4361959212</v>
      </c>
      <c r="R233" s="281">
        <f t="shared" si="474"/>
        <v>61867097.212656304</v>
      </c>
      <c r="S233" s="277">
        <f>1919940000*1.37867994%</f>
        <v>26469827.640036002</v>
      </c>
      <c r="T233" s="277">
        <f>284298000*1.37867994%</f>
        <v>3919559.4958212003</v>
      </c>
      <c r="U233" s="277">
        <f>2543729400*1.37867994%</f>
        <v>35069886.965682365</v>
      </c>
      <c r="V233" s="277">
        <f>638695200*1.37867994%</f>
        <v>8805562.6001428813</v>
      </c>
      <c r="W233" s="277">
        <f>1974165000*1.37867994%</f>
        <v>27217416.837501001</v>
      </c>
      <c r="X233" s="277">
        <f>359248200*1.37867994%</f>
        <v>4952882.8682110803</v>
      </c>
      <c r="Y233" s="277"/>
      <c r="Z233" s="277">
        <f t="shared" ref="Z233" si="509">+Z225*1.37867994%</f>
        <v>0</v>
      </c>
      <c r="AA233" s="281">
        <f t="shared" si="480"/>
        <v>106435136.40739453</v>
      </c>
      <c r="AB233" s="403">
        <f t="shared" si="475"/>
        <v>168302233.62005085</v>
      </c>
      <c r="AC233" s="326">
        <f t="shared" si="479"/>
        <v>1.5164585455900623</v>
      </c>
    </row>
    <row r="234" spans="1:29" ht="38.25" hidden="1" x14ac:dyDescent="0.2">
      <c r="A234" s="424"/>
      <c r="B234" s="323" t="s">
        <v>681</v>
      </c>
      <c r="C234" s="206" t="s">
        <v>682</v>
      </c>
      <c r="D234" s="324">
        <v>54382030.2333</v>
      </c>
      <c r="E234" s="325">
        <f>SUM('ADICIONES  2021'!C234:N234)</f>
        <v>0</v>
      </c>
      <c r="F234" s="277">
        <f>+F225*0.6755531706%</f>
        <v>0</v>
      </c>
      <c r="G234" s="277">
        <f t="shared" ref="G234:J234" si="510">+G225*0.6755531706%</f>
        <v>0</v>
      </c>
      <c r="H234" s="277">
        <f t="shared" si="510"/>
        <v>0</v>
      </c>
      <c r="I234" s="277">
        <f t="shared" si="510"/>
        <v>0</v>
      </c>
      <c r="J234" s="277">
        <f t="shared" si="510"/>
        <v>0</v>
      </c>
      <c r="K234" s="281">
        <f t="shared" si="468"/>
        <v>54382030.2333</v>
      </c>
      <c r="L234" s="277">
        <f>1211239200*0.6755531706%</f>
        <v>8182564.8191500753</v>
      </c>
      <c r="M234" s="277">
        <f>322089552*0.6755531706%</f>
        <v>2175886.1807073359</v>
      </c>
      <c r="N234" s="277">
        <f>1741614540*0.6755531706%</f>
        <v>11765532.244600605</v>
      </c>
      <c r="O234" s="277">
        <f>21028200*0.6755531706%</f>
        <v>142056.67182010922</v>
      </c>
      <c r="P234" s="277">
        <f>468037200*0.6755531706%</f>
        <v>3161840.1441874634</v>
      </c>
      <c r="Q234" s="277">
        <f>723406800*0.6755531706%</f>
        <v>4886997.5737360008</v>
      </c>
      <c r="R234" s="281">
        <f t="shared" si="474"/>
        <v>30314877.63420159</v>
      </c>
      <c r="S234" s="277">
        <f>1919940000*0.6755531706%</f>
        <v>12970215.54361764</v>
      </c>
      <c r="T234" s="277">
        <f>284298000*0.6755531706%</f>
        <v>1920584.1529523882</v>
      </c>
      <c r="U234" s="277">
        <f>2543729400*0.6755531706%</f>
        <v>17184244.613184355</v>
      </c>
      <c r="V234" s="277">
        <f>638695200*0.6755531706%</f>
        <v>4314725.6740700109</v>
      </c>
      <c r="W234" s="277">
        <f>1974165000*0.6755531706%</f>
        <v>13336534.250375491</v>
      </c>
      <c r="X234" s="277">
        <f>359248200*0.6755531706%</f>
        <v>2426912.605423429</v>
      </c>
      <c r="Y234" s="277"/>
      <c r="Z234" s="277">
        <f t="shared" ref="Z234" si="511">+Z225*0.6755531706%</f>
        <v>0</v>
      </c>
      <c r="AA234" s="281">
        <f t="shared" si="480"/>
        <v>52153216.83962331</v>
      </c>
      <c r="AB234" s="403">
        <f t="shared" si="475"/>
        <v>82468094.473824903</v>
      </c>
      <c r="AC234" s="326">
        <f t="shared" si="479"/>
        <v>1.5164585455900621</v>
      </c>
    </row>
    <row r="235" spans="1:29" ht="38.25" hidden="1" x14ac:dyDescent="0.2">
      <c r="A235" s="424"/>
      <c r="B235" s="323" t="s">
        <v>683</v>
      </c>
      <c r="C235" s="206" t="s">
        <v>684</v>
      </c>
      <c r="D235" s="324">
        <v>493754800</v>
      </c>
      <c r="E235" s="325">
        <f>SUM('ADICIONES  2021'!C235:N235)</f>
        <v>0</v>
      </c>
      <c r="F235" s="277">
        <f>+F225*6.1336%</f>
        <v>0</v>
      </c>
      <c r="G235" s="277">
        <f t="shared" ref="G235:J235" si="512">+G225*6.1336%</f>
        <v>0</v>
      </c>
      <c r="H235" s="277">
        <f t="shared" si="512"/>
        <v>0</v>
      </c>
      <c r="I235" s="277">
        <f t="shared" si="512"/>
        <v>0</v>
      </c>
      <c r="J235" s="277">
        <f t="shared" si="512"/>
        <v>0</v>
      </c>
      <c r="K235" s="281">
        <f t="shared" si="468"/>
        <v>493754800</v>
      </c>
      <c r="L235" s="277">
        <f>1211239200*6.1336%</f>
        <v>74292567.571199998</v>
      </c>
      <c r="M235" s="277">
        <f>322089552*6.1336%</f>
        <v>19755684.761472002</v>
      </c>
      <c r="N235" s="277">
        <f>1741614540*6.1336%</f>
        <v>106823669.42544</v>
      </c>
      <c r="O235" s="277">
        <f>21028200*6.1336%</f>
        <v>1289785.6751999999</v>
      </c>
      <c r="P235" s="277">
        <f>468037200*6.1336%</f>
        <v>28707529.699200001</v>
      </c>
      <c r="Q235" s="277">
        <f>723406800*6.1336%</f>
        <v>44370879.484800003</v>
      </c>
      <c r="R235" s="281">
        <f t="shared" si="474"/>
        <v>275240116.61731201</v>
      </c>
      <c r="S235" s="277">
        <f>1919940000*6.1336%</f>
        <v>117761439.84</v>
      </c>
      <c r="T235" s="277">
        <f>284298000*6.1336%</f>
        <v>17437702.127999999</v>
      </c>
      <c r="U235" s="277">
        <f>2543729400*6.1336%</f>
        <v>156022186.47839999</v>
      </c>
      <c r="V235" s="277">
        <f>638695200*6.1336%</f>
        <v>39175008.787200004</v>
      </c>
      <c r="W235" s="277">
        <f>1974165000*6.1336%</f>
        <v>121087384.44</v>
      </c>
      <c r="X235" s="277">
        <f>359248200*6.1336%</f>
        <v>22034847.595200002</v>
      </c>
      <c r="Y235" s="277"/>
      <c r="Z235" s="277">
        <f t="shared" ref="Z235" si="513">+Z225*6.1336%</f>
        <v>0</v>
      </c>
      <c r="AA235" s="281">
        <f t="shared" si="480"/>
        <v>473518569.26880002</v>
      </c>
      <c r="AB235" s="403">
        <f t="shared" si="475"/>
        <v>748758685.88611197</v>
      </c>
      <c r="AC235" s="326">
        <f t="shared" si="479"/>
        <v>1.5164585455900621</v>
      </c>
    </row>
    <row r="236" spans="1:29" s="61" customFormat="1" ht="25.5" hidden="1" x14ac:dyDescent="0.2">
      <c r="A236" s="425"/>
      <c r="B236" s="318" t="s">
        <v>685</v>
      </c>
      <c r="C236" s="319" t="s">
        <v>686</v>
      </c>
      <c r="D236" s="283">
        <f>SUM(D237:D246)</f>
        <v>3047557500</v>
      </c>
      <c r="E236" s="322">
        <f>SUM('ADICIONES  2021'!C236:N236)</f>
        <v>0</v>
      </c>
      <c r="F236" s="275"/>
      <c r="G236" s="275"/>
      <c r="H236" s="275"/>
      <c r="I236" s="275"/>
      <c r="J236" s="275"/>
      <c r="K236" s="276">
        <f t="shared" si="468"/>
        <v>3047557500</v>
      </c>
      <c r="L236" s="275">
        <v>0</v>
      </c>
      <c r="M236" s="275">
        <v>0</v>
      </c>
      <c r="N236" s="275">
        <v>0</v>
      </c>
      <c r="O236" s="275">
        <v>0</v>
      </c>
      <c r="P236" s="275">
        <v>0</v>
      </c>
      <c r="Q236" s="275"/>
      <c r="R236" s="276">
        <f t="shared" si="474"/>
        <v>0</v>
      </c>
      <c r="S236" s="275">
        <v>0</v>
      </c>
      <c r="T236" s="275">
        <v>0</v>
      </c>
      <c r="U236" s="275"/>
      <c r="V236" s="275"/>
      <c r="W236" s="275"/>
      <c r="X236" s="275"/>
      <c r="Y236" s="275"/>
      <c r="Z236" s="275"/>
      <c r="AA236" s="276">
        <f t="shared" si="480"/>
        <v>0</v>
      </c>
      <c r="AB236" s="402">
        <f t="shared" si="475"/>
        <v>0</v>
      </c>
      <c r="AC236" s="321">
        <f t="shared" si="479"/>
        <v>0</v>
      </c>
    </row>
    <row r="237" spans="1:29" ht="38.25" hidden="1" x14ac:dyDescent="0.2">
      <c r="A237" s="424"/>
      <c r="B237" s="323" t="s">
        <v>687</v>
      </c>
      <c r="C237" s="206" t="s">
        <v>279</v>
      </c>
      <c r="D237" s="324"/>
      <c r="E237" s="325">
        <f>SUM('ADICIONES  2021'!C237:N237)</f>
        <v>0</v>
      </c>
      <c r="F237" s="277">
        <f>+F236*0%</f>
        <v>0</v>
      </c>
      <c r="G237" s="277">
        <f t="shared" ref="G237:J237" si="514">+G236*0%</f>
        <v>0</v>
      </c>
      <c r="H237" s="277">
        <f t="shared" si="514"/>
        <v>0</v>
      </c>
      <c r="I237" s="277">
        <f t="shared" si="514"/>
        <v>0</v>
      </c>
      <c r="J237" s="277">
        <f t="shared" si="514"/>
        <v>0</v>
      </c>
      <c r="K237" s="281">
        <f t="shared" si="468"/>
        <v>0</v>
      </c>
      <c r="L237" s="277">
        <f t="shared" ref="L237:Q237" si="515">+L236*0%</f>
        <v>0</v>
      </c>
      <c r="M237" s="277">
        <f t="shared" si="515"/>
        <v>0</v>
      </c>
      <c r="N237" s="277">
        <f t="shared" si="515"/>
        <v>0</v>
      </c>
      <c r="O237" s="277">
        <f t="shared" si="515"/>
        <v>0</v>
      </c>
      <c r="P237" s="277">
        <f t="shared" si="515"/>
        <v>0</v>
      </c>
      <c r="Q237" s="277">
        <f t="shared" si="515"/>
        <v>0</v>
      </c>
      <c r="R237" s="281">
        <f t="shared" si="474"/>
        <v>0</v>
      </c>
      <c r="S237" s="277">
        <f t="shared" ref="S237:Z237" si="516">+S236*0%</f>
        <v>0</v>
      </c>
      <c r="T237" s="277">
        <f t="shared" si="516"/>
        <v>0</v>
      </c>
      <c r="U237" s="277">
        <f t="shared" si="516"/>
        <v>0</v>
      </c>
      <c r="V237" s="277">
        <f t="shared" si="516"/>
        <v>0</v>
      </c>
      <c r="W237" s="277">
        <f t="shared" si="516"/>
        <v>0</v>
      </c>
      <c r="X237" s="277">
        <f t="shared" si="516"/>
        <v>0</v>
      </c>
      <c r="Y237" s="277">
        <f t="shared" si="516"/>
        <v>0</v>
      </c>
      <c r="Z237" s="277">
        <f t="shared" si="516"/>
        <v>0</v>
      </c>
      <c r="AA237" s="281">
        <f t="shared" si="480"/>
        <v>0</v>
      </c>
      <c r="AB237" s="403">
        <f t="shared" si="475"/>
        <v>0</v>
      </c>
      <c r="AC237" s="326" t="e">
        <f t="shared" si="479"/>
        <v>#DIV/0!</v>
      </c>
    </row>
    <row r="238" spans="1:29" ht="38.25" hidden="1" x14ac:dyDescent="0.2">
      <c r="A238" s="424"/>
      <c r="B238" s="323" t="s">
        <v>688</v>
      </c>
      <c r="C238" s="206" t="s">
        <v>280</v>
      </c>
      <c r="D238" s="324">
        <v>0</v>
      </c>
      <c r="E238" s="325">
        <f>SUM('ADICIONES  2021'!C238:N238)</f>
        <v>0</v>
      </c>
      <c r="F238" s="277">
        <f>+F236*0%</f>
        <v>0</v>
      </c>
      <c r="G238" s="277">
        <f t="shared" ref="G238:J238" si="517">+G236*0%</f>
        <v>0</v>
      </c>
      <c r="H238" s="277">
        <f t="shared" si="517"/>
        <v>0</v>
      </c>
      <c r="I238" s="277">
        <f t="shared" si="517"/>
        <v>0</v>
      </c>
      <c r="J238" s="277">
        <f t="shared" si="517"/>
        <v>0</v>
      </c>
      <c r="K238" s="281">
        <f t="shared" si="468"/>
        <v>0</v>
      </c>
      <c r="L238" s="277">
        <f t="shared" ref="L238:Q238" si="518">+L236*0%</f>
        <v>0</v>
      </c>
      <c r="M238" s="277">
        <f t="shared" si="518"/>
        <v>0</v>
      </c>
      <c r="N238" s="277">
        <f t="shared" si="518"/>
        <v>0</v>
      </c>
      <c r="O238" s="277">
        <f t="shared" si="518"/>
        <v>0</v>
      </c>
      <c r="P238" s="277">
        <f t="shared" si="518"/>
        <v>0</v>
      </c>
      <c r="Q238" s="277">
        <f t="shared" si="518"/>
        <v>0</v>
      </c>
      <c r="R238" s="281">
        <f t="shared" si="474"/>
        <v>0</v>
      </c>
      <c r="S238" s="277">
        <f t="shared" ref="S238:Z238" si="519">+S236*0%</f>
        <v>0</v>
      </c>
      <c r="T238" s="277">
        <f t="shared" si="519"/>
        <v>0</v>
      </c>
      <c r="U238" s="277">
        <f t="shared" si="519"/>
        <v>0</v>
      </c>
      <c r="V238" s="277">
        <f t="shared" si="519"/>
        <v>0</v>
      </c>
      <c r="W238" s="277">
        <f t="shared" si="519"/>
        <v>0</v>
      </c>
      <c r="X238" s="277">
        <f t="shared" si="519"/>
        <v>0</v>
      </c>
      <c r="Y238" s="277">
        <f t="shared" si="519"/>
        <v>0</v>
      </c>
      <c r="Z238" s="277">
        <f t="shared" si="519"/>
        <v>0</v>
      </c>
      <c r="AA238" s="281">
        <f t="shared" si="480"/>
        <v>0</v>
      </c>
      <c r="AB238" s="403">
        <f t="shared" si="475"/>
        <v>0</v>
      </c>
      <c r="AC238" s="326" t="e">
        <f t="shared" si="479"/>
        <v>#DIV/0!</v>
      </c>
    </row>
    <row r="239" spans="1:29" ht="38.25" hidden="1" x14ac:dyDescent="0.2">
      <c r="A239" s="424"/>
      <c r="B239" s="323" t="s">
        <v>689</v>
      </c>
      <c r="C239" s="206" t="s">
        <v>672</v>
      </c>
      <c r="D239" s="324">
        <v>402442499.99999994</v>
      </c>
      <c r="E239" s="325">
        <f>SUM('ADICIONES  2021'!C239:N239)</f>
        <v>0</v>
      </c>
      <c r="F239" s="277">
        <f>+F236*11.665%</f>
        <v>0</v>
      </c>
      <c r="G239" s="277">
        <f t="shared" ref="G239:J239" si="520">+G236*11.665%</f>
        <v>0</v>
      </c>
      <c r="H239" s="277">
        <f t="shared" si="520"/>
        <v>0</v>
      </c>
      <c r="I239" s="277">
        <f t="shared" si="520"/>
        <v>0</v>
      </c>
      <c r="J239" s="277">
        <f t="shared" si="520"/>
        <v>0</v>
      </c>
      <c r="K239" s="281">
        <f t="shared" si="468"/>
        <v>402442499.99999994</v>
      </c>
      <c r="L239" s="277">
        <f t="shared" ref="L239:Q239" si="521">+L236*11.665%</f>
        <v>0</v>
      </c>
      <c r="M239" s="277">
        <f t="shared" si="521"/>
        <v>0</v>
      </c>
      <c r="N239" s="277">
        <f t="shared" si="521"/>
        <v>0</v>
      </c>
      <c r="O239" s="277">
        <f t="shared" si="521"/>
        <v>0</v>
      </c>
      <c r="P239" s="277">
        <f t="shared" si="521"/>
        <v>0</v>
      </c>
      <c r="Q239" s="277">
        <f t="shared" si="521"/>
        <v>0</v>
      </c>
      <c r="R239" s="281">
        <f t="shared" si="474"/>
        <v>0</v>
      </c>
      <c r="S239" s="277">
        <f t="shared" ref="S239:Z239" si="522">+S236*11.665%</f>
        <v>0</v>
      </c>
      <c r="T239" s="277">
        <f t="shared" si="522"/>
        <v>0</v>
      </c>
      <c r="U239" s="277">
        <f t="shared" si="522"/>
        <v>0</v>
      </c>
      <c r="V239" s="277">
        <f t="shared" si="522"/>
        <v>0</v>
      </c>
      <c r="W239" s="277">
        <f t="shared" si="522"/>
        <v>0</v>
      </c>
      <c r="X239" s="277">
        <f t="shared" si="522"/>
        <v>0</v>
      </c>
      <c r="Y239" s="277">
        <f t="shared" si="522"/>
        <v>0</v>
      </c>
      <c r="Z239" s="277">
        <f t="shared" si="522"/>
        <v>0</v>
      </c>
      <c r="AA239" s="281">
        <f t="shared" si="480"/>
        <v>0</v>
      </c>
      <c r="AB239" s="403">
        <f t="shared" si="475"/>
        <v>0</v>
      </c>
      <c r="AC239" s="326">
        <f t="shared" si="479"/>
        <v>0</v>
      </c>
    </row>
    <row r="240" spans="1:29" ht="38.25" hidden="1" x14ac:dyDescent="0.2">
      <c r="A240" s="424"/>
      <c r="B240" s="323" t="s">
        <v>690</v>
      </c>
      <c r="C240" s="206" t="s">
        <v>674</v>
      </c>
      <c r="D240" s="324">
        <v>0</v>
      </c>
      <c r="E240" s="325">
        <f>SUM('ADICIONES  2021'!C240:N240)</f>
        <v>0</v>
      </c>
      <c r="F240" s="277">
        <f>+F236*0%</f>
        <v>0</v>
      </c>
      <c r="G240" s="277">
        <f t="shared" ref="G240:J240" si="523">+G236*0%</f>
        <v>0</v>
      </c>
      <c r="H240" s="277">
        <f t="shared" si="523"/>
        <v>0</v>
      </c>
      <c r="I240" s="277">
        <f t="shared" si="523"/>
        <v>0</v>
      </c>
      <c r="J240" s="277">
        <f t="shared" si="523"/>
        <v>0</v>
      </c>
      <c r="K240" s="281">
        <f t="shared" si="468"/>
        <v>0</v>
      </c>
      <c r="L240" s="277">
        <f t="shared" ref="L240:Q240" si="524">+L236*0%</f>
        <v>0</v>
      </c>
      <c r="M240" s="277">
        <f t="shared" si="524"/>
        <v>0</v>
      </c>
      <c r="N240" s="277">
        <f t="shared" si="524"/>
        <v>0</v>
      </c>
      <c r="O240" s="277">
        <f t="shared" si="524"/>
        <v>0</v>
      </c>
      <c r="P240" s="277">
        <f t="shared" si="524"/>
        <v>0</v>
      </c>
      <c r="Q240" s="277">
        <f t="shared" si="524"/>
        <v>0</v>
      </c>
      <c r="R240" s="281">
        <f t="shared" si="474"/>
        <v>0</v>
      </c>
      <c r="S240" s="277">
        <f t="shared" ref="S240:Z240" si="525">+S236*0%</f>
        <v>0</v>
      </c>
      <c r="T240" s="277">
        <f t="shared" si="525"/>
        <v>0</v>
      </c>
      <c r="U240" s="277">
        <f t="shared" si="525"/>
        <v>0</v>
      </c>
      <c r="V240" s="277">
        <f t="shared" si="525"/>
        <v>0</v>
      </c>
      <c r="W240" s="277">
        <f t="shared" si="525"/>
        <v>0</v>
      </c>
      <c r="X240" s="277">
        <f t="shared" si="525"/>
        <v>0</v>
      </c>
      <c r="Y240" s="277">
        <f t="shared" si="525"/>
        <v>0</v>
      </c>
      <c r="Z240" s="277">
        <f t="shared" si="525"/>
        <v>0</v>
      </c>
      <c r="AA240" s="281">
        <f t="shared" si="480"/>
        <v>0</v>
      </c>
      <c r="AB240" s="403">
        <f t="shared" si="475"/>
        <v>0</v>
      </c>
      <c r="AC240" s="326" t="e">
        <f t="shared" si="479"/>
        <v>#DIV/0!</v>
      </c>
    </row>
    <row r="241" spans="1:29" ht="38.25" hidden="1" x14ac:dyDescent="0.2">
      <c r="A241" s="424"/>
      <c r="B241" s="323" t="s">
        <v>691</v>
      </c>
      <c r="C241" s="206" t="s">
        <v>281</v>
      </c>
      <c r="D241" s="324">
        <v>2095742654.1842999</v>
      </c>
      <c r="E241" s="325">
        <f>SUM('ADICIONES  2021'!C241:N241)</f>
        <v>0</v>
      </c>
      <c r="F241" s="277">
        <f>+F236*60.7461638894%</f>
        <v>0</v>
      </c>
      <c r="G241" s="277">
        <f t="shared" ref="G241:J241" si="526">+G236*60.7461638894%</f>
        <v>0</v>
      </c>
      <c r="H241" s="277">
        <f t="shared" si="526"/>
        <v>0</v>
      </c>
      <c r="I241" s="277">
        <f t="shared" si="526"/>
        <v>0</v>
      </c>
      <c r="J241" s="277">
        <f t="shared" si="526"/>
        <v>0</v>
      </c>
      <c r="K241" s="281">
        <f t="shared" si="468"/>
        <v>2095742654.1842999</v>
      </c>
      <c r="L241" s="277">
        <f t="shared" ref="L241:Q241" si="527">+L236*60.7461638894%</f>
        <v>0</v>
      </c>
      <c r="M241" s="277">
        <f t="shared" si="527"/>
        <v>0</v>
      </c>
      <c r="N241" s="277">
        <f t="shared" si="527"/>
        <v>0</v>
      </c>
      <c r="O241" s="277">
        <f t="shared" si="527"/>
        <v>0</v>
      </c>
      <c r="P241" s="277">
        <f t="shared" si="527"/>
        <v>0</v>
      </c>
      <c r="Q241" s="277">
        <f t="shared" si="527"/>
        <v>0</v>
      </c>
      <c r="R241" s="281">
        <f t="shared" si="474"/>
        <v>0</v>
      </c>
      <c r="S241" s="277">
        <f t="shared" ref="S241:Z241" si="528">+S236*60.7461638894%</f>
        <v>0</v>
      </c>
      <c r="T241" s="277">
        <f t="shared" si="528"/>
        <v>0</v>
      </c>
      <c r="U241" s="277">
        <f t="shared" si="528"/>
        <v>0</v>
      </c>
      <c r="V241" s="277">
        <f t="shared" si="528"/>
        <v>0</v>
      </c>
      <c r="W241" s="277">
        <f t="shared" si="528"/>
        <v>0</v>
      </c>
      <c r="X241" s="277">
        <f t="shared" si="528"/>
        <v>0</v>
      </c>
      <c r="Y241" s="277">
        <f t="shared" si="528"/>
        <v>0</v>
      </c>
      <c r="Z241" s="277">
        <f t="shared" si="528"/>
        <v>0</v>
      </c>
      <c r="AA241" s="281">
        <f t="shared" si="480"/>
        <v>0</v>
      </c>
      <c r="AB241" s="403">
        <f t="shared" si="475"/>
        <v>0</v>
      </c>
      <c r="AC241" s="326">
        <f t="shared" si="479"/>
        <v>0</v>
      </c>
    </row>
    <row r="242" spans="1:29" ht="38.25" hidden="1" x14ac:dyDescent="0.2">
      <c r="A242" s="424"/>
      <c r="B242" s="323" t="s">
        <v>692</v>
      </c>
      <c r="C242" s="206" t="s">
        <v>678</v>
      </c>
      <c r="D242" s="324">
        <v>2645115</v>
      </c>
      <c r="E242" s="325">
        <f>SUM('ADICIONES  2021'!C242:N242)</f>
        <v>0</v>
      </c>
      <c r="F242" s="277">
        <f>+F236*0.07667%</f>
        <v>0</v>
      </c>
      <c r="G242" s="277">
        <f t="shared" ref="G242:J242" si="529">+G236*0.07667%</f>
        <v>0</v>
      </c>
      <c r="H242" s="277">
        <f t="shared" si="529"/>
        <v>0</v>
      </c>
      <c r="I242" s="277">
        <f t="shared" si="529"/>
        <v>0</v>
      </c>
      <c r="J242" s="277">
        <f t="shared" si="529"/>
        <v>0</v>
      </c>
      <c r="K242" s="281">
        <f t="shared" si="468"/>
        <v>2645115</v>
      </c>
      <c r="L242" s="277">
        <f t="shared" ref="L242:Q242" si="530">+L236*0.07667%</f>
        <v>0</v>
      </c>
      <c r="M242" s="277">
        <f t="shared" si="530"/>
        <v>0</v>
      </c>
      <c r="N242" s="277">
        <f t="shared" si="530"/>
        <v>0</v>
      </c>
      <c r="O242" s="277">
        <f t="shared" si="530"/>
        <v>0</v>
      </c>
      <c r="P242" s="277">
        <f t="shared" si="530"/>
        <v>0</v>
      </c>
      <c r="Q242" s="277">
        <f t="shared" si="530"/>
        <v>0</v>
      </c>
      <c r="R242" s="281">
        <f t="shared" si="474"/>
        <v>0</v>
      </c>
      <c r="S242" s="277">
        <f t="shared" ref="S242:Z242" si="531">+S236*0.07667%</f>
        <v>0</v>
      </c>
      <c r="T242" s="277">
        <f t="shared" si="531"/>
        <v>0</v>
      </c>
      <c r="U242" s="277">
        <f t="shared" si="531"/>
        <v>0</v>
      </c>
      <c r="V242" s="277">
        <f t="shared" si="531"/>
        <v>0</v>
      </c>
      <c r="W242" s="277">
        <f t="shared" si="531"/>
        <v>0</v>
      </c>
      <c r="X242" s="277">
        <f t="shared" si="531"/>
        <v>0</v>
      </c>
      <c r="Y242" s="277">
        <f t="shared" si="531"/>
        <v>0</v>
      </c>
      <c r="Z242" s="277">
        <f t="shared" si="531"/>
        <v>0</v>
      </c>
      <c r="AA242" s="281">
        <f t="shared" si="480"/>
        <v>0</v>
      </c>
      <c r="AB242" s="403">
        <f t="shared" si="475"/>
        <v>0</v>
      </c>
      <c r="AC242" s="326">
        <f t="shared" si="479"/>
        <v>0</v>
      </c>
    </row>
    <row r="243" spans="1:29" ht="38.25" hidden="1" x14ac:dyDescent="0.2">
      <c r="A243" s="424"/>
      <c r="B243" s="323" t="s">
        <v>693</v>
      </c>
      <c r="C243" s="206" t="s">
        <v>282</v>
      </c>
      <c r="D243" s="324">
        <v>264246988.5</v>
      </c>
      <c r="E243" s="325">
        <f>SUM('ADICIONES  2021'!C243:N243)</f>
        <v>0</v>
      </c>
      <c r="F243" s="277">
        <f>+F236*7.659333%</f>
        <v>0</v>
      </c>
      <c r="G243" s="277">
        <f t="shared" ref="G243:J243" si="532">+G236*7.659333%</f>
        <v>0</v>
      </c>
      <c r="H243" s="277">
        <f t="shared" si="532"/>
        <v>0</v>
      </c>
      <c r="I243" s="277">
        <f t="shared" si="532"/>
        <v>0</v>
      </c>
      <c r="J243" s="277">
        <f t="shared" si="532"/>
        <v>0</v>
      </c>
      <c r="K243" s="281">
        <f t="shared" si="468"/>
        <v>264246988.5</v>
      </c>
      <c r="L243" s="277">
        <f t="shared" ref="L243:Q243" si="533">+L236*7.659333%</f>
        <v>0</v>
      </c>
      <c r="M243" s="277">
        <f t="shared" si="533"/>
        <v>0</v>
      </c>
      <c r="N243" s="277">
        <f t="shared" si="533"/>
        <v>0</v>
      </c>
      <c r="O243" s="277">
        <f t="shared" si="533"/>
        <v>0</v>
      </c>
      <c r="P243" s="277">
        <f t="shared" si="533"/>
        <v>0</v>
      </c>
      <c r="Q243" s="277">
        <f t="shared" si="533"/>
        <v>0</v>
      </c>
      <c r="R243" s="281">
        <f t="shared" si="474"/>
        <v>0</v>
      </c>
      <c r="S243" s="277">
        <f t="shared" ref="S243:Z243" si="534">+S236*7.659333%</f>
        <v>0</v>
      </c>
      <c r="T243" s="277">
        <f t="shared" si="534"/>
        <v>0</v>
      </c>
      <c r="U243" s="277">
        <f t="shared" si="534"/>
        <v>0</v>
      </c>
      <c r="V243" s="277">
        <f t="shared" si="534"/>
        <v>0</v>
      </c>
      <c r="W243" s="277">
        <f t="shared" si="534"/>
        <v>0</v>
      </c>
      <c r="X243" s="277">
        <f t="shared" si="534"/>
        <v>0</v>
      </c>
      <c r="Y243" s="277">
        <f t="shared" si="534"/>
        <v>0</v>
      </c>
      <c r="Z243" s="277">
        <f t="shared" si="534"/>
        <v>0</v>
      </c>
      <c r="AA243" s="281">
        <f t="shared" si="480"/>
        <v>0</v>
      </c>
      <c r="AB243" s="403">
        <f t="shared" si="475"/>
        <v>0</v>
      </c>
      <c r="AC243" s="326">
        <f t="shared" si="479"/>
        <v>0</v>
      </c>
    </row>
    <row r="244" spans="1:29" ht="38.25" hidden="1" x14ac:dyDescent="0.2">
      <c r="A244" s="424"/>
      <c r="B244" s="323" t="s">
        <v>694</v>
      </c>
      <c r="C244" s="206" t="s">
        <v>283</v>
      </c>
      <c r="D244" s="324">
        <v>47564457.93</v>
      </c>
      <c r="E244" s="325">
        <f>SUM('ADICIONES  2021'!C244:N244)</f>
        <v>0</v>
      </c>
      <c r="F244" s="277">
        <f>+F236*1.37867994%</f>
        <v>0</v>
      </c>
      <c r="G244" s="277">
        <f t="shared" ref="G244:J244" si="535">+G236*1.37867994%</f>
        <v>0</v>
      </c>
      <c r="H244" s="277">
        <f t="shared" si="535"/>
        <v>0</v>
      </c>
      <c r="I244" s="277">
        <f t="shared" si="535"/>
        <v>0</v>
      </c>
      <c r="J244" s="277">
        <f t="shared" si="535"/>
        <v>0</v>
      </c>
      <c r="K244" s="281">
        <f t="shared" si="468"/>
        <v>47564457.93</v>
      </c>
      <c r="L244" s="277">
        <f t="shared" ref="L244:Q244" si="536">+L236*1.37867994%</f>
        <v>0</v>
      </c>
      <c r="M244" s="277">
        <f t="shared" si="536"/>
        <v>0</v>
      </c>
      <c r="N244" s="277">
        <f t="shared" si="536"/>
        <v>0</v>
      </c>
      <c r="O244" s="277">
        <f t="shared" si="536"/>
        <v>0</v>
      </c>
      <c r="P244" s="277">
        <f t="shared" si="536"/>
        <v>0</v>
      </c>
      <c r="Q244" s="277">
        <f t="shared" si="536"/>
        <v>0</v>
      </c>
      <c r="R244" s="281">
        <f t="shared" si="474"/>
        <v>0</v>
      </c>
      <c r="S244" s="277">
        <f t="shared" ref="S244:Z244" si="537">+S236*1.37867994%</f>
        <v>0</v>
      </c>
      <c r="T244" s="277">
        <f t="shared" si="537"/>
        <v>0</v>
      </c>
      <c r="U244" s="277">
        <f t="shared" si="537"/>
        <v>0</v>
      </c>
      <c r="V244" s="277">
        <f t="shared" si="537"/>
        <v>0</v>
      </c>
      <c r="W244" s="277">
        <f t="shared" si="537"/>
        <v>0</v>
      </c>
      <c r="X244" s="277">
        <f t="shared" si="537"/>
        <v>0</v>
      </c>
      <c r="Y244" s="277">
        <f t="shared" si="537"/>
        <v>0</v>
      </c>
      <c r="Z244" s="277">
        <f t="shared" si="537"/>
        <v>0</v>
      </c>
      <c r="AA244" s="281">
        <f t="shared" si="480"/>
        <v>0</v>
      </c>
      <c r="AB244" s="403">
        <f t="shared" si="475"/>
        <v>0</v>
      </c>
      <c r="AC244" s="326">
        <f t="shared" si="479"/>
        <v>0</v>
      </c>
    </row>
    <row r="245" spans="1:29" ht="38.25" hidden="1" x14ac:dyDescent="0.2">
      <c r="A245" s="424"/>
      <c r="B245" s="323" t="s">
        <v>695</v>
      </c>
      <c r="C245" s="206" t="s">
        <v>682</v>
      </c>
      <c r="D245" s="324">
        <v>23306584.385700002</v>
      </c>
      <c r="E245" s="325">
        <f>SUM('ADICIONES  2021'!C245:N245)</f>
        <v>0</v>
      </c>
      <c r="F245" s="277">
        <f>+F236*0.6755531706%</f>
        <v>0</v>
      </c>
      <c r="G245" s="277">
        <f t="shared" ref="G245:J245" si="538">+G236*0.6755531706%</f>
        <v>0</v>
      </c>
      <c r="H245" s="277">
        <f t="shared" si="538"/>
        <v>0</v>
      </c>
      <c r="I245" s="277">
        <f t="shared" si="538"/>
        <v>0</v>
      </c>
      <c r="J245" s="277">
        <f t="shared" si="538"/>
        <v>0</v>
      </c>
      <c r="K245" s="281">
        <f t="shared" si="468"/>
        <v>23306584.385700002</v>
      </c>
      <c r="L245" s="277">
        <f t="shared" ref="L245:Q245" si="539">+L236*0.6755531706%</f>
        <v>0</v>
      </c>
      <c r="M245" s="277">
        <f t="shared" si="539"/>
        <v>0</v>
      </c>
      <c r="N245" s="277">
        <f t="shared" si="539"/>
        <v>0</v>
      </c>
      <c r="O245" s="277">
        <f t="shared" si="539"/>
        <v>0</v>
      </c>
      <c r="P245" s="277">
        <f t="shared" si="539"/>
        <v>0</v>
      </c>
      <c r="Q245" s="277">
        <f t="shared" si="539"/>
        <v>0</v>
      </c>
      <c r="R245" s="281">
        <f t="shared" si="474"/>
        <v>0</v>
      </c>
      <c r="S245" s="277">
        <f t="shared" ref="S245:Z245" si="540">+S236*0.6755531706%</f>
        <v>0</v>
      </c>
      <c r="T245" s="277">
        <f t="shared" si="540"/>
        <v>0</v>
      </c>
      <c r="U245" s="277">
        <f t="shared" si="540"/>
        <v>0</v>
      </c>
      <c r="V245" s="277">
        <f t="shared" si="540"/>
        <v>0</v>
      </c>
      <c r="W245" s="277">
        <f t="shared" si="540"/>
        <v>0</v>
      </c>
      <c r="X245" s="277">
        <f t="shared" si="540"/>
        <v>0</v>
      </c>
      <c r="Y245" s="277">
        <f t="shared" si="540"/>
        <v>0</v>
      </c>
      <c r="Z245" s="277">
        <f t="shared" si="540"/>
        <v>0</v>
      </c>
      <c r="AA245" s="281">
        <f t="shared" si="480"/>
        <v>0</v>
      </c>
      <c r="AB245" s="403">
        <f t="shared" si="475"/>
        <v>0</v>
      </c>
      <c r="AC245" s="326">
        <f t="shared" si="479"/>
        <v>0</v>
      </c>
    </row>
    <row r="246" spans="1:29" ht="38.25" hidden="1" x14ac:dyDescent="0.2">
      <c r="A246" s="424"/>
      <c r="B246" s="323" t="s">
        <v>696</v>
      </c>
      <c r="C246" s="206" t="s">
        <v>684</v>
      </c>
      <c r="D246" s="324">
        <v>211609200</v>
      </c>
      <c r="E246" s="325">
        <f>SUM('ADICIONES  2021'!C246:N246)</f>
        <v>0</v>
      </c>
      <c r="F246" s="277">
        <f>+F236*6.1336%</f>
        <v>0</v>
      </c>
      <c r="G246" s="277">
        <f t="shared" ref="G246:J246" si="541">+G236*6.1336%</f>
        <v>0</v>
      </c>
      <c r="H246" s="277">
        <f t="shared" si="541"/>
        <v>0</v>
      </c>
      <c r="I246" s="277">
        <f t="shared" si="541"/>
        <v>0</v>
      </c>
      <c r="J246" s="277">
        <f t="shared" si="541"/>
        <v>0</v>
      </c>
      <c r="K246" s="281">
        <f t="shared" si="468"/>
        <v>211609200</v>
      </c>
      <c r="L246" s="277">
        <f t="shared" ref="L246:Q246" si="542">+L236*6.1336%</f>
        <v>0</v>
      </c>
      <c r="M246" s="277">
        <f t="shared" si="542"/>
        <v>0</v>
      </c>
      <c r="N246" s="277">
        <f t="shared" si="542"/>
        <v>0</v>
      </c>
      <c r="O246" s="277">
        <f t="shared" si="542"/>
        <v>0</v>
      </c>
      <c r="P246" s="277">
        <f t="shared" si="542"/>
        <v>0</v>
      </c>
      <c r="Q246" s="277">
        <f t="shared" si="542"/>
        <v>0</v>
      </c>
      <c r="R246" s="281">
        <f t="shared" si="474"/>
        <v>0</v>
      </c>
      <c r="S246" s="277">
        <f t="shared" ref="S246:Z246" si="543">+S236*6.1336%</f>
        <v>0</v>
      </c>
      <c r="T246" s="277">
        <f t="shared" si="543"/>
        <v>0</v>
      </c>
      <c r="U246" s="277">
        <f t="shared" si="543"/>
        <v>0</v>
      </c>
      <c r="V246" s="277">
        <f t="shared" si="543"/>
        <v>0</v>
      </c>
      <c r="W246" s="277">
        <f t="shared" si="543"/>
        <v>0</v>
      </c>
      <c r="X246" s="277">
        <f t="shared" si="543"/>
        <v>0</v>
      </c>
      <c r="Y246" s="277">
        <f t="shared" si="543"/>
        <v>0</v>
      </c>
      <c r="Z246" s="277">
        <f t="shared" si="543"/>
        <v>0</v>
      </c>
      <c r="AA246" s="281">
        <f t="shared" si="480"/>
        <v>0</v>
      </c>
      <c r="AB246" s="403">
        <f t="shared" si="475"/>
        <v>0</v>
      </c>
      <c r="AC246" s="326">
        <f t="shared" si="479"/>
        <v>0</v>
      </c>
    </row>
    <row r="247" spans="1:29" s="185" customFormat="1" ht="19.5" x14ac:dyDescent="0.2">
      <c r="A247" s="182">
        <v>1</v>
      </c>
      <c r="B247" s="312" t="s">
        <v>697</v>
      </c>
      <c r="C247" s="313" t="s">
        <v>85</v>
      </c>
      <c r="D247" s="335">
        <f>+D254+D348+D605+D248+D251+D611+D337+D343+D696</f>
        <v>124388897000</v>
      </c>
      <c r="E247" s="320">
        <f>SUM('ADICIONES  2021'!C247:N247)</f>
        <v>361975024458.90991</v>
      </c>
      <c r="F247" s="335">
        <f t="shared" ref="F247:J247" si="544">+F254+F348+F605+F248+F251+F611+F337+F343+F696</f>
        <v>1950062900</v>
      </c>
      <c r="G247" s="335">
        <f t="shared" si="544"/>
        <v>0</v>
      </c>
      <c r="H247" s="335">
        <f t="shared" si="544"/>
        <v>3129206267</v>
      </c>
      <c r="I247" s="335">
        <f t="shared" si="544"/>
        <v>0</v>
      </c>
      <c r="J247" s="335">
        <f t="shared" si="544"/>
        <v>0</v>
      </c>
      <c r="K247" s="316">
        <f t="shared" si="468"/>
        <v>481284652291.90991</v>
      </c>
      <c r="L247" s="335">
        <f t="shared" ref="L247:Q247" si="545">+L254+L348+L605+L248+L251+L611+L337+L343+L696</f>
        <v>434962185.77999991</v>
      </c>
      <c r="M247" s="335">
        <f t="shared" si="545"/>
        <v>599361430.99000013</v>
      </c>
      <c r="N247" s="335">
        <f t="shared" si="545"/>
        <v>8071853555.3299999</v>
      </c>
      <c r="O247" s="335">
        <f t="shared" si="545"/>
        <v>818757609.36999989</v>
      </c>
      <c r="P247" s="335">
        <f t="shared" si="545"/>
        <v>145307816836.19998</v>
      </c>
      <c r="Q247" s="335">
        <f t="shared" si="545"/>
        <v>15022756802.869999</v>
      </c>
      <c r="R247" s="316">
        <f t="shared" si="474"/>
        <v>170255508420.53998</v>
      </c>
      <c r="S247" s="335">
        <f t="shared" ref="S247:Z247" si="546">+S254+S348+S605+S248+S251+S611+S337+S343+S696</f>
        <v>537808084.79999995</v>
      </c>
      <c r="T247" s="335">
        <f t="shared" si="546"/>
        <v>12399937491.67</v>
      </c>
      <c r="U247" s="335">
        <f t="shared" si="546"/>
        <v>27377900434.049999</v>
      </c>
      <c r="V247" s="335">
        <f t="shared" si="546"/>
        <v>369569017.87999994</v>
      </c>
      <c r="W247" s="335">
        <f t="shared" si="546"/>
        <v>27466240891.110001</v>
      </c>
      <c r="X247" s="335">
        <f t="shared" si="546"/>
        <v>66059834453.540001</v>
      </c>
      <c r="Y247" s="335">
        <f t="shared" si="546"/>
        <v>0</v>
      </c>
      <c r="Z247" s="335">
        <f t="shared" si="546"/>
        <v>0</v>
      </c>
      <c r="AA247" s="316">
        <f>SUM(S247:Z247)</f>
        <v>134211290373.04999</v>
      </c>
      <c r="AB247" s="401">
        <f t="shared" si="475"/>
        <v>304466798793.58997</v>
      </c>
      <c r="AC247" s="317">
        <f t="shared" si="479"/>
        <v>0.63261273207798874</v>
      </c>
    </row>
    <row r="248" spans="1:29" s="61" customFormat="1" ht="15.75" hidden="1" x14ac:dyDescent="0.2">
      <c r="A248" s="425"/>
      <c r="B248" s="318" t="s">
        <v>698</v>
      </c>
      <c r="C248" s="319" t="s">
        <v>699</v>
      </c>
      <c r="D248" s="333">
        <f t="shared" ref="D248:S249" si="547">+D249</f>
        <v>0</v>
      </c>
      <c r="E248" s="325">
        <f>SUM('ADICIONES  2021'!C248:N248)</f>
        <v>0</v>
      </c>
      <c r="F248" s="282">
        <f t="shared" si="547"/>
        <v>0</v>
      </c>
      <c r="G248" s="282">
        <f t="shared" si="547"/>
        <v>0</v>
      </c>
      <c r="H248" s="282">
        <f t="shared" si="547"/>
        <v>0</v>
      </c>
      <c r="I248" s="282">
        <f t="shared" si="547"/>
        <v>0</v>
      </c>
      <c r="J248" s="282">
        <f t="shared" si="547"/>
        <v>0</v>
      </c>
      <c r="K248" s="276">
        <f t="shared" si="468"/>
        <v>0</v>
      </c>
      <c r="L248" s="282">
        <f t="shared" si="547"/>
        <v>0</v>
      </c>
      <c r="M248" s="282">
        <f t="shared" si="547"/>
        <v>0</v>
      </c>
      <c r="N248" s="282">
        <f t="shared" si="547"/>
        <v>0</v>
      </c>
      <c r="O248" s="282">
        <f t="shared" si="547"/>
        <v>0</v>
      </c>
      <c r="P248" s="282">
        <f t="shared" si="547"/>
        <v>0</v>
      </c>
      <c r="Q248" s="282">
        <f t="shared" si="547"/>
        <v>0</v>
      </c>
      <c r="R248" s="276">
        <f t="shared" si="474"/>
        <v>0</v>
      </c>
      <c r="S248" s="282">
        <f t="shared" si="547"/>
        <v>0</v>
      </c>
      <c r="T248" s="282">
        <f t="shared" ref="S248:Z249" si="548">+T249</f>
        <v>0</v>
      </c>
      <c r="U248" s="282">
        <f t="shared" si="548"/>
        <v>0</v>
      </c>
      <c r="V248" s="282">
        <f t="shared" si="548"/>
        <v>0</v>
      </c>
      <c r="W248" s="282">
        <f t="shared" si="548"/>
        <v>0</v>
      </c>
      <c r="X248" s="282">
        <f t="shared" si="548"/>
        <v>0</v>
      </c>
      <c r="Y248" s="282">
        <f t="shared" si="548"/>
        <v>0</v>
      </c>
      <c r="Z248" s="282">
        <f t="shared" si="548"/>
        <v>0</v>
      </c>
      <c r="AA248" s="276">
        <f t="shared" si="480"/>
        <v>0</v>
      </c>
      <c r="AB248" s="402">
        <f t="shared" si="475"/>
        <v>0</v>
      </c>
      <c r="AC248" s="321" t="e">
        <f t="shared" si="479"/>
        <v>#DIV/0!</v>
      </c>
    </row>
    <row r="249" spans="1:29" s="61" customFormat="1" ht="25.5" hidden="1" x14ac:dyDescent="0.2">
      <c r="A249" s="425"/>
      <c r="B249" s="318" t="s">
        <v>700</v>
      </c>
      <c r="C249" s="319" t="s">
        <v>701</v>
      </c>
      <c r="D249" s="333">
        <f t="shared" si="547"/>
        <v>0</v>
      </c>
      <c r="E249" s="322">
        <f>SUM('ADICIONES  2021'!C249:N249)</f>
        <v>0</v>
      </c>
      <c r="F249" s="282">
        <f t="shared" si="547"/>
        <v>0</v>
      </c>
      <c r="G249" s="282">
        <f t="shared" si="547"/>
        <v>0</v>
      </c>
      <c r="H249" s="282">
        <f t="shared" si="547"/>
        <v>0</v>
      </c>
      <c r="I249" s="282">
        <f t="shared" si="547"/>
        <v>0</v>
      </c>
      <c r="J249" s="282">
        <f t="shared" si="547"/>
        <v>0</v>
      </c>
      <c r="K249" s="276">
        <f t="shared" si="468"/>
        <v>0</v>
      </c>
      <c r="L249" s="282">
        <f t="shared" si="547"/>
        <v>0</v>
      </c>
      <c r="M249" s="282">
        <f t="shared" si="547"/>
        <v>0</v>
      </c>
      <c r="N249" s="282">
        <f t="shared" si="547"/>
        <v>0</v>
      </c>
      <c r="O249" s="282">
        <f t="shared" si="547"/>
        <v>0</v>
      </c>
      <c r="P249" s="282">
        <f t="shared" si="547"/>
        <v>0</v>
      </c>
      <c r="Q249" s="282">
        <f t="shared" si="547"/>
        <v>0</v>
      </c>
      <c r="R249" s="276">
        <f t="shared" si="474"/>
        <v>0</v>
      </c>
      <c r="S249" s="282">
        <f t="shared" si="548"/>
        <v>0</v>
      </c>
      <c r="T249" s="282">
        <f t="shared" si="548"/>
        <v>0</v>
      </c>
      <c r="U249" s="282">
        <f t="shared" si="548"/>
        <v>0</v>
      </c>
      <c r="V249" s="282">
        <f t="shared" si="548"/>
        <v>0</v>
      </c>
      <c r="W249" s="282">
        <f t="shared" si="548"/>
        <v>0</v>
      </c>
      <c r="X249" s="282">
        <f t="shared" si="548"/>
        <v>0</v>
      </c>
      <c r="Y249" s="282">
        <f t="shared" si="548"/>
        <v>0</v>
      </c>
      <c r="Z249" s="282">
        <f t="shared" si="548"/>
        <v>0</v>
      </c>
      <c r="AA249" s="276">
        <f t="shared" si="480"/>
        <v>0</v>
      </c>
      <c r="AB249" s="402">
        <f t="shared" si="475"/>
        <v>0</v>
      </c>
      <c r="AC249" s="321" t="e">
        <f t="shared" si="479"/>
        <v>#DIV/0!</v>
      </c>
    </row>
    <row r="250" spans="1:29" ht="14.25" hidden="1" x14ac:dyDescent="0.2">
      <c r="A250" s="424"/>
      <c r="B250" s="323" t="s">
        <v>702</v>
      </c>
      <c r="C250" s="206" t="s">
        <v>262</v>
      </c>
      <c r="D250" s="324">
        <v>0</v>
      </c>
      <c r="E250" s="325">
        <f>SUM('ADICIONES  2021'!C250:N250)</f>
        <v>0</v>
      </c>
      <c r="F250" s="277"/>
      <c r="G250" s="277"/>
      <c r="H250" s="277"/>
      <c r="I250" s="277"/>
      <c r="J250" s="277"/>
      <c r="K250" s="281">
        <f t="shared" si="468"/>
        <v>0</v>
      </c>
      <c r="L250" s="277"/>
      <c r="M250" s="277"/>
      <c r="N250" s="277"/>
      <c r="O250" s="277"/>
      <c r="P250" s="277"/>
      <c r="Q250" s="277"/>
      <c r="R250" s="281">
        <f t="shared" si="474"/>
        <v>0</v>
      </c>
      <c r="S250" s="277"/>
      <c r="T250" s="277"/>
      <c r="U250" s="277"/>
      <c r="V250" s="277"/>
      <c r="W250" s="277"/>
      <c r="X250" s="277"/>
      <c r="Y250" s="277"/>
      <c r="Z250" s="277"/>
      <c r="AA250" s="281">
        <f t="shared" si="480"/>
        <v>0</v>
      </c>
      <c r="AB250" s="403">
        <f t="shared" si="475"/>
        <v>0</v>
      </c>
      <c r="AC250" s="326" t="e">
        <f t="shared" si="479"/>
        <v>#DIV/0!</v>
      </c>
    </row>
    <row r="251" spans="1:29" s="61" customFormat="1" ht="25.5" hidden="1" x14ac:dyDescent="0.2">
      <c r="A251" s="425"/>
      <c r="B251" s="318" t="s">
        <v>703</v>
      </c>
      <c r="C251" s="319" t="s">
        <v>704</v>
      </c>
      <c r="D251" s="283">
        <f>+D252</f>
        <v>33000000000</v>
      </c>
      <c r="E251" s="322">
        <f>SUM('ADICIONES  2021'!C251:N251)</f>
        <v>0</v>
      </c>
      <c r="F251" s="336">
        <f t="shared" ref="F251:J252" si="549">+F252</f>
        <v>1950062900</v>
      </c>
      <c r="G251" s="275">
        <f t="shared" si="549"/>
        <v>0</v>
      </c>
      <c r="H251" s="275">
        <f t="shared" si="549"/>
        <v>0</v>
      </c>
      <c r="I251" s="275">
        <f t="shared" si="549"/>
        <v>0</v>
      </c>
      <c r="J251" s="275">
        <f t="shared" si="549"/>
        <v>0</v>
      </c>
      <c r="K251" s="276">
        <f t="shared" si="468"/>
        <v>31049937100</v>
      </c>
      <c r="L251" s="275">
        <f t="shared" ref="L251:Q252" si="550">+L252</f>
        <v>0</v>
      </c>
      <c r="M251" s="275">
        <f t="shared" si="550"/>
        <v>0</v>
      </c>
      <c r="N251" s="275">
        <f t="shared" si="550"/>
        <v>0</v>
      </c>
      <c r="O251" s="275">
        <f t="shared" si="550"/>
        <v>0</v>
      </c>
      <c r="P251" s="275">
        <f t="shared" si="550"/>
        <v>0</v>
      </c>
      <c r="Q251" s="275">
        <f t="shared" si="550"/>
        <v>14592787518</v>
      </c>
      <c r="R251" s="276">
        <f t="shared" si="474"/>
        <v>14592787518</v>
      </c>
      <c r="S251" s="275">
        <f t="shared" ref="S251:Z252" si="551">+S252</f>
        <v>0</v>
      </c>
      <c r="T251" s="275">
        <f t="shared" si="551"/>
        <v>0</v>
      </c>
      <c r="U251" s="275">
        <f t="shared" si="551"/>
        <v>0</v>
      </c>
      <c r="V251" s="275">
        <f t="shared" si="551"/>
        <v>0</v>
      </c>
      <c r="W251" s="275">
        <f t="shared" si="551"/>
        <v>0</v>
      </c>
      <c r="X251" s="275">
        <f t="shared" si="551"/>
        <v>0</v>
      </c>
      <c r="Y251" s="275">
        <f t="shared" si="551"/>
        <v>0</v>
      </c>
      <c r="Z251" s="275">
        <f t="shared" si="551"/>
        <v>0</v>
      </c>
      <c r="AA251" s="276">
        <f t="shared" si="480"/>
        <v>0</v>
      </c>
      <c r="AB251" s="402">
        <f t="shared" si="475"/>
        <v>14592787518</v>
      </c>
      <c r="AC251" s="321">
        <f t="shared" si="479"/>
        <v>0.46997800578475246</v>
      </c>
    </row>
    <row r="252" spans="1:29" s="61" customFormat="1" ht="25.5" hidden="1" x14ac:dyDescent="0.2">
      <c r="A252" s="425"/>
      <c r="B252" s="318" t="s">
        <v>705</v>
      </c>
      <c r="C252" s="319" t="s">
        <v>701</v>
      </c>
      <c r="D252" s="283">
        <f>+D253</f>
        <v>33000000000</v>
      </c>
      <c r="E252" s="322">
        <f>SUM('ADICIONES  2021'!C252:N252)</f>
        <v>0</v>
      </c>
      <c r="F252" s="336">
        <f t="shared" si="549"/>
        <v>1950062900</v>
      </c>
      <c r="G252" s="275">
        <f t="shared" si="549"/>
        <v>0</v>
      </c>
      <c r="H252" s="275">
        <f t="shared" si="549"/>
        <v>0</v>
      </c>
      <c r="I252" s="275">
        <f t="shared" si="549"/>
        <v>0</v>
      </c>
      <c r="J252" s="275">
        <f t="shared" si="549"/>
        <v>0</v>
      </c>
      <c r="K252" s="276">
        <f t="shared" si="468"/>
        <v>31049937100</v>
      </c>
      <c r="L252" s="275">
        <f t="shared" si="550"/>
        <v>0</v>
      </c>
      <c r="M252" s="275">
        <f t="shared" si="550"/>
        <v>0</v>
      </c>
      <c r="N252" s="275">
        <f t="shared" si="550"/>
        <v>0</v>
      </c>
      <c r="O252" s="275">
        <f t="shared" si="550"/>
        <v>0</v>
      </c>
      <c r="P252" s="275">
        <f t="shared" si="550"/>
        <v>0</v>
      </c>
      <c r="Q252" s="275">
        <f t="shared" si="550"/>
        <v>14592787518</v>
      </c>
      <c r="R252" s="276">
        <f t="shared" si="474"/>
        <v>14592787518</v>
      </c>
      <c r="S252" s="275">
        <f t="shared" si="551"/>
        <v>0</v>
      </c>
      <c r="T252" s="275">
        <f t="shared" si="551"/>
        <v>0</v>
      </c>
      <c r="U252" s="275">
        <f t="shared" si="551"/>
        <v>0</v>
      </c>
      <c r="V252" s="275">
        <f t="shared" si="551"/>
        <v>0</v>
      </c>
      <c r="W252" s="275">
        <f t="shared" si="551"/>
        <v>0</v>
      </c>
      <c r="X252" s="275">
        <f t="shared" si="551"/>
        <v>0</v>
      </c>
      <c r="Y252" s="275">
        <f t="shared" si="551"/>
        <v>0</v>
      </c>
      <c r="Z252" s="275">
        <f t="shared" si="551"/>
        <v>0</v>
      </c>
      <c r="AA252" s="276">
        <f t="shared" si="480"/>
        <v>0</v>
      </c>
      <c r="AB252" s="402">
        <f t="shared" si="475"/>
        <v>14592787518</v>
      </c>
      <c r="AC252" s="321">
        <f t="shared" si="479"/>
        <v>0.46997800578475246</v>
      </c>
    </row>
    <row r="253" spans="1:29" ht="14.25" x14ac:dyDescent="0.2">
      <c r="A253" s="427">
        <v>1</v>
      </c>
      <c r="B253" s="323" t="s">
        <v>706</v>
      </c>
      <c r="C253" s="206" t="s">
        <v>103</v>
      </c>
      <c r="D253" s="324">
        <v>33000000000</v>
      </c>
      <c r="E253" s="325">
        <f>SUM('ADICIONES  2021'!C253:N253)</f>
        <v>0</v>
      </c>
      <c r="F253" s="281">
        <v>1950062900</v>
      </c>
      <c r="G253" s="281"/>
      <c r="H253" s="281"/>
      <c r="I253" s="281"/>
      <c r="J253" s="281"/>
      <c r="K253" s="281">
        <f t="shared" si="468"/>
        <v>31049937100</v>
      </c>
      <c r="L253" s="281"/>
      <c r="M253" s="281"/>
      <c r="N253" s="281"/>
      <c r="O253" s="281"/>
      <c r="P253" s="281"/>
      <c r="Q253" s="281">
        <v>14592787518</v>
      </c>
      <c r="R253" s="281">
        <f t="shared" si="474"/>
        <v>14592787518</v>
      </c>
      <c r="S253" s="281">
        <v>0</v>
      </c>
      <c r="T253" s="281"/>
      <c r="U253" s="281"/>
      <c r="V253" s="281"/>
      <c r="W253" s="281"/>
      <c r="X253" s="281"/>
      <c r="Y253" s="281"/>
      <c r="Z253" s="281"/>
      <c r="AA253" s="281">
        <f t="shared" si="480"/>
        <v>0</v>
      </c>
      <c r="AB253" s="403">
        <f t="shared" si="475"/>
        <v>14592787518</v>
      </c>
      <c r="AC253" s="326">
        <f t="shared" si="479"/>
        <v>0.46997800578475246</v>
      </c>
    </row>
    <row r="254" spans="1:29" s="5" customFormat="1" x14ac:dyDescent="0.2">
      <c r="A254" s="96">
        <v>1</v>
      </c>
      <c r="B254" s="172" t="s">
        <v>707</v>
      </c>
      <c r="C254" s="173" t="s">
        <v>708</v>
      </c>
      <c r="D254" s="283">
        <f>+D255</f>
        <v>3771000000</v>
      </c>
      <c r="E254" s="322">
        <f>SUM('ADICIONES  2021'!C254:N254)</f>
        <v>157849196.97</v>
      </c>
      <c r="F254" s="275">
        <f t="shared" ref="F254:J254" si="552">+F255</f>
        <v>0</v>
      </c>
      <c r="G254" s="275">
        <f t="shared" si="552"/>
        <v>0</v>
      </c>
      <c r="H254" s="275">
        <f t="shared" si="552"/>
        <v>0</v>
      </c>
      <c r="I254" s="275">
        <f t="shared" si="552"/>
        <v>0</v>
      </c>
      <c r="J254" s="275">
        <f t="shared" si="552"/>
        <v>0</v>
      </c>
      <c r="K254" s="123">
        <f t="shared" si="468"/>
        <v>3928849196.9699998</v>
      </c>
      <c r="L254" s="275">
        <f t="shared" ref="L254:Q254" si="553">+L255</f>
        <v>434962185.77999991</v>
      </c>
      <c r="M254" s="275">
        <f t="shared" si="553"/>
        <v>597443201.72000015</v>
      </c>
      <c r="N254" s="275">
        <f t="shared" si="553"/>
        <v>384125907.50999999</v>
      </c>
      <c r="O254" s="275">
        <f t="shared" si="553"/>
        <v>373960205.21999997</v>
      </c>
      <c r="P254" s="275">
        <f t="shared" si="553"/>
        <v>367723316.88999999</v>
      </c>
      <c r="Q254" s="275">
        <f t="shared" si="553"/>
        <v>400645927.72999996</v>
      </c>
      <c r="R254" s="123">
        <f t="shared" si="474"/>
        <v>2558860744.8499999</v>
      </c>
      <c r="S254" s="304">
        <f t="shared" ref="S254:Z254" si="554">+S255</f>
        <v>402030484.00999999</v>
      </c>
      <c r="T254" s="304">
        <f t="shared" si="554"/>
        <v>358365943.33999985</v>
      </c>
      <c r="U254" s="304">
        <f t="shared" si="554"/>
        <v>389743307.63</v>
      </c>
      <c r="V254" s="304">
        <f t="shared" si="554"/>
        <v>353705392.62999994</v>
      </c>
      <c r="W254" s="304">
        <f t="shared" si="554"/>
        <v>415646862.87</v>
      </c>
      <c r="X254" s="304">
        <f t="shared" si="554"/>
        <v>484547079.32000005</v>
      </c>
      <c r="Y254" s="304">
        <f t="shared" si="554"/>
        <v>0</v>
      </c>
      <c r="Z254" s="275">
        <f t="shared" si="554"/>
        <v>0</v>
      </c>
      <c r="AA254" s="276">
        <f t="shared" si="480"/>
        <v>2404039069.8000002</v>
      </c>
      <c r="AB254" s="432">
        <f t="shared" si="475"/>
        <v>4962899814.6499996</v>
      </c>
      <c r="AC254" s="163">
        <f t="shared" si="479"/>
        <v>1.2631942754324799</v>
      </c>
    </row>
    <row r="255" spans="1:29" s="61" customFormat="1" ht="15.75" hidden="1" x14ac:dyDescent="0.2">
      <c r="A255" s="425"/>
      <c r="B255" s="318" t="s">
        <v>709</v>
      </c>
      <c r="C255" s="319" t="s">
        <v>710</v>
      </c>
      <c r="D255" s="283">
        <f>+D256+D258+D259+D260+D261+D291+D292+D294+D295+D296+D297+D298+D300+D301+D302+D303+D304+D305+D306+D307+D308+D310+D311+D312+D313+D316+D317+D318+D319+D320+D321+D322+D323+D324+D325+D326+D327+D328+D329+D330+D331+D332+D299+D314+D340+D341+D333+D334+D257+D293+D309+D315+D335+D336</f>
        <v>3771000000</v>
      </c>
      <c r="E255" s="322">
        <f>SUM('ADICIONES  2021'!C255:N255)</f>
        <v>157849196.97</v>
      </c>
      <c r="F255" s="283">
        <f t="shared" ref="F255:J255" si="555">+F256+F258+F259+F260+F261+F291+F292+F294+F295+F296+F297+F298+F300+F301+F302+F303+F304+F305+F306+F307+F308+F310+F311+F312+F313+F316+F317+F318+F319+F320+F321+F322+F323+F324+F325+F326+F327+F328+F329+F330+F331+F332+F299+F314+F340+F341+F333+F334+F257+F293+F309+F315+F335+F336</f>
        <v>0</v>
      </c>
      <c r="G255" s="283">
        <f>+G256+G258+G259+G260+G261+G291+G292+G294+G295+G296+G297+G298+G300+G301+G302+G303+G304+G305+G306+G307+G308+G310+G311+G312+G313+G316+G317+G318+G319+G320+G321+G322+G323+G324+G325+G326+G327+G328+G329+G330+G331+G332+G299+G314+G340+G341+G333+G334+G257+G293+G309+G315+G335+G336</f>
        <v>0</v>
      </c>
      <c r="H255" s="283">
        <f t="shared" si="555"/>
        <v>0</v>
      </c>
      <c r="I255" s="283">
        <f t="shared" si="555"/>
        <v>0</v>
      </c>
      <c r="J255" s="283">
        <f t="shared" si="555"/>
        <v>0</v>
      </c>
      <c r="K255" s="276">
        <f t="shared" si="468"/>
        <v>3928849196.9699998</v>
      </c>
      <c r="L255" s="283">
        <f t="shared" ref="L255:Q255" si="556">+L256+L258+L259+L260+L261+L291+L292+L294+L295+L296+L297+L298+L300+L301+L302+L303+L304+L305+L306+L307+L308+L310+L311+L312+L313+L316+L317+L318+L319+L320+L321+L322+L323+L324+L325+L326+L327+L328+L329+L330+L331+L332+L299+L314+L340+L341+L333+L334+L257+L293+L309+L315+L335+L336</f>
        <v>434962185.77999991</v>
      </c>
      <c r="M255" s="283">
        <f t="shared" si="556"/>
        <v>597443201.72000015</v>
      </c>
      <c r="N255" s="283">
        <f t="shared" si="556"/>
        <v>384125907.50999999</v>
      </c>
      <c r="O255" s="283">
        <f t="shared" si="556"/>
        <v>373960205.21999997</v>
      </c>
      <c r="P255" s="283">
        <f t="shared" si="556"/>
        <v>367723316.88999999</v>
      </c>
      <c r="Q255" s="283">
        <f t="shared" si="556"/>
        <v>400645927.72999996</v>
      </c>
      <c r="R255" s="276">
        <f t="shared" si="474"/>
        <v>2558860744.8499999</v>
      </c>
      <c r="S255" s="283">
        <f t="shared" ref="S255:Z255" si="557">+S256+S258+S259+S260+S261+S291+S292+S294+S295+S296+S297+S298+S300+S301+S302+S303+S304+S305+S306+S307+S308+S310+S311+S312+S313+S316+S317+S318+S319+S320+S321+S322+S323+S324+S325+S326+S327+S328+S329+S330+S331+S332+S299+S314+S340+S341+S333+S334+S257+S293+S309+S315+S335+S336</f>
        <v>402030484.00999999</v>
      </c>
      <c r="T255" s="283">
        <f t="shared" si="557"/>
        <v>358365943.33999985</v>
      </c>
      <c r="U255" s="283">
        <f t="shared" si="557"/>
        <v>389743307.63</v>
      </c>
      <c r="V255" s="283">
        <f t="shared" si="557"/>
        <v>353705392.62999994</v>
      </c>
      <c r="W255" s="283">
        <f t="shared" si="557"/>
        <v>415646862.87</v>
      </c>
      <c r="X255" s="283">
        <f t="shared" si="557"/>
        <v>484547079.32000005</v>
      </c>
      <c r="Y255" s="283">
        <f t="shared" si="557"/>
        <v>0</v>
      </c>
      <c r="Z255" s="283">
        <f t="shared" si="557"/>
        <v>0</v>
      </c>
      <c r="AA255" s="276">
        <f t="shared" si="480"/>
        <v>2404039069.8000002</v>
      </c>
      <c r="AB255" s="402">
        <f t="shared" si="475"/>
        <v>4962899814.6499996</v>
      </c>
      <c r="AC255" s="321">
        <f t="shared" si="479"/>
        <v>1.2631942754324799</v>
      </c>
    </row>
    <row r="256" spans="1:29" ht="14.25" x14ac:dyDescent="0.2">
      <c r="A256" s="427">
        <v>1</v>
      </c>
      <c r="B256" s="323" t="s">
        <v>711</v>
      </c>
      <c r="C256" s="206" t="s">
        <v>86</v>
      </c>
      <c r="D256" s="332">
        <v>2100000000</v>
      </c>
      <c r="E256" s="325">
        <f>SUM('ADICIONES  2021'!C256:N256)</f>
        <v>0</v>
      </c>
      <c r="F256" s="281"/>
      <c r="G256" s="281"/>
      <c r="H256" s="281"/>
      <c r="I256" s="281"/>
      <c r="J256" s="281"/>
      <c r="K256" s="281">
        <f t="shared" si="468"/>
        <v>2100000000</v>
      </c>
      <c r="L256" s="281">
        <v>175120387.08000001</v>
      </c>
      <c r="M256" s="281">
        <v>388571902.63</v>
      </c>
      <c r="N256" s="281">
        <v>142431048.27000001</v>
      </c>
      <c r="O256" s="281">
        <v>156286912.09999999</v>
      </c>
      <c r="P256" s="281">
        <v>148813456.53999999</v>
      </c>
      <c r="Q256" s="281">
        <v>159961585.74000001</v>
      </c>
      <c r="R256" s="281">
        <f t="shared" si="474"/>
        <v>1171185292.3600001</v>
      </c>
      <c r="S256" s="281">
        <v>169760420.40000001</v>
      </c>
      <c r="T256" s="281">
        <v>167685484.03999999</v>
      </c>
      <c r="U256" s="281">
        <v>160444766.96000001</v>
      </c>
      <c r="V256" s="281">
        <v>163027604.16999999</v>
      </c>
      <c r="W256" s="281">
        <v>116990198.29000001</v>
      </c>
      <c r="X256" s="281">
        <v>264777398.06</v>
      </c>
      <c r="Y256" s="281"/>
      <c r="Z256" s="281"/>
      <c r="AA256" s="281">
        <f t="shared" si="480"/>
        <v>1042685871.9199998</v>
      </c>
      <c r="AB256" s="403">
        <f t="shared" si="475"/>
        <v>2213871164.2799997</v>
      </c>
      <c r="AC256" s="326">
        <f t="shared" si="479"/>
        <v>1.054224363942857</v>
      </c>
    </row>
    <row r="257" spans="1:29" ht="14.25" x14ac:dyDescent="0.2">
      <c r="A257" s="427">
        <v>1</v>
      </c>
      <c r="B257" s="323" t="s">
        <v>711</v>
      </c>
      <c r="C257" s="206" t="s">
        <v>86</v>
      </c>
      <c r="D257" s="332"/>
      <c r="E257" s="325">
        <f>SUM('ADICIONES  2021'!C257:N257)</f>
        <v>7363792.9699999997</v>
      </c>
      <c r="F257" s="281"/>
      <c r="G257" s="281"/>
      <c r="H257" s="281"/>
      <c r="I257" s="281"/>
      <c r="J257" s="281"/>
      <c r="K257" s="281">
        <f t="shared" si="468"/>
        <v>7363792.9699999997</v>
      </c>
      <c r="L257" s="281"/>
      <c r="M257" s="281"/>
      <c r="N257" s="281"/>
      <c r="O257" s="281"/>
      <c r="P257" s="281"/>
      <c r="Q257" s="281"/>
      <c r="R257" s="281">
        <f t="shared" si="474"/>
        <v>0</v>
      </c>
      <c r="S257" s="281"/>
      <c r="T257" s="281"/>
      <c r="U257" s="281">
        <v>0</v>
      </c>
      <c r="V257" s="281">
        <v>0</v>
      </c>
      <c r="W257" s="281">
        <v>0</v>
      </c>
      <c r="X257" s="281"/>
      <c r="Y257" s="281"/>
      <c r="Z257" s="281"/>
      <c r="AA257" s="281">
        <f t="shared" si="480"/>
        <v>0</v>
      </c>
      <c r="AB257" s="403">
        <f t="shared" si="475"/>
        <v>0</v>
      </c>
      <c r="AC257" s="326">
        <f t="shared" si="479"/>
        <v>0</v>
      </c>
    </row>
    <row r="258" spans="1:29" ht="14.25" hidden="1" x14ac:dyDescent="0.2">
      <c r="A258" s="424"/>
      <c r="B258" s="323" t="s">
        <v>712</v>
      </c>
      <c r="C258" s="206" t="s">
        <v>326</v>
      </c>
      <c r="D258" s="324">
        <v>0</v>
      </c>
      <c r="E258" s="325">
        <f>SUM('ADICIONES  2021'!C258:N258)</f>
        <v>0</v>
      </c>
      <c r="F258" s="277"/>
      <c r="G258" s="277"/>
      <c r="H258" s="277"/>
      <c r="I258" s="277"/>
      <c r="J258" s="277"/>
      <c r="K258" s="281">
        <f t="shared" si="468"/>
        <v>0</v>
      </c>
      <c r="L258" s="277">
        <v>0</v>
      </c>
      <c r="M258" s="277">
        <v>0</v>
      </c>
      <c r="N258" s="277">
        <v>0</v>
      </c>
      <c r="O258" s="277">
        <v>0</v>
      </c>
      <c r="P258" s="277">
        <v>0</v>
      </c>
      <c r="Q258" s="277">
        <v>0</v>
      </c>
      <c r="R258" s="281">
        <f t="shared" si="474"/>
        <v>0</v>
      </c>
      <c r="S258" s="277">
        <v>0</v>
      </c>
      <c r="T258" s="277">
        <v>0</v>
      </c>
      <c r="U258" s="277">
        <v>0</v>
      </c>
      <c r="V258" s="277">
        <v>0</v>
      </c>
      <c r="W258" s="277">
        <v>0</v>
      </c>
      <c r="X258" s="277"/>
      <c r="Y258" s="277"/>
      <c r="Z258" s="277"/>
      <c r="AA258" s="281">
        <f t="shared" si="480"/>
        <v>0</v>
      </c>
      <c r="AB258" s="403">
        <f t="shared" si="475"/>
        <v>0</v>
      </c>
      <c r="AC258" s="326" t="e">
        <f t="shared" si="479"/>
        <v>#DIV/0!</v>
      </c>
    </row>
    <row r="259" spans="1:29" ht="14.25" x14ac:dyDescent="0.2">
      <c r="A259" s="427">
        <v>1</v>
      </c>
      <c r="B259" s="323" t="s">
        <v>713</v>
      </c>
      <c r="C259" s="206" t="s">
        <v>236</v>
      </c>
      <c r="D259" s="324">
        <v>73000000</v>
      </c>
      <c r="E259" s="325">
        <f>SUM('ADICIONES  2021'!C259:N259)</f>
        <v>0</v>
      </c>
      <c r="F259" s="277"/>
      <c r="G259" s="277"/>
      <c r="H259" s="277"/>
      <c r="I259" s="277"/>
      <c r="J259" s="277"/>
      <c r="K259" s="281">
        <f t="shared" si="468"/>
        <v>73000000</v>
      </c>
      <c r="L259" s="277">
        <v>6987482</v>
      </c>
      <c r="M259" s="277">
        <v>5671345</v>
      </c>
      <c r="N259" s="277">
        <v>4816528</v>
      </c>
      <c r="O259" s="277">
        <v>7294834</v>
      </c>
      <c r="P259" s="277">
        <v>8719962</v>
      </c>
      <c r="Q259" s="277">
        <v>9197425</v>
      </c>
      <c r="R259" s="281">
        <f t="shared" si="474"/>
        <v>42687576</v>
      </c>
      <c r="S259" s="277">
        <v>9936876</v>
      </c>
      <c r="T259" s="277">
        <v>10247286</v>
      </c>
      <c r="U259" s="277">
        <v>6607430</v>
      </c>
      <c r="V259" s="277">
        <v>7673325</v>
      </c>
      <c r="W259" s="277">
        <v>7943535</v>
      </c>
      <c r="X259" s="277">
        <v>7489300</v>
      </c>
      <c r="Y259" s="277"/>
      <c r="Z259" s="277"/>
      <c r="AA259" s="281">
        <f t="shared" si="480"/>
        <v>49897752</v>
      </c>
      <c r="AB259" s="403">
        <f t="shared" si="475"/>
        <v>92585328</v>
      </c>
      <c r="AC259" s="326">
        <f t="shared" si="479"/>
        <v>1.2682921643835616</v>
      </c>
    </row>
    <row r="260" spans="1:29" ht="14.25" x14ac:dyDescent="0.2">
      <c r="A260" s="427">
        <v>1</v>
      </c>
      <c r="B260" s="323" t="s">
        <v>714</v>
      </c>
      <c r="C260" s="206" t="s">
        <v>87</v>
      </c>
      <c r="D260" s="324">
        <v>105000000</v>
      </c>
      <c r="E260" s="325">
        <f>SUM('ADICIONES  2021'!C260:N260)</f>
        <v>0</v>
      </c>
      <c r="F260" s="277"/>
      <c r="G260" s="277"/>
      <c r="H260" s="277"/>
      <c r="I260" s="277"/>
      <c r="J260" s="277"/>
      <c r="K260" s="281">
        <f t="shared" si="468"/>
        <v>105000000</v>
      </c>
      <c r="L260" s="277">
        <v>23013718.350000001</v>
      </c>
      <c r="M260" s="277">
        <v>966086.54</v>
      </c>
      <c r="N260" s="277">
        <v>8438553.2899999991</v>
      </c>
      <c r="O260" s="277">
        <v>15110463.119999999</v>
      </c>
      <c r="P260" s="277">
        <v>9795690.7400000002</v>
      </c>
      <c r="Q260" s="277">
        <v>2578646.2000000002</v>
      </c>
      <c r="R260" s="281">
        <f t="shared" si="474"/>
        <v>59903158.240000002</v>
      </c>
      <c r="S260" s="277">
        <v>3705433.82</v>
      </c>
      <c r="T260" s="277">
        <v>4603323.6100000003</v>
      </c>
      <c r="U260" s="277">
        <v>2595321.9300000002</v>
      </c>
      <c r="V260" s="277">
        <v>2143026.1</v>
      </c>
      <c r="W260" s="277">
        <v>4938491.45</v>
      </c>
      <c r="X260" s="277">
        <v>9831439.7799999993</v>
      </c>
      <c r="Y260" s="277"/>
      <c r="Z260" s="277"/>
      <c r="AA260" s="281">
        <f t="shared" si="480"/>
        <v>27817036.689999998</v>
      </c>
      <c r="AB260" s="403">
        <f t="shared" si="475"/>
        <v>87720194.930000007</v>
      </c>
      <c r="AC260" s="326">
        <f t="shared" si="479"/>
        <v>0.83543042790476196</v>
      </c>
    </row>
    <row r="261" spans="1:29" s="61" customFormat="1" ht="15.75" x14ac:dyDescent="0.2">
      <c r="A261" s="428">
        <v>1</v>
      </c>
      <c r="B261" s="318" t="s">
        <v>715</v>
      </c>
      <c r="C261" s="334" t="s">
        <v>716</v>
      </c>
      <c r="D261" s="283">
        <f>+D262+D267+D272+D276+D280+D286+D288</f>
        <v>1303000000</v>
      </c>
      <c r="E261" s="322">
        <f>SUM('ADICIONES  2021'!C261:N261)</f>
        <v>3756634</v>
      </c>
      <c r="F261" s="275">
        <f t="shared" ref="F261:J261" si="558">+F262+F267+F272+F276+F280+F286+F288</f>
        <v>0</v>
      </c>
      <c r="G261" s="275">
        <f t="shared" si="558"/>
        <v>0</v>
      </c>
      <c r="H261" s="275">
        <f t="shared" si="558"/>
        <v>0</v>
      </c>
      <c r="I261" s="275">
        <f t="shared" si="558"/>
        <v>0</v>
      </c>
      <c r="J261" s="275">
        <f t="shared" si="558"/>
        <v>0</v>
      </c>
      <c r="K261" s="276">
        <f t="shared" si="468"/>
        <v>1306756634</v>
      </c>
      <c r="L261" s="275">
        <f t="shared" ref="L261:Q261" si="559">+L262+L267+L272+L276+L280+L286+L288</f>
        <v>61525396.990000002</v>
      </c>
      <c r="M261" s="275">
        <f t="shared" si="559"/>
        <v>86693500.780000016</v>
      </c>
      <c r="N261" s="275">
        <f t="shared" si="559"/>
        <v>103585598.47</v>
      </c>
      <c r="O261" s="275">
        <f t="shared" si="559"/>
        <v>74271977.320000008</v>
      </c>
      <c r="P261" s="275">
        <f t="shared" si="559"/>
        <v>83217370.940000013</v>
      </c>
      <c r="Q261" s="275">
        <f t="shared" si="559"/>
        <v>102832314.13</v>
      </c>
      <c r="R261" s="276">
        <f t="shared" si="474"/>
        <v>512126158.63</v>
      </c>
      <c r="S261" s="275">
        <f t="shared" ref="S261:Z261" si="560">+S262+S267+S272+S276+S280+S286+S288</f>
        <v>79894510.569999993</v>
      </c>
      <c r="T261" s="275">
        <f t="shared" si="560"/>
        <v>65364889.919999994</v>
      </c>
      <c r="U261" s="275">
        <f t="shared" si="560"/>
        <v>81654791.020000011</v>
      </c>
      <c r="V261" s="275">
        <f t="shared" si="560"/>
        <v>60939645.170000009</v>
      </c>
      <c r="W261" s="275">
        <f t="shared" si="560"/>
        <v>64922853.630000003</v>
      </c>
      <c r="X261" s="275">
        <f t="shared" si="560"/>
        <v>67100594.809999995</v>
      </c>
      <c r="Y261" s="275">
        <f t="shared" si="560"/>
        <v>0</v>
      </c>
      <c r="Z261" s="275">
        <f t="shared" si="560"/>
        <v>0</v>
      </c>
      <c r="AA261" s="276">
        <f t="shared" si="480"/>
        <v>419877285.12</v>
      </c>
      <c r="AB261" s="402">
        <f t="shared" si="475"/>
        <v>932003443.75</v>
      </c>
      <c r="AC261" s="321">
        <f t="shared" si="479"/>
        <v>0.71321883470920266</v>
      </c>
    </row>
    <row r="262" spans="1:29" s="19" customFormat="1" x14ac:dyDescent="0.2">
      <c r="A262" s="429">
        <v>1</v>
      </c>
      <c r="B262" s="323" t="s">
        <v>717</v>
      </c>
      <c r="C262" s="206" t="s">
        <v>718</v>
      </c>
      <c r="D262" s="330">
        <v>312000000</v>
      </c>
      <c r="E262" s="322">
        <f>SUM('ADICIONES  2021'!C262:N262)</f>
        <v>0</v>
      </c>
      <c r="F262" s="279"/>
      <c r="G262" s="279"/>
      <c r="H262" s="279"/>
      <c r="I262" s="279"/>
      <c r="J262" s="279"/>
      <c r="K262" s="281">
        <f t="shared" si="468"/>
        <v>312000000</v>
      </c>
      <c r="L262" s="279">
        <f>SUM(L263:L266)</f>
        <v>10264322.32</v>
      </c>
      <c r="M262" s="279">
        <f>SUM(M263:M266)</f>
        <v>35642555.920000002</v>
      </c>
      <c r="N262" s="279">
        <f t="shared" ref="N262:Q262" si="561">SUM(N263:N266)</f>
        <v>28360078.48</v>
      </c>
      <c r="O262" s="279">
        <f>SUM(O263:O266)</f>
        <v>6755244.5200000005</v>
      </c>
      <c r="P262" s="279">
        <f t="shared" si="561"/>
        <v>7448959.5</v>
      </c>
      <c r="Q262" s="279">
        <f t="shared" si="561"/>
        <v>30219662</v>
      </c>
      <c r="R262" s="281">
        <f t="shared" si="474"/>
        <v>118690822.73999999</v>
      </c>
      <c r="S262" s="277">
        <f t="shared" ref="S262:Z262" si="562">SUM(S263:S266)</f>
        <v>7913565.9900000012</v>
      </c>
      <c r="T262" s="277">
        <f>SUM(T263:T266)</f>
        <v>7575630.8799999999</v>
      </c>
      <c r="U262" s="277">
        <f>SUM(U263:U266)</f>
        <v>32356977.000000004</v>
      </c>
      <c r="V262" s="277">
        <f>SUM(V263:V266)</f>
        <v>12758647.010000002</v>
      </c>
      <c r="W262" s="277">
        <f>SUM(W263:W266)</f>
        <v>10505185.02</v>
      </c>
      <c r="X262" s="277">
        <f t="shared" si="562"/>
        <v>5573431.1600000001</v>
      </c>
      <c r="Y262" s="277">
        <f t="shared" si="562"/>
        <v>0</v>
      </c>
      <c r="Z262" s="279">
        <f t="shared" si="562"/>
        <v>0</v>
      </c>
      <c r="AA262" s="276">
        <f t="shared" si="480"/>
        <v>76683437.060000002</v>
      </c>
      <c r="AB262" s="403">
        <f t="shared" si="475"/>
        <v>195374259.80000001</v>
      </c>
      <c r="AC262" s="326">
        <f t="shared" si="479"/>
        <v>0.62619955064102573</v>
      </c>
    </row>
    <row r="263" spans="1:29" ht="14.25" hidden="1" x14ac:dyDescent="0.15">
      <c r="A263" s="424"/>
      <c r="B263" s="323" t="s">
        <v>719</v>
      </c>
      <c r="C263" s="206" t="s">
        <v>88</v>
      </c>
      <c r="D263" s="328">
        <f>+D262*60%</f>
        <v>187200000</v>
      </c>
      <c r="E263" s="325">
        <f>SUM('ADICIONES  2021'!C263:N263)</f>
        <v>0</v>
      </c>
      <c r="F263" s="278">
        <f t="shared" ref="F263:J263" si="563">+F262*60%</f>
        <v>0</v>
      </c>
      <c r="G263" s="278">
        <f t="shared" si="563"/>
        <v>0</v>
      </c>
      <c r="H263" s="278">
        <f t="shared" si="563"/>
        <v>0</v>
      </c>
      <c r="I263" s="278">
        <f t="shared" si="563"/>
        <v>0</v>
      </c>
      <c r="J263" s="278">
        <f t="shared" si="563"/>
        <v>0</v>
      </c>
      <c r="K263" s="281">
        <f t="shared" si="468"/>
        <v>187200000</v>
      </c>
      <c r="L263" s="278">
        <v>2077856.31</v>
      </c>
      <c r="M263" s="278">
        <v>1491042</v>
      </c>
      <c r="N263" s="278">
        <v>1047245.79</v>
      </c>
      <c r="O263" s="278">
        <v>582478.87</v>
      </c>
      <c r="P263" s="278">
        <v>709083.48</v>
      </c>
      <c r="Q263" s="278">
        <v>382749.47</v>
      </c>
      <c r="R263" s="281">
        <f t="shared" si="474"/>
        <v>6290455.919999999</v>
      </c>
      <c r="S263" s="278">
        <v>327441.65999999997</v>
      </c>
      <c r="T263" s="278">
        <v>222835.67</v>
      </c>
      <c r="U263" s="278">
        <v>131845.1</v>
      </c>
      <c r="V263" s="278">
        <v>385345.72</v>
      </c>
      <c r="W263" s="278">
        <v>458465.04</v>
      </c>
      <c r="X263" s="423">
        <v>1169255.44</v>
      </c>
      <c r="Y263" s="278"/>
      <c r="Z263" s="278"/>
      <c r="AA263" s="281">
        <f t="shared" si="480"/>
        <v>2695188.63</v>
      </c>
      <c r="AB263" s="403">
        <f t="shared" si="475"/>
        <v>8985644.5499999989</v>
      </c>
      <c r="AC263" s="326">
        <f t="shared" si="479"/>
        <v>4.8000237980769224E-2</v>
      </c>
    </row>
    <row r="264" spans="1:29" ht="14.25" hidden="1" x14ac:dyDescent="0.15">
      <c r="A264" s="424"/>
      <c r="B264" s="323" t="s">
        <v>720</v>
      </c>
      <c r="C264" s="206" t="s">
        <v>89</v>
      </c>
      <c r="D264" s="328">
        <f>+D262*20%</f>
        <v>62400000</v>
      </c>
      <c r="E264" s="325">
        <f>SUM('ADICIONES  2021'!C264:N264)</f>
        <v>0</v>
      </c>
      <c r="F264" s="278">
        <f t="shared" ref="F264:J264" si="564">+F262*20%</f>
        <v>0</v>
      </c>
      <c r="G264" s="278">
        <f t="shared" si="564"/>
        <v>0</v>
      </c>
      <c r="H264" s="278">
        <f t="shared" si="564"/>
        <v>0</v>
      </c>
      <c r="I264" s="278">
        <f t="shared" si="564"/>
        <v>0</v>
      </c>
      <c r="J264" s="278">
        <f t="shared" si="564"/>
        <v>0</v>
      </c>
      <c r="K264" s="281">
        <f t="shared" si="468"/>
        <v>62400000</v>
      </c>
      <c r="L264" s="278">
        <v>1217836.5900000001</v>
      </c>
      <c r="M264" s="278">
        <v>1210966.52</v>
      </c>
      <c r="N264" s="278">
        <v>1283626.69</v>
      </c>
      <c r="O264" s="278">
        <v>870153.76</v>
      </c>
      <c r="P264" s="278">
        <v>1055190.0900000001</v>
      </c>
      <c r="Q264" s="278">
        <v>1200872.24</v>
      </c>
      <c r="R264" s="281">
        <f t="shared" si="474"/>
        <v>6838645.8900000006</v>
      </c>
      <c r="S264" s="278">
        <v>1259980.03</v>
      </c>
      <c r="T264" s="278">
        <v>922067.5</v>
      </c>
      <c r="U264" s="278">
        <v>1098326.27</v>
      </c>
      <c r="V264" s="278">
        <v>919549.45</v>
      </c>
      <c r="W264" s="278">
        <v>1408429.33</v>
      </c>
      <c r="X264" s="423">
        <v>1948588.41</v>
      </c>
      <c r="Y264" s="278"/>
      <c r="Z264" s="278"/>
      <c r="AA264" s="281">
        <f t="shared" si="480"/>
        <v>7556940.9900000002</v>
      </c>
      <c r="AB264" s="403">
        <f t="shared" si="475"/>
        <v>14395586.880000001</v>
      </c>
      <c r="AC264" s="326">
        <f t="shared" si="479"/>
        <v>0.23069850769230771</v>
      </c>
    </row>
    <row r="265" spans="1:29" ht="25.5" hidden="1" x14ac:dyDescent="0.15">
      <c r="A265" s="424"/>
      <c r="B265" s="323" t="s">
        <v>721</v>
      </c>
      <c r="C265" s="206" t="s">
        <v>90</v>
      </c>
      <c r="D265" s="328">
        <f>+D262*10%</f>
        <v>31200000</v>
      </c>
      <c r="E265" s="325">
        <f>SUM('ADICIONES  2021'!C265:N265)</f>
        <v>0</v>
      </c>
      <c r="F265" s="278">
        <f t="shared" ref="F265:J265" si="565">+F262*10%</f>
        <v>0</v>
      </c>
      <c r="G265" s="278">
        <f t="shared" si="565"/>
        <v>0</v>
      </c>
      <c r="H265" s="278">
        <f t="shared" si="565"/>
        <v>0</v>
      </c>
      <c r="I265" s="278">
        <f t="shared" si="565"/>
        <v>0</v>
      </c>
      <c r="J265" s="278">
        <f t="shared" si="565"/>
        <v>0</v>
      </c>
      <c r="K265" s="281">
        <f t="shared" si="468"/>
        <v>31200000</v>
      </c>
      <c r="L265" s="278">
        <v>5704232.04</v>
      </c>
      <c r="M265" s="278">
        <v>32122807.399999999</v>
      </c>
      <c r="N265" s="278">
        <v>25190800.039999999</v>
      </c>
      <c r="O265" s="278">
        <v>4794907.07</v>
      </c>
      <c r="P265" s="278">
        <v>5166266.3499999996</v>
      </c>
      <c r="Q265" s="278">
        <v>27875825.710000001</v>
      </c>
      <c r="R265" s="281">
        <f t="shared" si="474"/>
        <v>100854838.60999998</v>
      </c>
      <c r="S265" s="278">
        <v>5690848.6900000004</v>
      </c>
      <c r="T265" s="278">
        <v>5912917.4299999997</v>
      </c>
      <c r="U265" s="278">
        <v>30521978.440000001</v>
      </c>
      <c r="V265" s="278">
        <v>10809277.550000001</v>
      </c>
      <c r="W265" s="278">
        <v>7995714.8099999996</v>
      </c>
      <c r="X265" s="423">
        <v>1722077.4</v>
      </c>
      <c r="Y265" s="278"/>
      <c r="Z265" s="278"/>
      <c r="AA265" s="281">
        <f t="shared" si="480"/>
        <v>62652814.32</v>
      </c>
      <c r="AB265" s="403">
        <f t="shared" si="475"/>
        <v>163507652.92999998</v>
      </c>
      <c r="AC265" s="326">
        <f t="shared" si="479"/>
        <v>5.2406299016025635</v>
      </c>
    </row>
    <row r="266" spans="1:29" ht="25.5" hidden="1" x14ac:dyDescent="0.15">
      <c r="A266" s="424"/>
      <c r="B266" s="337" t="s">
        <v>722</v>
      </c>
      <c r="C266" s="329" t="s">
        <v>237</v>
      </c>
      <c r="D266" s="328">
        <f>+D262*10%</f>
        <v>31200000</v>
      </c>
      <c r="E266" s="325">
        <f>SUM('ADICIONES  2021'!C266:N266)</f>
        <v>0</v>
      </c>
      <c r="F266" s="278">
        <f t="shared" ref="F266:J266" si="566">+F262*10%</f>
        <v>0</v>
      </c>
      <c r="G266" s="278">
        <f t="shared" si="566"/>
        <v>0</v>
      </c>
      <c r="H266" s="278">
        <f t="shared" si="566"/>
        <v>0</v>
      </c>
      <c r="I266" s="278">
        <f t="shared" si="566"/>
        <v>0</v>
      </c>
      <c r="J266" s="278">
        <f t="shared" si="566"/>
        <v>0</v>
      </c>
      <c r="K266" s="281">
        <f t="shared" si="468"/>
        <v>31200000</v>
      </c>
      <c r="L266" s="278">
        <v>1264397.3799999999</v>
      </c>
      <c r="M266" s="278">
        <v>817740</v>
      </c>
      <c r="N266" s="278">
        <v>838405.96</v>
      </c>
      <c r="O266" s="278">
        <v>507704.82</v>
      </c>
      <c r="P266" s="278">
        <v>518419.58</v>
      </c>
      <c r="Q266" s="278">
        <v>760214.58</v>
      </c>
      <c r="R266" s="281">
        <f t="shared" si="474"/>
        <v>4706882.3199999994</v>
      </c>
      <c r="S266" s="278">
        <v>635295.61</v>
      </c>
      <c r="T266" s="278">
        <v>517810.28</v>
      </c>
      <c r="U266" s="278">
        <v>604827.18999999994</v>
      </c>
      <c r="V266" s="278">
        <v>644474.29</v>
      </c>
      <c r="W266" s="278">
        <v>642575.84</v>
      </c>
      <c r="X266" s="423">
        <v>733509.91</v>
      </c>
      <c r="Y266" s="278"/>
      <c r="Z266" s="278"/>
      <c r="AA266" s="281">
        <f t="shared" si="480"/>
        <v>3778493.12</v>
      </c>
      <c r="AB266" s="403">
        <f t="shared" si="475"/>
        <v>8485375.4399999995</v>
      </c>
      <c r="AC266" s="326">
        <f t="shared" si="479"/>
        <v>0.27196716153846151</v>
      </c>
    </row>
    <row r="267" spans="1:29" s="19" customFormat="1" x14ac:dyDescent="0.2">
      <c r="A267" s="429">
        <v>1</v>
      </c>
      <c r="B267" s="337" t="s">
        <v>723</v>
      </c>
      <c r="C267" s="329" t="s">
        <v>724</v>
      </c>
      <c r="D267" s="331">
        <v>390000000</v>
      </c>
      <c r="E267" s="322">
        <f>SUM('ADICIONES  2021'!C267:N267)</f>
        <v>0</v>
      </c>
      <c r="F267" s="276"/>
      <c r="G267" s="276"/>
      <c r="H267" s="276"/>
      <c r="I267" s="276"/>
      <c r="J267" s="276"/>
      <c r="K267" s="281">
        <f t="shared" si="468"/>
        <v>390000000</v>
      </c>
      <c r="L267" s="276">
        <v>19478318.98</v>
      </c>
      <c r="M267" s="276">
        <v>15660420.060000001</v>
      </c>
      <c r="N267" s="276">
        <v>19573378.280000001</v>
      </c>
      <c r="O267" s="276">
        <v>21366406.260000002</v>
      </c>
      <c r="P267" s="276">
        <v>23931895.629999999</v>
      </c>
      <c r="Q267" s="276">
        <v>24797073.350000001</v>
      </c>
      <c r="R267" s="281">
        <f t="shared" si="474"/>
        <v>124807492.56</v>
      </c>
      <c r="S267" s="281">
        <v>28057922.300000001</v>
      </c>
      <c r="T267" s="281">
        <v>19431750.030000001</v>
      </c>
      <c r="U267" s="281">
        <v>11982186.720000001</v>
      </c>
      <c r="V267" s="281">
        <v>14953479.09</v>
      </c>
      <c r="W267" s="281">
        <v>20267661.949999999</v>
      </c>
      <c r="X267" s="281">
        <v>22943035.960000001</v>
      </c>
      <c r="Y267" s="281"/>
      <c r="Z267" s="276"/>
      <c r="AA267" s="276">
        <f t="shared" si="480"/>
        <v>117636036.05000001</v>
      </c>
      <c r="AB267" s="403">
        <f t="shared" si="475"/>
        <v>242443528.61000001</v>
      </c>
      <c r="AC267" s="326">
        <f t="shared" si="479"/>
        <v>0.62165007335897438</v>
      </c>
    </row>
    <row r="268" spans="1:29" ht="14.25" hidden="1" x14ac:dyDescent="0.2">
      <c r="A268" s="424"/>
      <c r="B268" s="337" t="s">
        <v>725</v>
      </c>
      <c r="C268" s="329" t="s">
        <v>91</v>
      </c>
      <c r="D268" s="328">
        <f>+D267*40%</f>
        <v>156000000</v>
      </c>
      <c r="E268" s="325">
        <f>SUM('ADICIONES  2021'!C268:N268)</f>
        <v>0</v>
      </c>
      <c r="F268" s="278">
        <f t="shared" ref="F268:J268" si="567">+F267*40%</f>
        <v>0</v>
      </c>
      <c r="G268" s="278">
        <f t="shared" si="567"/>
        <v>0</v>
      </c>
      <c r="H268" s="278">
        <f t="shared" si="567"/>
        <v>0</v>
      </c>
      <c r="I268" s="278">
        <f t="shared" si="567"/>
        <v>0</v>
      </c>
      <c r="J268" s="278">
        <f t="shared" si="567"/>
        <v>0</v>
      </c>
      <c r="K268" s="281">
        <f t="shared" si="468"/>
        <v>156000000</v>
      </c>
      <c r="L268" s="278">
        <f t="shared" ref="L268:Q268" si="568">+L267*40%</f>
        <v>7791327.5920000002</v>
      </c>
      <c r="M268" s="278">
        <f t="shared" si="568"/>
        <v>6264168.0240000002</v>
      </c>
      <c r="N268" s="278">
        <f t="shared" si="568"/>
        <v>7829351.3120000008</v>
      </c>
      <c r="O268" s="278">
        <f t="shared" si="568"/>
        <v>8546562.5040000007</v>
      </c>
      <c r="P268" s="278">
        <f t="shared" si="568"/>
        <v>9572758.2520000003</v>
      </c>
      <c r="Q268" s="278">
        <f t="shared" si="568"/>
        <v>9918829.3400000017</v>
      </c>
      <c r="R268" s="281">
        <f t="shared" si="474"/>
        <v>49922997.024000004</v>
      </c>
      <c r="S268" s="278">
        <f t="shared" ref="S268:Z268" si="569">+S267*40%</f>
        <v>11223168.920000002</v>
      </c>
      <c r="T268" s="278">
        <f t="shared" si="569"/>
        <v>7772700.012000001</v>
      </c>
      <c r="U268" s="278">
        <f t="shared" si="569"/>
        <v>4792874.6880000001</v>
      </c>
      <c r="V268" s="278">
        <f t="shared" si="569"/>
        <v>5981391.6359999999</v>
      </c>
      <c r="W268" s="278">
        <f t="shared" si="569"/>
        <v>8107064.7800000003</v>
      </c>
      <c r="X268" s="278">
        <f t="shared" si="569"/>
        <v>9177214.3840000015</v>
      </c>
      <c r="Y268" s="278">
        <f t="shared" si="569"/>
        <v>0</v>
      </c>
      <c r="Z268" s="278">
        <f t="shared" si="569"/>
        <v>0</v>
      </c>
      <c r="AA268" s="281">
        <f t="shared" si="480"/>
        <v>47054414.420000009</v>
      </c>
      <c r="AB268" s="403">
        <f t="shared" si="475"/>
        <v>96977411.444000006</v>
      </c>
      <c r="AC268" s="326">
        <f t="shared" si="479"/>
        <v>0.62165007335897438</v>
      </c>
    </row>
    <row r="269" spans="1:29" ht="14.25" hidden="1" x14ac:dyDescent="0.2">
      <c r="A269" s="424"/>
      <c r="B269" s="337" t="s">
        <v>726</v>
      </c>
      <c r="C269" s="329" t="s">
        <v>92</v>
      </c>
      <c r="D269" s="328">
        <f>+D267*20%</f>
        <v>78000000</v>
      </c>
      <c r="E269" s="325">
        <f>SUM('ADICIONES  2021'!C269:N269)</f>
        <v>0</v>
      </c>
      <c r="F269" s="278">
        <f t="shared" ref="F269:J269" si="570">+F267*20%</f>
        <v>0</v>
      </c>
      <c r="G269" s="278">
        <f t="shared" si="570"/>
        <v>0</v>
      </c>
      <c r="H269" s="278">
        <f t="shared" si="570"/>
        <v>0</v>
      </c>
      <c r="I269" s="278">
        <f t="shared" si="570"/>
        <v>0</v>
      </c>
      <c r="J269" s="278">
        <f t="shared" si="570"/>
        <v>0</v>
      </c>
      <c r="K269" s="281">
        <f t="shared" si="468"/>
        <v>78000000</v>
      </c>
      <c r="L269" s="278">
        <f t="shared" ref="L269:Q269" si="571">+L267*20%</f>
        <v>3895663.7960000001</v>
      </c>
      <c r="M269" s="278">
        <f t="shared" si="571"/>
        <v>3132084.0120000001</v>
      </c>
      <c r="N269" s="278">
        <f t="shared" si="571"/>
        <v>3914675.6560000004</v>
      </c>
      <c r="O269" s="278">
        <f t="shared" si="571"/>
        <v>4273281.2520000003</v>
      </c>
      <c r="P269" s="278">
        <f t="shared" si="571"/>
        <v>4786379.1260000002</v>
      </c>
      <c r="Q269" s="278">
        <f t="shared" si="571"/>
        <v>4959414.6700000009</v>
      </c>
      <c r="R269" s="281">
        <f t="shared" si="474"/>
        <v>24961498.512000002</v>
      </c>
      <c r="S269" s="278">
        <f t="shared" ref="S269:Z269" si="572">+S267*20%</f>
        <v>5611584.4600000009</v>
      </c>
      <c r="T269" s="278">
        <f t="shared" si="572"/>
        <v>3886350.0060000005</v>
      </c>
      <c r="U269" s="278">
        <f t="shared" si="572"/>
        <v>2396437.344</v>
      </c>
      <c r="V269" s="278">
        <f t="shared" si="572"/>
        <v>2990695.818</v>
      </c>
      <c r="W269" s="278">
        <f t="shared" si="572"/>
        <v>4053532.39</v>
      </c>
      <c r="X269" s="278">
        <f t="shared" si="572"/>
        <v>4588607.1920000007</v>
      </c>
      <c r="Y269" s="278">
        <f t="shared" si="572"/>
        <v>0</v>
      </c>
      <c r="Z269" s="278">
        <f t="shared" si="572"/>
        <v>0</v>
      </c>
      <c r="AA269" s="281">
        <f t="shared" si="480"/>
        <v>23527207.210000005</v>
      </c>
      <c r="AB269" s="403">
        <f t="shared" si="475"/>
        <v>48488705.722000003</v>
      </c>
      <c r="AC269" s="326">
        <f t="shared" si="479"/>
        <v>0.62165007335897438</v>
      </c>
    </row>
    <row r="270" spans="1:29" ht="14.25" hidden="1" x14ac:dyDescent="0.2">
      <c r="A270" s="424"/>
      <c r="B270" s="337" t="s">
        <v>727</v>
      </c>
      <c r="C270" s="329" t="s">
        <v>93</v>
      </c>
      <c r="D270" s="328">
        <f>+D267*20%</f>
        <v>78000000</v>
      </c>
      <c r="E270" s="325">
        <f>SUM('ADICIONES  2021'!C270:N270)</f>
        <v>0</v>
      </c>
      <c r="F270" s="278">
        <f t="shared" ref="F270:J270" si="573">+F267*20%</f>
        <v>0</v>
      </c>
      <c r="G270" s="278">
        <f t="shared" si="573"/>
        <v>0</v>
      </c>
      <c r="H270" s="278">
        <f t="shared" si="573"/>
        <v>0</v>
      </c>
      <c r="I270" s="278">
        <f t="shared" si="573"/>
        <v>0</v>
      </c>
      <c r="J270" s="278">
        <f t="shared" si="573"/>
        <v>0</v>
      </c>
      <c r="K270" s="281">
        <f t="shared" si="468"/>
        <v>78000000</v>
      </c>
      <c r="L270" s="278">
        <f t="shared" ref="L270:Q270" si="574">+L267*20%</f>
        <v>3895663.7960000001</v>
      </c>
      <c r="M270" s="278">
        <f t="shared" si="574"/>
        <v>3132084.0120000001</v>
      </c>
      <c r="N270" s="278">
        <f t="shared" si="574"/>
        <v>3914675.6560000004</v>
      </c>
      <c r="O270" s="278">
        <f t="shared" si="574"/>
        <v>4273281.2520000003</v>
      </c>
      <c r="P270" s="278">
        <f t="shared" si="574"/>
        <v>4786379.1260000002</v>
      </c>
      <c r="Q270" s="278">
        <f t="shared" si="574"/>
        <v>4959414.6700000009</v>
      </c>
      <c r="R270" s="281">
        <f t="shared" si="474"/>
        <v>24961498.512000002</v>
      </c>
      <c r="S270" s="278">
        <f t="shared" ref="S270:Z270" si="575">+S267*20%</f>
        <v>5611584.4600000009</v>
      </c>
      <c r="T270" s="278">
        <f t="shared" si="575"/>
        <v>3886350.0060000005</v>
      </c>
      <c r="U270" s="278">
        <f t="shared" si="575"/>
        <v>2396437.344</v>
      </c>
      <c r="V270" s="278">
        <f t="shared" si="575"/>
        <v>2990695.818</v>
      </c>
      <c r="W270" s="278">
        <f t="shared" si="575"/>
        <v>4053532.39</v>
      </c>
      <c r="X270" s="278">
        <f t="shared" si="575"/>
        <v>4588607.1920000007</v>
      </c>
      <c r="Y270" s="278">
        <f t="shared" si="575"/>
        <v>0</v>
      </c>
      <c r="Z270" s="278">
        <f t="shared" si="575"/>
        <v>0</v>
      </c>
      <c r="AA270" s="281">
        <f t="shared" si="480"/>
        <v>23527207.210000005</v>
      </c>
      <c r="AB270" s="403">
        <f t="shared" si="475"/>
        <v>48488705.722000003</v>
      </c>
      <c r="AC270" s="326">
        <f t="shared" si="479"/>
        <v>0.62165007335897438</v>
      </c>
    </row>
    <row r="271" spans="1:29" ht="14.25" hidden="1" x14ac:dyDescent="0.2">
      <c r="A271" s="424"/>
      <c r="B271" s="337" t="s">
        <v>728</v>
      </c>
      <c r="C271" s="329" t="s">
        <v>94</v>
      </c>
      <c r="D271" s="328">
        <f>+D267*20%</f>
        <v>78000000</v>
      </c>
      <c r="E271" s="325">
        <f>SUM('ADICIONES  2021'!C271:N271)</f>
        <v>0</v>
      </c>
      <c r="F271" s="278">
        <f t="shared" ref="F271:J271" si="576">+F267*20%</f>
        <v>0</v>
      </c>
      <c r="G271" s="278">
        <f t="shared" si="576"/>
        <v>0</v>
      </c>
      <c r="H271" s="278">
        <f t="shared" si="576"/>
        <v>0</v>
      </c>
      <c r="I271" s="278">
        <f t="shared" si="576"/>
        <v>0</v>
      </c>
      <c r="J271" s="278">
        <f t="shared" si="576"/>
        <v>0</v>
      </c>
      <c r="K271" s="281">
        <f t="shared" si="468"/>
        <v>78000000</v>
      </c>
      <c r="L271" s="278">
        <f t="shared" ref="L271:Q271" si="577">+L267*20%</f>
        <v>3895663.7960000001</v>
      </c>
      <c r="M271" s="278">
        <f t="shared" si="577"/>
        <v>3132084.0120000001</v>
      </c>
      <c r="N271" s="278">
        <f t="shared" si="577"/>
        <v>3914675.6560000004</v>
      </c>
      <c r="O271" s="278">
        <f t="shared" si="577"/>
        <v>4273281.2520000003</v>
      </c>
      <c r="P271" s="278">
        <f t="shared" si="577"/>
        <v>4786379.1260000002</v>
      </c>
      <c r="Q271" s="278">
        <f t="shared" si="577"/>
        <v>4959414.6700000009</v>
      </c>
      <c r="R271" s="281">
        <f t="shared" si="474"/>
        <v>24961498.512000002</v>
      </c>
      <c r="S271" s="278">
        <f t="shared" ref="S271:Z271" si="578">+S267*20%</f>
        <v>5611584.4600000009</v>
      </c>
      <c r="T271" s="278">
        <f t="shared" si="578"/>
        <v>3886350.0060000005</v>
      </c>
      <c r="U271" s="278">
        <f t="shared" si="578"/>
        <v>2396437.344</v>
      </c>
      <c r="V271" s="278">
        <f t="shared" si="578"/>
        <v>2990695.818</v>
      </c>
      <c r="W271" s="278">
        <f t="shared" si="578"/>
        <v>4053532.39</v>
      </c>
      <c r="X271" s="278">
        <f t="shared" si="578"/>
        <v>4588607.1920000007</v>
      </c>
      <c r="Y271" s="278">
        <f t="shared" si="578"/>
        <v>0</v>
      </c>
      <c r="Z271" s="278">
        <f t="shared" si="578"/>
        <v>0</v>
      </c>
      <c r="AA271" s="281">
        <f t="shared" si="480"/>
        <v>23527207.210000005</v>
      </c>
      <c r="AB271" s="403">
        <f t="shared" si="475"/>
        <v>48488705.722000003</v>
      </c>
      <c r="AC271" s="326">
        <f t="shared" si="479"/>
        <v>0.62165007335897438</v>
      </c>
    </row>
    <row r="272" spans="1:29" s="19" customFormat="1" x14ac:dyDescent="0.2">
      <c r="A272" s="429">
        <v>1</v>
      </c>
      <c r="B272" s="337" t="s">
        <v>729</v>
      </c>
      <c r="C272" s="329" t="s">
        <v>730</v>
      </c>
      <c r="D272" s="330">
        <v>198000000</v>
      </c>
      <c r="E272" s="322">
        <f>SUM('ADICIONES  2021'!C272:N272)</f>
        <v>3756634</v>
      </c>
      <c r="F272" s="279"/>
      <c r="G272" s="279"/>
      <c r="H272" s="279"/>
      <c r="I272" s="279"/>
      <c r="J272" s="279"/>
      <c r="K272" s="281">
        <f t="shared" si="468"/>
        <v>201756634</v>
      </c>
      <c r="L272" s="279">
        <v>18949278.350000001</v>
      </c>
      <c r="M272" s="279">
        <v>19433337.82</v>
      </c>
      <c r="N272" s="279">
        <v>26599366.190000001</v>
      </c>
      <c r="O272" s="279">
        <v>26721655.670000002</v>
      </c>
      <c r="P272" s="279">
        <v>29159986.800000001</v>
      </c>
      <c r="Q272" s="279">
        <v>30065097.59</v>
      </c>
      <c r="R272" s="281">
        <f t="shared" si="474"/>
        <v>150928722.41999999</v>
      </c>
      <c r="S272" s="277">
        <v>30322783.309999999</v>
      </c>
      <c r="T272" s="277">
        <v>30556372.609999999</v>
      </c>
      <c r="U272" s="277">
        <v>29153235.059999999</v>
      </c>
      <c r="V272" s="277">
        <v>22681320.91</v>
      </c>
      <c r="W272" s="277">
        <v>22831116.07</v>
      </c>
      <c r="X272" s="277">
        <v>24731963.18</v>
      </c>
      <c r="Y272" s="277"/>
      <c r="Z272" s="279"/>
      <c r="AA272" s="276">
        <f t="shared" si="480"/>
        <v>160276791.14000002</v>
      </c>
      <c r="AB272" s="403">
        <f t="shared" si="475"/>
        <v>311205513.56</v>
      </c>
      <c r="AC272" s="326">
        <f t="shared" si="479"/>
        <v>1.5424797063178601</v>
      </c>
    </row>
    <row r="273" spans="1:29" ht="14.25" hidden="1" x14ac:dyDescent="0.2">
      <c r="A273" s="424"/>
      <c r="B273" s="337" t="s">
        <v>731</v>
      </c>
      <c r="C273" s="329" t="s">
        <v>95</v>
      </c>
      <c r="D273" s="328">
        <f>+D272*80%</f>
        <v>158400000</v>
      </c>
      <c r="E273" s="325">
        <f>SUM('ADICIONES  2021'!C273:N273)</f>
        <v>0</v>
      </c>
      <c r="F273" s="278">
        <f t="shared" ref="F273:J273" si="579">+F272*80%</f>
        <v>0</v>
      </c>
      <c r="G273" s="278">
        <f t="shared" si="579"/>
        <v>0</v>
      </c>
      <c r="H273" s="278">
        <f t="shared" si="579"/>
        <v>0</v>
      </c>
      <c r="I273" s="278">
        <f t="shared" si="579"/>
        <v>0</v>
      </c>
      <c r="J273" s="278">
        <f t="shared" si="579"/>
        <v>0</v>
      </c>
      <c r="K273" s="281">
        <f t="shared" ref="K273:K351" si="580">+D273+E273-F273+G273-H273</f>
        <v>158400000</v>
      </c>
      <c r="L273" s="278">
        <f t="shared" ref="L273:Q273" si="581">+L272*80%</f>
        <v>15159422.680000002</v>
      </c>
      <c r="M273" s="278">
        <f t="shared" si="581"/>
        <v>15546670.256000001</v>
      </c>
      <c r="N273" s="278">
        <f t="shared" si="581"/>
        <v>21279492.952000003</v>
      </c>
      <c r="O273" s="278">
        <f t="shared" si="581"/>
        <v>21377324.536000002</v>
      </c>
      <c r="P273" s="278">
        <f t="shared" si="581"/>
        <v>23327989.440000001</v>
      </c>
      <c r="Q273" s="278">
        <f t="shared" si="581"/>
        <v>24052078.072000001</v>
      </c>
      <c r="R273" s="281">
        <f t="shared" si="474"/>
        <v>120742977.936</v>
      </c>
      <c r="S273" s="278">
        <f t="shared" ref="S273:Z273" si="582">+S272*80%</f>
        <v>24258226.648000002</v>
      </c>
      <c r="T273" s="278">
        <f t="shared" si="582"/>
        <v>24445098.088</v>
      </c>
      <c r="U273" s="278">
        <f t="shared" si="582"/>
        <v>23322588.048</v>
      </c>
      <c r="V273" s="278">
        <f t="shared" si="582"/>
        <v>18145056.728</v>
      </c>
      <c r="W273" s="278">
        <f t="shared" si="582"/>
        <v>18264892.856000002</v>
      </c>
      <c r="X273" s="278">
        <f t="shared" si="582"/>
        <v>19785570.544</v>
      </c>
      <c r="Y273" s="278">
        <f t="shared" si="582"/>
        <v>0</v>
      </c>
      <c r="Z273" s="278">
        <f t="shared" si="582"/>
        <v>0</v>
      </c>
      <c r="AA273" s="281">
        <f t="shared" si="480"/>
        <v>128221432.91200002</v>
      </c>
      <c r="AB273" s="403">
        <f t="shared" si="475"/>
        <v>248964410.84800002</v>
      </c>
      <c r="AC273" s="326">
        <v>0</v>
      </c>
    </row>
    <row r="274" spans="1:29" ht="14.25" hidden="1" x14ac:dyDescent="0.2">
      <c r="A274" s="424"/>
      <c r="B274" s="337" t="s">
        <v>731</v>
      </c>
      <c r="C274" s="329" t="s">
        <v>95</v>
      </c>
      <c r="D274" s="328"/>
      <c r="E274" s="325">
        <f>SUM('ADICIONES  2021'!C274:N274)</f>
        <v>3756634</v>
      </c>
      <c r="F274" s="278"/>
      <c r="G274" s="278"/>
      <c r="H274" s="278"/>
      <c r="I274" s="278"/>
      <c r="J274" s="278"/>
      <c r="K274" s="281">
        <f t="shared" si="580"/>
        <v>3756634</v>
      </c>
      <c r="L274" s="278"/>
      <c r="M274" s="278"/>
      <c r="N274" s="278"/>
      <c r="O274" s="278"/>
      <c r="P274" s="278"/>
      <c r="Q274" s="278"/>
      <c r="R274" s="281">
        <f t="shared" si="474"/>
        <v>0</v>
      </c>
      <c r="S274" s="278"/>
      <c r="T274" s="278"/>
      <c r="U274" s="278"/>
      <c r="V274" s="278"/>
      <c r="W274" s="278"/>
      <c r="X274" s="278"/>
      <c r="Y274" s="278"/>
      <c r="Z274" s="278"/>
      <c r="AA274" s="281">
        <f t="shared" si="480"/>
        <v>0</v>
      </c>
      <c r="AB274" s="403">
        <f t="shared" si="475"/>
        <v>0</v>
      </c>
      <c r="AC274" s="326">
        <v>1</v>
      </c>
    </row>
    <row r="275" spans="1:29" ht="14.25" hidden="1" x14ac:dyDescent="0.2">
      <c r="A275" s="424"/>
      <c r="B275" s="337" t="s">
        <v>732</v>
      </c>
      <c r="C275" s="327" t="s">
        <v>96</v>
      </c>
      <c r="D275" s="328">
        <f>+D272*20%</f>
        <v>39600000</v>
      </c>
      <c r="E275" s="325">
        <f>SUM('ADICIONES  2021'!C275:N275)</f>
        <v>0</v>
      </c>
      <c r="F275" s="278">
        <f t="shared" ref="F275:J275" si="583">+F272*20%</f>
        <v>0</v>
      </c>
      <c r="G275" s="278">
        <f t="shared" si="583"/>
        <v>0</v>
      </c>
      <c r="H275" s="278">
        <f t="shared" si="583"/>
        <v>0</v>
      </c>
      <c r="I275" s="278">
        <f t="shared" si="583"/>
        <v>0</v>
      </c>
      <c r="J275" s="278">
        <f t="shared" si="583"/>
        <v>0</v>
      </c>
      <c r="K275" s="281">
        <f t="shared" si="580"/>
        <v>39600000</v>
      </c>
      <c r="L275" s="278">
        <f t="shared" ref="L275:Q275" si="584">+L272*20%</f>
        <v>3789855.6700000004</v>
      </c>
      <c r="M275" s="278">
        <f t="shared" si="584"/>
        <v>3886667.5640000002</v>
      </c>
      <c r="N275" s="278">
        <f t="shared" si="584"/>
        <v>5319873.2380000008</v>
      </c>
      <c r="O275" s="278">
        <f t="shared" si="584"/>
        <v>5344331.1340000005</v>
      </c>
      <c r="P275" s="278">
        <f t="shared" si="584"/>
        <v>5831997.3600000003</v>
      </c>
      <c r="Q275" s="278">
        <f t="shared" si="584"/>
        <v>6013019.5180000002</v>
      </c>
      <c r="R275" s="281">
        <f t="shared" si="474"/>
        <v>30185744.484000001</v>
      </c>
      <c r="S275" s="278">
        <f t="shared" ref="S275:Z275" si="585">+S272*20%</f>
        <v>6064556.6620000005</v>
      </c>
      <c r="T275" s="278">
        <f t="shared" si="585"/>
        <v>6111274.5219999999</v>
      </c>
      <c r="U275" s="278">
        <f t="shared" si="585"/>
        <v>5830647.0120000001</v>
      </c>
      <c r="V275" s="278">
        <f t="shared" si="585"/>
        <v>4536264.182</v>
      </c>
      <c r="W275" s="278">
        <f t="shared" si="585"/>
        <v>4566223.2140000006</v>
      </c>
      <c r="X275" s="278">
        <f t="shared" si="585"/>
        <v>4946392.6359999999</v>
      </c>
      <c r="Y275" s="278">
        <f t="shared" si="585"/>
        <v>0</v>
      </c>
      <c r="Z275" s="278">
        <f t="shared" si="585"/>
        <v>0</v>
      </c>
      <c r="AA275" s="281">
        <f t="shared" si="480"/>
        <v>32055358.228000004</v>
      </c>
      <c r="AB275" s="403">
        <f t="shared" si="475"/>
        <v>62241102.712000005</v>
      </c>
      <c r="AC275" s="326">
        <f t="shared" si="479"/>
        <v>1.571745017979798</v>
      </c>
    </row>
    <row r="276" spans="1:29" s="19" customFormat="1" x14ac:dyDescent="0.2">
      <c r="A276" s="429">
        <v>1</v>
      </c>
      <c r="B276" s="337" t="s">
        <v>733</v>
      </c>
      <c r="C276" s="430" t="s">
        <v>327</v>
      </c>
      <c r="D276" s="340">
        <v>90000000</v>
      </c>
      <c r="E276" s="322">
        <f>SUM('ADICIONES  2021'!C276:N276)</f>
        <v>0</v>
      </c>
      <c r="F276" s="284"/>
      <c r="G276" s="284"/>
      <c r="H276" s="284"/>
      <c r="I276" s="284"/>
      <c r="J276" s="284"/>
      <c r="K276" s="281">
        <f t="shared" si="580"/>
        <v>90000000</v>
      </c>
      <c r="L276" s="284">
        <v>8014862</v>
      </c>
      <c r="M276" s="284">
        <v>7320801.1399999997</v>
      </c>
      <c r="N276" s="284">
        <v>11439079</v>
      </c>
      <c r="O276" s="284">
        <v>7330527</v>
      </c>
      <c r="P276" s="284">
        <v>8239909</v>
      </c>
      <c r="Q276" s="284">
        <v>6135589</v>
      </c>
      <c r="R276" s="281">
        <f t="shared" ref="R276:R353" si="586">SUM(L276:Q276)</f>
        <v>48480767.140000001</v>
      </c>
      <c r="S276" s="305">
        <v>4105927</v>
      </c>
      <c r="T276" s="305">
        <v>2828158</v>
      </c>
      <c r="U276" s="305">
        <v>2834734</v>
      </c>
      <c r="V276" s="305">
        <v>3273175</v>
      </c>
      <c r="W276" s="305">
        <v>3172453</v>
      </c>
      <c r="X276" s="305">
        <v>3279829</v>
      </c>
      <c r="Y276" s="305"/>
      <c r="Z276" s="284"/>
      <c r="AA276" s="276">
        <f t="shared" si="480"/>
        <v>19494276</v>
      </c>
      <c r="AB276" s="403">
        <f t="shared" ref="AB276:AB353" si="587">+R276+AA276</f>
        <v>67975043.140000001</v>
      </c>
      <c r="AC276" s="326">
        <f t="shared" si="479"/>
        <v>0.75527825711111107</v>
      </c>
    </row>
    <row r="277" spans="1:29" ht="14.25" hidden="1" x14ac:dyDescent="0.2">
      <c r="A277" s="424"/>
      <c r="B277" s="337" t="s">
        <v>734</v>
      </c>
      <c r="C277" s="327" t="s">
        <v>327</v>
      </c>
      <c r="D277" s="328">
        <f>+(D276-D278)*75%</f>
        <v>54000000</v>
      </c>
      <c r="E277" s="325">
        <f>SUM('ADICIONES  2021'!C277:N277)</f>
        <v>0</v>
      </c>
      <c r="F277" s="278">
        <f t="shared" ref="F277:J277" si="588">+(F276-F278)*75%</f>
        <v>0</v>
      </c>
      <c r="G277" s="278">
        <f t="shared" si="588"/>
        <v>0</v>
      </c>
      <c r="H277" s="278">
        <f t="shared" si="588"/>
        <v>0</v>
      </c>
      <c r="I277" s="278">
        <f t="shared" si="588"/>
        <v>0</v>
      </c>
      <c r="J277" s="278">
        <f t="shared" si="588"/>
        <v>0</v>
      </c>
      <c r="K277" s="281">
        <f t="shared" si="580"/>
        <v>54000000</v>
      </c>
      <c r="L277" s="278">
        <f t="shared" ref="L277:Q277" si="589">+(L276-L278)*75%</f>
        <v>4808917.1999999993</v>
      </c>
      <c r="M277" s="278">
        <f t="shared" si="589"/>
        <v>4392480.6839999994</v>
      </c>
      <c r="N277" s="278">
        <f t="shared" si="589"/>
        <v>6863447.3999999994</v>
      </c>
      <c r="O277" s="278">
        <f t="shared" si="589"/>
        <v>4398316.1999999993</v>
      </c>
      <c r="P277" s="278">
        <f t="shared" si="589"/>
        <v>4943945.4000000004</v>
      </c>
      <c r="Q277" s="278">
        <f t="shared" si="589"/>
        <v>3681353.4000000004</v>
      </c>
      <c r="R277" s="281">
        <f t="shared" si="586"/>
        <v>29088460.283999994</v>
      </c>
      <c r="S277" s="278">
        <f t="shared" ref="S277:Z277" si="590">+(S276-S278)*75%</f>
        <v>2463556.2000000002</v>
      </c>
      <c r="T277" s="278">
        <f t="shared" si="590"/>
        <v>1696894.7999999998</v>
      </c>
      <c r="U277" s="278">
        <f t="shared" si="590"/>
        <v>1700840.4000000001</v>
      </c>
      <c r="V277" s="278">
        <f t="shared" si="590"/>
        <v>1963905</v>
      </c>
      <c r="W277" s="278">
        <f t="shared" si="590"/>
        <v>1903471.7999999998</v>
      </c>
      <c r="X277" s="278">
        <f t="shared" si="590"/>
        <v>1967897.4000000001</v>
      </c>
      <c r="Y277" s="278">
        <f t="shared" si="590"/>
        <v>0</v>
      </c>
      <c r="Z277" s="278">
        <f t="shared" si="590"/>
        <v>0</v>
      </c>
      <c r="AA277" s="281">
        <f t="shared" si="480"/>
        <v>11696565.6</v>
      </c>
      <c r="AB277" s="403">
        <f t="shared" si="587"/>
        <v>40785025.883999996</v>
      </c>
      <c r="AC277" s="326">
        <f t="shared" si="479"/>
        <v>0.75527825711111107</v>
      </c>
    </row>
    <row r="278" spans="1:29" ht="25.5" hidden="1" x14ac:dyDescent="0.2">
      <c r="A278" s="424"/>
      <c r="B278" s="337" t="s">
        <v>735</v>
      </c>
      <c r="C278" s="329" t="s">
        <v>328</v>
      </c>
      <c r="D278" s="328">
        <f>+D276*20%</f>
        <v>18000000</v>
      </c>
      <c r="E278" s="325">
        <f>SUM('ADICIONES  2021'!C278:N278)</f>
        <v>0</v>
      </c>
      <c r="F278" s="278">
        <f t="shared" ref="F278:J278" si="591">+F276*20%</f>
        <v>0</v>
      </c>
      <c r="G278" s="278">
        <f t="shared" si="591"/>
        <v>0</v>
      </c>
      <c r="H278" s="278">
        <f t="shared" si="591"/>
        <v>0</v>
      </c>
      <c r="I278" s="278">
        <f t="shared" si="591"/>
        <v>0</v>
      </c>
      <c r="J278" s="278">
        <f t="shared" si="591"/>
        <v>0</v>
      </c>
      <c r="K278" s="281">
        <f t="shared" si="580"/>
        <v>18000000</v>
      </c>
      <c r="L278" s="278">
        <f t="shared" ref="L278:Q278" si="592">+L276*20%</f>
        <v>1602972.4000000001</v>
      </c>
      <c r="M278" s="278">
        <f t="shared" si="592"/>
        <v>1464160.2280000001</v>
      </c>
      <c r="N278" s="278">
        <f t="shared" si="592"/>
        <v>2287815.8000000003</v>
      </c>
      <c r="O278" s="278">
        <f t="shared" si="592"/>
        <v>1466105.4000000001</v>
      </c>
      <c r="P278" s="278">
        <f t="shared" si="592"/>
        <v>1647981.8</v>
      </c>
      <c r="Q278" s="278">
        <f t="shared" si="592"/>
        <v>1227117.8</v>
      </c>
      <c r="R278" s="281">
        <f t="shared" si="586"/>
        <v>9696153.4280000031</v>
      </c>
      <c r="S278" s="278">
        <f t="shared" ref="S278:Z278" si="593">+S276*20%</f>
        <v>821185.4</v>
      </c>
      <c r="T278" s="278">
        <f t="shared" si="593"/>
        <v>565631.6</v>
      </c>
      <c r="U278" s="278">
        <f t="shared" si="593"/>
        <v>566946.80000000005</v>
      </c>
      <c r="V278" s="278">
        <f t="shared" si="593"/>
        <v>654635</v>
      </c>
      <c r="W278" s="278">
        <f t="shared" si="593"/>
        <v>634490.60000000009</v>
      </c>
      <c r="X278" s="278">
        <f t="shared" si="593"/>
        <v>655965.80000000005</v>
      </c>
      <c r="Y278" s="278">
        <f t="shared" si="593"/>
        <v>0</v>
      </c>
      <c r="Z278" s="278">
        <f t="shared" si="593"/>
        <v>0</v>
      </c>
      <c r="AA278" s="281">
        <f t="shared" si="480"/>
        <v>3898855.2</v>
      </c>
      <c r="AB278" s="403">
        <f t="shared" si="587"/>
        <v>13595008.628000002</v>
      </c>
      <c r="AC278" s="326">
        <f t="shared" si="479"/>
        <v>0.7552782571111113</v>
      </c>
    </row>
    <row r="279" spans="1:29" ht="25.5" hidden="1" x14ac:dyDescent="0.2">
      <c r="A279" s="424"/>
      <c r="B279" s="337" t="s">
        <v>736</v>
      </c>
      <c r="C279" s="327" t="s">
        <v>329</v>
      </c>
      <c r="D279" s="328">
        <f>+D276-D277-D278</f>
        <v>18000000</v>
      </c>
      <c r="E279" s="325">
        <f>SUM('ADICIONES  2021'!C279:N279)</f>
        <v>0</v>
      </c>
      <c r="F279" s="278">
        <f t="shared" ref="F279:J279" si="594">+F276-F277-F278</f>
        <v>0</v>
      </c>
      <c r="G279" s="278">
        <f t="shared" si="594"/>
        <v>0</v>
      </c>
      <c r="H279" s="278">
        <f t="shared" si="594"/>
        <v>0</v>
      </c>
      <c r="I279" s="278">
        <f t="shared" si="594"/>
        <v>0</v>
      </c>
      <c r="J279" s="278">
        <f t="shared" si="594"/>
        <v>0</v>
      </c>
      <c r="K279" s="281">
        <f t="shared" si="580"/>
        <v>18000000</v>
      </c>
      <c r="L279" s="278">
        <f t="shared" ref="L279:Q279" si="595">+L276-L277-L278</f>
        <v>1602972.4000000006</v>
      </c>
      <c r="M279" s="278">
        <f t="shared" si="595"/>
        <v>1464160.2280000001</v>
      </c>
      <c r="N279" s="278">
        <f t="shared" si="595"/>
        <v>2287815.8000000003</v>
      </c>
      <c r="O279" s="278">
        <f t="shared" si="595"/>
        <v>1466105.4000000006</v>
      </c>
      <c r="P279" s="278">
        <f t="shared" si="595"/>
        <v>1647981.7999999996</v>
      </c>
      <c r="Q279" s="278">
        <f t="shared" si="595"/>
        <v>1227117.7999999996</v>
      </c>
      <c r="R279" s="281">
        <f t="shared" si="586"/>
        <v>9696153.4279999994</v>
      </c>
      <c r="S279" s="278">
        <f t="shared" ref="S279:Z279" si="596">+S276-S277-S278</f>
        <v>821185.39999999979</v>
      </c>
      <c r="T279" s="278">
        <f t="shared" si="596"/>
        <v>565631.60000000021</v>
      </c>
      <c r="U279" s="278">
        <f t="shared" si="596"/>
        <v>566946.79999999981</v>
      </c>
      <c r="V279" s="278">
        <f t="shared" si="596"/>
        <v>654635</v>
      </c>
      <c r="W279" s="278">
        <f t="shared" si="596"/>
        <v>634490.60000000009</v>
      </c>
      <c r="X279" s="278">
        <f t="shared" si="596"/>
        <v>655965.79999999981</v>
      </c>
      <c r="Y279" s="278">
        <f t="shared" si="596"/>
        <v>0</v>
      </c>
      <c r="Z279" s="278">
        <f t="shared" si="596"/>
        <v>0</v>
      </c>
      <c r="AA279" s="281">
        <f t="shared" si="480"/>
        <v>3898855.1999999997</v>
      </c>
      <c r="AB279" s="403">
        <f t="shared" si="587"/>
        <v>13595008.627999999</v>
      </c>
      <c r="AC279" s="326">
        <f t="shared" si="479"/>
        <v>0.75527825711111107</v>
      </c>
    </row>
    <row r="280" spans="1:29" s="19" customFormat="1" x14ac:dyDescent="0.2">
      <c r="A280" s="429">
        <v>1</v>
      </c>
      <c r="B280" s="337" t="s">
        <v>737</v>
      </c>
      <c r="C280" s="431" t="s">
        <v>738</v>
      </c>
      <c r="D280" s="340">
        <v>188000000</v>
      </c>
      <c r="E280" s="322">
        <f>SUM('ADICIONES  2021'!C280:N280)</f>
        <v>0</v>
      </c>
      <c r="F280" s="284"/>
      <c r="G280" s="284"/>
      <c r="H280" s="284"/>
      <c r="I280" s="284"/>
      <c r="J280" s="284"/>
      <c r="K280" s="281">
        <f t="shared" si="580"/>
        <v>188000000</v>
      </c>
      <c r="L280" s="284">
        <v>4218189</v>
      </c>
      <c r="M280" s="284">
        <v>7024563</v>
      </c>
      <c r="N280" s="284">
        <v>13374526</v>
      </c>
      <c r="O280" s="284">
        <v>7774647</v>
      </c>
      <c r="P280" s="284">
        <v>9513861</v>
      </c>
      <c r="Q280" s="284">
        <v>6784426</v>
      </c>
      <c r="R280" s="281">
        <f t="shared" si="586"/>
        <v>48690212</v>
      </c>
      <c r="S280" s="305">
        <v>5319932</v>
      </c>
      <c r="T280" s="305">
        <v>2849454</v>
      </c>
      <c r="U280" s="305">
        <v>2557748</v>
      </c>
      <c r="V280" s="305">
        <v>3673553</v>
      </c>
      <c r="W280" s="305">
        <v>3236740</v>
      </c>
      <c r="X280" s="305">
        <v>4172438</v>
      </c>
      <c r="Y280" s="305"/>
      <c r="Z280" s="284"/>
      <c r="AA280" s="276">
        <f t="shared" si="480"/>
        <v>21809865</v>
      </c>
      <c r="AB280" s="403">
        <f t="shared" si="587"/>
        <v>70500077</v>
      </c>
      <c r="AC280" s="326">
        <f t="shared" si="479"/>
        <v>0.37500040957446806</v>
      </c>
    </row>
    <row r="281" spans="1:29" ht="14.25" hidden="1" x14ac:dyDescent="0.2">
      <c r="A281" s="424"/>
      <c r="B281" s="337" t="s">
        <v>739</v>
      </c>
      <c r="C281" s="327" t="s">
        <v>97</v>
      </c>
      <c r="D281" s="328">
        <f>+D280*75%</f>
        <v>141000000</v>
      </c>
      <c r="E281" s="325">
        <f>SUM('ADICIONES  2021'!C281:N281)</f>
        <v>0</v>
      </c>
      <c r="F281" s="278">
        <f t="shared" ref="F281:J281" si="597">+F280*75%</f>
        <v>0</v>
      </c>
      <c r="G281" s="278">
        <f t="shared" si="597"/>
        <v>0</v>
      </c>
      <c r="H281" s="278">
        <f t="shared" si="597"/>
        <v>0</v>
      </c>
      <c r="I281" s="278">
        <f t="shared" si="597"/>
        <v>0</v>
      </c>
      <c r="J281" s="278">
        <f t="shared" si="597"/>
        <v>0</v>
      </c>
      <c r="K281" s="281">
        <f t="shared" si="580"/>
        <v>141000000</v>
      </c>
      <c r="L281" s="278">
        <f t="shared" ref="L281:Q281" si="598">+L280*75%</f>
        <v>3163641.75</v>
      </c>
      <c r="M281" s="278">
        <f t="shared" si="598"/>
        <v>5268422.25</v>
      </c>
      <c r="N281" s="278">
        <f t="shared" si="598"/>
        <v>10030894.5</v>
      </c>
      <c r="O281" s="278">
        <f t="shared" si="598"/>
        <v>5830985.25</v>
      </c>
      <c r="P281" s="278">
        <f t="shared" si="598"/>
        <v>7135395.75</v>
      </c>
      <c r="Q281" s="278">
        <f t="shared" si="598"/>
        <v>5088319.5</v>
      </c>
      <c r="R281" s="281">
        <f t="shared" si="586"/>
        <v>36517659</v>
      </c>
      <c r="S281" s="278">
        <f t="shared" ref="S281:Z281" si="599">+S280*75%</f>
        <v>3989949</v>
      </c>
      <c r="T281" s="278">
        <f t="shared" si="599"/>
        <v>2137090.5</v>
      </c>
      <c r="U281" s="278">
        <f t="shared" si="599"/>
        <v>1918311</v>
      </c>
      <c r="V281" s="278">
        <f t="shared" si="599"/>
        <v>2755164.75</v>
      </c>
      <c r="W281" s="278">
        <f t="shared" si="599"/>
        <v>2427555</v>
      </c>
      <c r="X281" s="278">
        <f t="shared" si="599"/>
        <v>3129328.5</v>
      </c>
      <c r="Y281" s="278">
        <f t="shared" si="599"/>
        <v>0</v>
      </c>
      <c r="Z281" s="278">
        <f t="shared" si="599"/>
        <v>0</v>
      </c>
      <c r="AA281" s="281">
        <f t="shared" ref="AA281:AA606" si="600">SUM(S281:Z281)</f>
        <v>16357398.75</v>
      </c>
      <c r="AB281" s="403">
        <f t="shared" si="587"/>
        <v>52875057.75</v>
      </c>
      <c r="AC281" s="326">
        <f t="shared" si="479"/>
        <v>0.37500040957446806</v>
      </c>
    </row>
    <row r="282" spans="1:29" ht="14.25" hidden="1" x14ac:dyDescent="0.2">
      <c r="A282" s="424"/>
      <c r="B282" s="323" t="s">
        <v>740</v>
      </c>
      <c r="C282" s="206" t="s">
        <v>98</v>
      </c>
      <c r="D282" s="328">
        <f>+D280*12%</f>
        <v>22560000</v>
      </c>
      <c r="E282" s="325">
        <f>SUM('ADICIONES  2021'!C282:N282)</f>
        <v>0</v>
      </c>
      <c r="F282" s="278">
        <f t="shared" ref="F282:J282" si="601">+F280*12%</f>
        <v>0</v>
      </c>
      <c r="G282" s="278">
        <f t="shared" si="601"/>
        <v>0</v>
      </c>
      <c r="H282" s="278">
        <f t="shared" si="601"/>
        <v>0</v>
      </c>
      <c r="I282" s="278">
        <f t="shared" si="601"/>
        <v>0</v>
      </c>
      <c r="J282" s="278">
        <f t="shared" si="601"/>
        <v>0</v>
      </c>
      <c r="K282" s="281">
        <f t="shared" si="580"/>
        <v>22560000</v>
      </c>
      <c r="L282" s="278">
        <f t="shared" ref="L282:Q282" si="602">+L280*12%</f>
        <v>506182.68</v>
      </c>
      <c r="M282" s="278">
        <f t="shared" si="602"/>
        <v>842947.55999999994</v>
      </c>
      <c r="N282" s="278">
        <f t="shared" si="602"/>
        <v>1604943.1199999999</v>
      </c>
      <c r="O282" s="278">
        <f t="shared" si="602"/>
        <v>932957.64</v>
      </c>
      <c r="P282" s="278">
        <f t="shared" si="602"/>
        <v>1141663.32</v>
      </c>
      <c r="Q282" s="278">
        <f t="shared" si="602"/>
        <v>814131.12</v>
      </c>
      <c r="R282" s="281">
        <f t="shared" si="586"/>
        <v>5842825.4400000004</v>
      </c>
      <c r="S282" s="278">
        <f t="shared" ref="S282:Z282" si="603">+S280*12%</f>
        <v>638391.84</v>
      </c>
      <c r="T282" s="278">
        <f t="shared" si="603"/>
        <v>341934.48</v>
      </c>
      <c r="U282" s="278">
        <f t="shared" si="603"/>
        <v>306929.76</v>
      </c>
      <c r="V282" s="278">
        <f t="shared" si="603"/>
        <v>440826.36</v>
      </c>
      <c r="W282" s="278">
        <f t="shared" si="603"/>
        <v>388408.8</v>
      </c>
      <c r="X282" s="278">
        <f t="shared" si="603"/>
        <v>500692.56</v>
      </c>
      <c r="Y282" s="278">
        <f t="shared" si="603"/>
        <v>0</v>
      </c>
      <c r="Z282" s="278">
        <f t="shared" si="603"/>
        <v>0</v>
      </c>
      <c r="AA282" s="281">
        <f t="shared" si="600"/>
        <v>2617183.7999999998</v>
      </c>
      <c r="AB282" s="403">
        <f t="shared" si="587"/>
        <v>8460009.2400000002</v>
      </c>
      <c r="AC282" s="326">
        <f t="shared" si="479"/>
        <v>0.37500040957446812</v>
      </c>
    </row>
    <row r="283" spans="1:29" ht="14.25" hidden="1" x14ac:dyDescent="0.2">
      <c r="A283" s="424"/>
      <c r="B283" s="323" t="s">
        <v>741</v>
      </c>
      <c r="C283" s="206" t="s">
        <v>99</v>
      </c>
      <c r="D283" s="328">
        <f>+D280*8%</f>
        <v>15040000</v>
      </c>
      <c r="E283" s="325">
        <f>SUM('ADICIONES  2021'!C283:N283)</f>
        <v>0</v>
      </c>
      <c r="F283" s="278">
        <f t="shared" ref="F283:J283" si="604">+F280*8%</f>
        <v>0</v>
      </c>
      <c r="G283" s="278">
        <f t="shared" si="604"/>
        <v>0</v>
      </c>
      <c r="H283" s="278">
        <f t="shared" si="604"/>
        <v>0</v>
      </c>
      <c r="I283" s="278">
        <f t="shared" si="604"/>
        <v>0</v>
      </c>
      <c r="J283" s="278">
        <f t="shared" si="604"/>
        <v>0</v>
      </c>
      <c r="K283" s="281">
        <f t="shared" si="580"/>
        <v>15040000</v>
      </c>
      <c r="L283" s="278">
        <f t="shared" ref="L283:Q283" si="605">+L280*8%</f>
        <v>337455.12</v>
      </c>
      <c r="M283" s="278">
        <f t="shared" si="605"/>
        <v>561965.04</v>
      </c>
      <c r="N283" s="278">
        <f t="shared" si="605"/>
        <v>1069962.08</v>
      </c>
      <c r="O283" s="278">
        <f t="shared" si="605"/>
        <v>621971.76</v>
      </c>
      <c r="P283" s="278">
        <f t="shared" si="605"/>
        <v>761108.88</v>
      </c>
      <c r="Q283" s="278">
        <f t="shared" si="605"/>
        <v>542754.07999999996</v>
      </c>
      <c r="R283" s="281">
        <f t="shared" si="586"/>
        <v>3895216.96</v>
      </c>
      <c r="S283" s="278">
        <f t="shared" ref="S283:Z283" si="606">+S280*8%</f>
        <v>425594.56</v>
      </c>
      <c r="T283" s="278">
        <f t="shared" si="606"/>
        <v>227956.32</v>
      </c>
      <c r="U283" s="278">
        <f t="shared" si="606"/>
        <v>204619.84</v>
      </c>
      <c r="V283" s="278">
        <f t="shared" si="606"/>
        <v>293884.24</v>
      </c>
      <c r="W283" s="278">
        <f t="shared" si="606"/>
        <v>258939.2</v>
      </c>
      <c r="X283" s="278">
        <f t="shared" si="606"/>
        <v>333795.03999999998</v>
      </c>
      <c r="Y283" s="278">
        <f t="shared" si="606"/>
        <v>0</v>
      </c>
      <c r="Z283" s="278">
        <f t="shared" si="606"/>
        <v>0</v>
      </c>
      <c r="AA283" s="281">
        <f t="shared" si="600"/>
        <v>1744789.2</v>
      </c>
      <c r="AB283" s="403">
        <f t="shared" si="587"/>
        <v>5640006.1600000001</v>
      </c>
      <c r="AC283" s="326">
        <f t="shared" si="479"/>
        <v>0.37500040957446812</v>
      </c>
    </row>
    <row r="284" spans="1:29" ht="14.25" hidden="1" x14ac:dyDescent="0.2">
      <c r="A284" s="424"/>
      <c r="B284" s="323" t="s">
        <v>742</v>
      </c>
      <c r="C284" s="206" t="s">
        <v>100</v>
      </c>
      <c r="D284" s="328">
        <f>+D280*3%</f>
        <v>5640000</v>
      </c>
      <c r="E284" s="325">
        <f>SUM('ADICIONES  2021'!C284:N284)</f>
        <v>0</v>
      </c>
      <c r="F284" s="278">
        <f t="shared" ref="F284:J284" si="607">+F280*3%</f>
        <v>0</v>
      </c>
      <c r="G284" s="278">
        <f t="shared" si="607"/>
        <v>0</v>
      </c>
      <c r="H284" s="278">
        <f t="shared" si="607"/>
        <v>0</v>
      </c>
      <c r="I284" s="278">
        <f t="shared" si="607"/>
        <v>0</v>
      </c>
      <c r="J284" s="278">
        <f t="shared" si="607"/>
        <v>0</v>
      </c>
      <c r="K284" s="281">
        <f t="shared" si="580"/>
        <v>5640000</v>
      </c>
      <c r="L284" s="278">
        <f t="shared" ref="L284:Q284" si="608">+L280*3%</f>
        <v>126545.67</v>
      </c>
      <c r="M284" s="278">
        <f t="shared" si="608"/>
        <v>210736.88999999998</v>
      </c>
      <c r="N284" s="278">
        <f t="shared" si="608"/>
        <v>401235.77999999997</v>
      </c>
      <c r="O284" s="278">
        <f t="shared" si="608"/>
        <v>233239.41</v>
      </c>
      <c r="P284" s="278">
        <f t="shared" si="608"/>
        <v>285415.83</v>
      </c>
      <c r="Q284" s="278">
        <f t="shared" si="608"/>
        <v>203532.78</v>
      </c>
      <c r="R284" s="281">
        <f t="shared" si="586"/>
        <v>1460706.36</v>
      </c>
      <c r="S284" s="278">
        <f t="shared" ref="S284:Z284" si="609">+S280*3%</f>
        <v>159597.96</v>
      </c>
      <c r="T284" s="278">
        <f t="shared" si="609"/>
        <v>85483.62</v>
      </c>
      <c r="U284" s="278">
        <f t="shared" si="609"/>
        <v>76732.44</v>
      </c>
      <c r="V284" s="278">
        <f t="shared" si="609"/>
        <v>110206.59</v>
      </c>
      <c r="W284" s="278">
        <f t="shared" si="609"/>
        <v>97102.2</v>
      </c>
      <c r="X284" s="278">
        <f t="shared" si="609"/>
        <v>125173.14</v>
      </c>
      <c r="Y284" s="278">
        <f t="shared" si="609"/>
        <v>0</v>
      </c>
      <c r="Z284" s="278">
        <f t="shared" si="609"/>
        <v>0</v>
      </c>
      <c r="AA284" s="281">
        <f t="shared" si="600"/>
        <v>654295.94999999995</v>
      </c>
      <c r="AB284" s="403">
        <f t="shared" si="587"/>
        <v>2115002.31</v>
      </c>
      <c r="AC284" s="326">
        <f t="shared" si="479"/>
        <v>0.37500040957446812</v>
      </c>
    </row>
    <row r="285" spans="1:29" ht="25.5" hidden="1" x14ac:dyDescent="0.2">
      <c r="A285" s="424"/>
      <c r="B285" s="323" t="s">
        <v>743</v>
      </c>
      <c r="C285" s="206" t="s">
        <v>101</v>
      </c>
      <c r="D285" s="328">
        <f>+D280*2%</f>
        <v>3760000</v>
      </c>
      <c r="E285" s="325">
        <f>SUM('ADICIONES  2021'!C285:N285)</f>
        <v>0</v>
      </c>
      <c r="F285" s="278">
        <f t="shared" ref="F285:J285" si="610">+F280*2%</f>
        <v>0</v>
      </c>
      <c r="G285" s="278">
        <f t="shared" si="610"/>
        <v>0</v>
      </c>
      <c r="H285" s="278">
        <f t="shared" si="610"/>
        <v>0</v>
      </c>
      <c r="I285" s="278">
        <f t="shared" si="610"/>
        <v>0</v>
      </c>
      <c r="J285" s="278">
        <f t="shared" si="610"/>
        <v>0</v>
      </c>
      <c r="K285" s="281">
        <f t="shared" si="580"/>
        <v>3760000</v>
      </c>
      <c r="L285" s="278">
        <f t="shared" ref="L285:Q285" si="611">+L280*2%</f>
        <v>84363.78</v>
      </c>
      <c r="M285" s="278">
        <f t="shared" si="611"/>
        <v>140491.26</v>
      </c>
      <c r="N285" s="278">
        <f t="shared" si="611"/>
        <v>267490.52</v>
      </c>
      <c r="O285" s="278">
        <f t="shared" si="611"/>
        <v>155492.94</v>
      </c>
      <c r="P285" s="278">
        <f t="shared" si="611"/>
        <v>190277.22</v>
      </c>
      <c r="Q285" s="278">
        <f t="shared" si="611"/>
        <v>135688.51999999999</v>
      </c>
      <c r="R285" s="281">
        <f t="shared" si="586"/>
        <v>973804.24</v>
      </c>
      <c r="S285" s="278">
        <f t="shared" ref="S285:Z285" si="612">+S280*2%</f>
        <v>106398.64</v>
      </c>
      <c r="T285" s="278">
        <f t="shared" si="612"/>
        <v>56989.08</v>
      </c>
      <c r="U285" s="278">
        <f t="shared" si="612"/>
        <v>51154.96</v>
      </c>
      <c r="V285" s="278">
        <f t="shared" si="612"/>
        <v>73471.06</v>
      </c>
      <c r="W285" s="278">
        <f t="shared" si="612"/>
        <v>64734.8</v>
      </c>
      <c r="X285" s="278">
        <f t="shared" si="612"/>
        <v>83448.759999999995</v>
      </c>
      <c r="Y285" s="278">
        <f t="shared" si="612"/>
        <v>0</v>
      </c>
      <c r="Z285" s="278">
        <f t="shared" si="612"/>
        <v>0</v>
      </c>
      <c r="AA285" s="281">
        <f t="shared" si="600"/>
        <v>436197.3</v>
      </c>
      <c r="AB285" s="403">
        <f t="shared" si="587"/>
        <v>1410001.54</v>
      </c>
      <c r="AC285" s="326">
        <f t="shared" si="479"/>
        <v>0.37500040957446812</v>
      </c>
    </row>
    <row r="286" spans="1:29" s="19" customFormat="1" x14ac:dyDescent="0.2">
      <c r="A286" s="429">
        <v>1</v>
      </c>
      <c r="B286" s="323" t="s">
        <v>744</v>
      </c>
      <c r="C286" s="206" t="s">
        <v>745</v>
      </c>
      <c r="D286" s="331">
        <v>125000000</v>
      </c>
      <c r="E286" s="322">
        <f>SUM('ADICIONES  2021'!C286:N286)</f>
        <v>0</v>
      </c>
      <c r="F286" s="276"/>
      <c r="G286" s="276"/>
      <c r="H286" s="276"/>
      <c r="I286" s="276"/>
      <c r="J286" s="276"/>
      <c r="K286" s="281">
        <f t="shared" si="580"/>
        <v>125000000</v>
      </c>
      <c r="L286" s="276">
        <v>429995.61</v>
      </c>
      <c r="M286" s="276">
        <v>1465183.09</v>
      </c>
      <c r="N286" s="276">
        <v>4083618.22</v>
      </c>
      <c r="O286" s="276">
        <v>4173267.68</v>
      </c>
      <c r="P286" s="276">
        <v>4753158.95</v>
      </c>
      <c r="Q286" s="276">
        <v>4644350.3600000003</v>
      </c>
      <c r="R286" s="281">
        <f t="shared" si="586"/>
        <v>19549573.91</v>
      </c>
      <c r="S286" s="281">
        <v>3982974.72</v>
      </c>
      <c r="T286" s="281">
        <v>1925824.25</v>
      </c>
      <c r="U286" s="281">
        <v>2587119.9500000002</v>
      </c>
      <c r="V286" s="281">
        <v>3390929.63</v>
      </c>
      <c r="W286" s="281">
        <v>4655848.67</v>
      </c>
      <c r="X286" s="281">
        <v>6112581.6900000004</v>
      </c>
      <c r="Y286" s="281"/>
      <c r="Z286" s="276"/>
      <c r="AA286" s="276">
        <f t="shared" si="600"/>
        <v>22655278.91</v>
      </c>
      <c r="AB286" s="403">
        <f t="shared" si="587"/>
        <v>42204852.82</v>
      </c>
      <c r="AC286" s="326">
        <f t="shared" si="479"/>
        <v>0.33763882256</v>
      </c>
    </row>
    <row r="287" spans="1:29" ht="25.5" hidden="1" x14ac:dyDescent="0.2">
      <c r="A287" s="424"/>
      <c r="B287" s="323" t="s">
        <v>746</v>
      </c>
      <c r="C287" s="206" t="s">
        <v>102</v>
      </c>
      <c r="D287" s="332">
        <f>+D286</f>
        <v>125000000</v>
      </c>
      <c r="E287" s="325">
        <f>SUM('ADICIONES  2021'!C287:N287)</f>
        <v>0</v>
      </c>
      <c r="F287" s="281">
        <f t="shared" ref="F287:J287" si="613">+F286</f>
        <v>0</v>
      </c>
      <c r="G287" s="281">
        <f t="shared" si="613"/>
        <v>0</v>
      </c>
      <c r="H287" s="281">
        <f t="shared" si="613"/>
        <v>0</v>
      </c>
      <c r="I287" s="281">
        <f t="shared" si="613"/>
        <v>0</v>
      </c>
      <c r="J287" s="281">
        <f t="shared" si="613"/>
        <v>0</v>
      </c>
      <c r="K287" s="281">
        <f t="shared" si="580"/>
        <v>125000000</v>
      </c>
      <c r="L287" s="281">
        <f t="shared" ref="L287:Q287" si="614">+L286</f>
        <v>429995.61</v>
      </c>
      <c r="M287" s="281">
        <f t="shared" si="614"/>
        <v>1465183.09</v>
      </c>
      <c r="N287" s="281">
        <f t="shared" si="614"/>
        <v>4083618.22</v>
      </c>
      <c r="O287" s="281">
        <f t="shared" si="614"/>
        <v>4173267.68</v>
      </c>
      <c r="P287" s="281">
        <f t="shared" si="614"/>
        <v>4753158.95</v>
      </c>
      <c r="Q287" s="281">
        <f t="shared" si="614"/>
        <v>4644350.3600000003</v>
      </c>
      <c r="R287" s="281">
        <f t="shared" si="586"/>
        <v>19549573.91</v>
      </c>
      <c r="S287" s="281">
        <f t="shared" ref="S287:Z287" si="615">+S286</f>
        <v>3982974.72</v>
      </c>
      <c r="T287" s="281">
        <f t="shared" si="615"/>
        <v>1925824.25</v>
      </c>
      <c r="U287" s="281">
        <f t="shared" si="615"/>
        <v>2587119.9500000002</v>
      </c>
      <c r="V287" s="281">
        <f t="shared" si="615"/>
        <v>3390929.63</v>
      </c>
      <c r="W287" s="281">
        <f t="shared" si="615"/>
        <v>4655848.67</v>
      </c>
      <c r="X287" s="281">
        <f t="shared" si="615"/>
        <v>6112581.6900000004</v>
      </c>
      <c r="Y287" s="281">
        <f t="shared" si="615"/>
        <v>0</v>
      </c>
      <c r="Z287" s="281">
        <f t="shared" si="615"/>
        <v>0</v>
      </c>
      <c r="AA287" s="281">
        <f t="shared" si="600"/>
        <v>22655278.91</v>
      </c>
      <c r="AB287" s="403">
        <f t="shared" si="587"/>
        <v>42204852.82</v>
      </c>
      <c r="AC287" s="326">
        <f t="shared" si="479"/>
        <v>0.33763882256</v>
      </c>
    </row>
    <row r="288" spans="1:29" s="19" customFormat="1" x14ac:dyDescent="0.2">
      <c r="A288" s="429">
        <v>1</v>
      </c>
      <c r="B288" s="323" t="s">
        <v>747</v>
      </c>
      <c r="C288" s="206" t="s">
        <v>748</v>
      </c>
      <c r="D288" s="331">
        <v>0</v>
      </c>
      <c r="E288" s="322">
        <f>SUM('ADICIONES  2021'!C288:N288)</f>
        <v>0</v>
      </c>
      <c r="F288" s="276"/>
      <c r="G288" s="276"/>
      <c r="H288" s="276"/>
      <c r="I288" s="276"/>
      <c r="J288" s="276"/>
      <c r="K288" s="281">
        <f t="shared" si="580"/>
        <v>0</v>
      </c>
      <c r="L288" s="276">
        <v>170430.73</v>
      </c>
      <c r="M288" s="276">
        <v>146639.75</v>
      </c>
      <c r="N288" s="276">
        <v>155552.29999999999</v>
      </c>
      <c r="O288" s="276">
        <v>150229.19</v>
      </c>
      <c r="P288" s="276">
        <v>169600.06</v>
      </c>
      <c r="Q288" s="276">
        <v>186115.83</v>
      </c>
      <c r="R288" s="281">
        <f t="shared" si="586"/>
        <v>978567.86</v>
      </c>
      <c r="S288" s="281">
        <v>191405.25</v>
      </c>
      <c r="T288" s="281">
        <v>197700.15</v>
      </c>
      <c r="U288" s="281">
        <v>182790.29</v>
      </c>
      <c r="V288" s="281">
        <v>208540.53</v>
      </c>
      <c r="W288" s="281">
        <v>253848.92</v>
      </c>
      <c r="X288" s="281">
        <v>287315.82</v>
      </c>
      <c r="Y288" s="281"/>
      <c r="Z288" s="276"/>
      <c r="AA288" s="276">
        <f t="shared" si="600"/>
        <v>1321600.9600000002</v>
      </c>
      <c r="AB288" s="403">
        <f t="shared" si="587"/>
        <v>2300168.8200000003</v>
      </c>
      <c r="AC288" s="326">
        <v>0</v>
      </c>
    </row>
    <row r="289" spans="1:29" ht="14.25" hidden="1" x14ac:dyDescent="0.2">
      <c r="A289" s="424"/>
      <c r="B289" s="323" t="s">
        <v>749</v>
      </c>
      <c r="C289" s="206" t="s">
        <v>238</v>
      </c>
      <c r="D289" s="328">
        <f>+D288*80%</f>
        <v>0</v>
      </c>
      <c r="E289" s="325">
        <f>SUM('ADICIONES  2021'!C289:N289)</f>
        <v>0</v>
      </c>
      <c r="F289" s="278">
        <f t="shared" ref="F289:J289" si="616">+F288*80%</f>
        <v>0</v>
      </c>
      <c r="G289" s="278">
        <f t="shared" si="616"/>
        <v>0</v>
      </c>
      <c r="H289" s="278">
        <f t="shared" si="616"/>
        <v>0</v>
      </c>
      <c r="I289" s="278">
        <f t="shared" si="616"/>
        <v>0</v>
      </c>
      <c r="J289" s="278">
        <f t="shared" si="616"/>
        <v>0</v>
      </c>
      <c r="K289" s="281">
        <f t="shared" si="580"/>
        <v>0</v>
      </c>
      <c r="L289" s="278">
        <f t="shared" ref="L289:Q289" si="617">+L288*80%</f>
        <v>136344.584</v>
      </c>
      <c r="M289" s="278">
        <f t="shared" si="617"/>
        <v>117311.8</v>
      </c>
      <c r="N289" s="278">
        <f t="shared" si="617"/>
        <v>124441.84</v>
      </c>
      <c r="O289" s="278">
        <f t="shared" si="617"/>
        <v>120183.35200000001</v>
      </c>
      <c r="P289" s="278">
        <f t="shared" si="617"/>
        <v>135680.04800000001</v>
      </c>
      <c r="Q289" s="278">
        <f t="shared" si="617"/>
        <v>148892.66399999999</v>
      </c>
      <c r="R289" s="281">
        <f t="shared" si="586"/>
        <v>782854.28800000006</v>
      </c>
      <c r="S289" s="278">
        <f t="shared" ref="S289:Z289" si="618">+S288*80%</f>
        <v>153124.20000000001</v>
      </c>
      <c r="T289" s="278">
        <f t="shared" si="618"/>
        <v>158160.12</v>
      </c>
      <c r="U289" s="278">
        <f t="shared" si="618"/>
        <v>146232.23200000002</v>
      </c>
      <c r="V289" s="278">
        <f t="shared" si="618"/>
        <v>166832.424</v>
      </c>
      <c r="W289" s="278">
        <f t="shared" si="618"/>
        <v>203079.13600000003</v>
      </c>
      <c r="X289" s="278">
        <f t="shared" si="618"/>
        <v>229852.65600000002</v>
      </c>
      <c r="Y289" s="278">
        <f t="shared" si="618"/>
        <v>0</v>
      </c>
      <c r="Z289" s="278">
        <f t="shared" si="618"/>
        <v>0</v>
      </c>
      <c r="AA289" s="281">
        <f t="shared" si="600"/>
        <v>1057280.7680000002</v>
      </c>
      <c r="AB289" s="403">
        <f t="shared" si="587"/>
        <v>1840135.0560000003</v>
      </c>
      <c r="AC289" s="326">
        <v>0</v>
      </c>
    </row>
    <row r="290" spans="1:29" ht="14.25" hidden="1" x14ac:dyDescent="0.2">
      <c r="A290" s="424"/>
      <c r="B290" s="323" t="s">
        <v>750</v>
      </c>
      <c r="C290" s="206" t="s">
        <v>751</v>
      </c>
      <c r="D290" s="328">
        <f>+D288*20%</f>
        <v>0</v>
      </c>
      <c r="E290" s="325">
        <f>SUM('ADICIONES  2021'!C290:N290)</f>
        <v>0</v>
      </c>
      <c r="F290" s="278">
        <f t="shared" ref="F290:J290" si="619">+F288*20%</f>
        <v>0</v>
      </c>
      <c r="G290" s="278">
        <f t="shared" si="619"/>
        <v>0</v>
      </c>
      <c r="H290" s="278">
        <f t="shared" si="619"/>
        <v>0</v>
      </c>
      <c r="I290" s="278">
        <f t="shared" si="619"/>
        <v>0</v>
      </c>
      <c r="J290" s="278">
        <f t="shared" si="619"/>
        <v>0</v>
      </c>
      <c r="K290" s="281">
        <f t="shared" si="580"/>
        <v>0</v>
      </c>
      <c r="L290" s="278">
        <f t="shared" ref="L290:Q290" si="620">+L288*20%</f>
        <v>34086.146000000001</v>
      </c>
      <c r="M290" s="278">
        <f t="shared" si="620"/>
        <v>29327.95</v>
      </c>
      <c r="N290" s="278">
        <f t="shared" si="620"/>
        <v>31110.46</v>
      </c>
      <c r="O290" s="278">
        <f t="shared" si="620"/>
        <v>30045.838000000003</v>
      </c>
      <c r="P290" s="278">
        <f t="shared" si="620"/>
        <v>33920.012000000002</v>
      </c>
      <c r="Q290" s="278">
        <f t="shared" si="620"/>
        <v>37223.165999999997</v>
      </c>
      <c r="R290" s="281">
        <f t="shared" si="586"/>
        <v>195713.57200000001</v>
      </c>
      <c r="S290" s="278">
        <f t="shared" ref="S290:Z290" si="621">+S288*20%</f>
        <v>38281.050000000003</v>
      </c>
      <c r="T290" s="278">
        <f t="shared" si="621"/>
        <v>39540.03</v>
      </c>
      <c r="U290" s="278">
        <f t="shared" si="621"/>
        <v>36558.058000000005</v>
      </c>
      <c r="V290" s="278">
        <f t="shared" si="621"/>
        <v>41708.106</v>
      </c>
      <c r="W290" s="278">
        <f t="shared" si="621"/>
        <v>50769.784000000007</v>
      </c>
      <c r="X290" s="278">
        <f t="shared" si="621"/>
        <v>57463.164000000004</v>
      </c>
      <c r="Y290" s="278">
        <f t="shared" si="621"/>
        <v>0</v>
      </c>
      <c r="Z290" s="278">
        <f t="shared" si="621"/>
        <v>0</v>
      </c>
      <c r="AA290" s="281">
        <f t="shared" si="600"/>
        <v>264320.19200000004</v>
      </c>
      <c r="AB290" s="403">
        <f t="shared" si="587"/>
        <v>460033.76400000008</v>
      </c>
      <c r="AC290" s="326">
        <v>0</v>
      </c>
    </row>
    <row r="291" spans="1:29" ht="14.25" x14ac:dyDescent="0.2">
      <c r="A291" s="427">
        <v>1</v>
      </c>
      <c r="B291" s="323" t="s">
        <v>752</v>
      </c>
      <c r="C291" s="206" t="s">
        <v>753</v>
      </c>
      <c r="D291" s="332"/>
      <c r="E291" s="325">
        <f>SUM('ADICIONES  2021'!C291:N291)</f>
        <v>0</v>
      </c>
      <c r="F291" s="281"/>
      <c r="G291" s="281"/>
      <c r="H291" s="281"/>
      <c r="I291" s="281"/>
      <c r="J291" s="281"/>
      <c r="K291" s="281">
        <f t="shared" si="580"/>
        <v>0</v>
      </c>
      <c r="L291" s="281">
        <v>513510</v>
      </c>
      <c r="M291" s="281">
        <v>0</v>
      </c>
      <c r="N291" s="281">
        <v>2289059</v>
      </c>
      <c r="O291" s="281">
        <v>1095373</v>
      </c>
      <c r="P291" s="281">
        <v>884226</v>
      </c>
      <c r="Q291" s="281">
        <v>361589</v>
      </c>
      <c r="R291" s="281">
        <f t="shared" si="586"/>
        <v>5143757</v>
      </c>
      <c r="S291" s="281">
        <v>270430</v>
      </c>
      <c r="T291" s="281">
        <v>191851</v>
      </c>
      <c r="U291" s="281">
        <v>154841</v>
      </c>
      <c r="V291" s="281">
        <v>341657</v>
      </c>
      <c r="W291" s="281">
        <v>232791</v>
      </c>
      <c r="X291" s="281">
        <v>529520</v>
      </c>
      <c r="Y291" s="281"/>
      <c r="Z291" s="281"/>
      <c r="AA291" s="281">
        <f t="shared" si="600"/>
        <v>1721090</v>
      </c>
      <c r="AB291" s="403">
        <f t="shared" si="587"/>
        <v>6864847</v>
      </c>
      <c r="AC291" s="326">
        <v>0</v>
      </c>
    </row>
    <row r="292" spans="1:29" ht="14.25" x14ac:dyDescent="0.2">
      <c r="A292" s="427">
        <v>1</v>
      </c>
      <c r="B292" s="323" t="s">
        <v>754</v>
      </c>
      <c r="C292" s="206" t="s">
        <v>239</v>
      </c>
      <c r="D292" s="332"/>
      <c r="E292" s="325">
        <f>SUM('ADICIONES  2021'!C292:N292)</f>
        <v>0</v>
      </c>
      <c r="F292" s="281"/>
      <c r="G292" s="281"/>
      <c r="H292" s="281"/>
      <c r="I292" s="281"/>
      <c r="J292" s="281"/>
      <c r="K292" s="281">
        <f t="shared" si="580"/>
        <v>0</v>
      </c>
      <c r="L292" s="281">
        <v>376462.83</v>
      </c>
      <c r="M292" s="281">
        <v>138248</v>
      </c>
      <c r="N292" s="281">
        <v>136073</v>
      </c>
      <c r="O292" s="281">
        <v>296741.78999999998</v>
      </c>
      <c r="P292" s="281">
        <v>143867</v>
      </c>
      <c r="Q292" s="281">
        <v>187986.36</v>
      </c>
      <c r="R292" s="281">
        <f t="shared" si="586"/>
        <v>1279378.98</v>
      </c>
      <c r="S292" s="281">
        <v>371400.39</v>
      </c>
      <c r="T292" s="281">
        <v>564008.91</v>
      </c>
      <c r="U292" s="281">
        <v>252440</v>
      </c>
      <c r="V292" s="281">
        <v>126559</v>
      </c>
      <c r="W292" s="281">
        <v>-747164</v>
      </c>
      <c r="X292" s="281">
        <v>3038986.98</v>
      </c>
      <c r="Y292" s="281"/>
      <c r="Z292" s="281"/>
      <c r="AA292" s="281">
        <f t="shared" si="600"/>
        <v>3606231.2800000003</v>
      </c>
      <c r="AB292" s="403">
        <f t="shared" si="587"/>
        <v>4885610.26</v>
      </c>
      <c r="AC292" s="326">
        <v>0</v>
      </c>
    </row>
    <row r="293" spans="1:29" ht="14.25" x14ac:dyDescent="0.2">
      <c r="A293" s="427">
        <v>1</v>
      </c>
      <c r="B293" s="323" t="s">
        <v>754</v>
      </c>
      <c r="C293" s="206" t="s">
        <v>239</v>
      </c>
      <c r="D293" s="332"/>
      <c r="E293" s="325">
        <f>SUM('ADICIONES  2021'!C293:N293)</f>
        <v>1001942</v>
      </c>
      <c r="F293" s="281"/>
      <c r="G293" s="281"/>
      <c r="H293" s="281"/>
      <c r="I293" s="281"/>
      <c r="J293" s="281"/>
      <c r="K293" s="281">
        <f t="shared" si="580"/>
        <v>1001942</v>
      </c>
      <c r="L293" s="281"/>
      <c r="M293" s="281"/>
      <c r="N293" s="281"/>
      <c r="O293" s="281"/>
      <c r="P293" s="281"/>
      <c r="Q293" s="281"/>
      <c r="R293" s="281">
        <f t="shared" si="586"/>
        <v>0</v>
      </c>
      <c r="S293" s="281"/>
      <c r="T293" s="281"/>
      <c r="U293" s="281"/>
      <c r="V293" s="281"/>
      <c r="W293" s="281">
        <v>1001942</v>
      </c>
      <c r="X293" s="281">
        <v>0</v>
      </c>
      <c r="Y293" s="281"/>
      <c r="Z293" s="281"/>
      <c r="AA293" s="281">
        <f t="shared" si="600"/>
        <v>1001942</v>
      </c>
      <c r="AB293" s="403">
        <f t="shared" si="587"/>
        <v>1001942</v>
      </c>
      <c r="AC293" s="326">
        <f t="shared" ref="AC293:AC299" si="622">+AB293/K293</f>
        <v>1</v>
      </c>
    </row>
    <row r="294" spans="1:29" ht="25.5" x14ac:dyDescent="0.2">
      <c r="A294" s="427">
        <v>1</v>
      </c>
      <c r="B294" s="323" t="s">
        <v>755</v>
      </c>
      <c r="C294" s="206" t="s">
        <v>756</v>
      </c>
      <c r="D294" s="332"/>
      <c r="E294" s="325">
        <f>SUM('ADICIONES  2021'!C294:N294)</f>
        <v>0</v>
      </c>
      <c r="F294" s="281"/>
      <c r="G294" s="281"/>
      <c r="H294" s="281"/>
      <c r="I294" s="281"/>
      <c r="J294" s="281"/>
      <c r="K294" s="281">
        <f t="shared" si="580"/>
        <v>0</v>
      </c>
      <c r="L294" s="281">
        <v>4625</v>
      </c>
      <c r="M294" s="281">
        <v>1467</v>
      </c>
      <c r="N294" s="281">
        <v>939</v>
      </c>
      <c r="O294" s="281">
        <v>845</v>
      </c>
      <c r="P294" s="281">
        <v>846</v>
      </c>
      <c r="Q294" s="281">
        <v>847</v>
      </c>
      <c r="R294" s="281">
        <f t="shared" si="586"/>
        <v>9569</v>
      </c>
      <c r="S294" s="281">
        <v>848</v>
      </c>
      <c r="T294" s="281">
        <v>849</v>
      </c>
      <c r="U294" s="281">
        <v>850</v>
      </c>
      <c r="V294" s="281">
        <v>851</v>
      </c>
      <c r="W294" s="281">
        <v>852</v>
      </c>
      <c r="X294" s="281">
        <v>853</v>
      </c>
      <c r="Y294" s="281"/>
      <c r="Z294" s="281"/>
      <c r="AA294" s="281">
        <f t="shared" si="600"/>
        <v>5103</v>
      </c>
      <c r="AB294" s="403">
        <f t="shared" si="587"/>
        <v>14672</v>
      </c>
      <c r="AC294" s="326">
        <v>0</v>
      </c>
    </row>
    <row r="295" spans="1:29" ht="14.25" x14ac:dyDescent="0.2">
      <c r="A295" s="427">
        <v>1</v>
      </c>
      <c r="B295" s="323" t="s">
        <v>757</v>
      </c>
      <c r="C295" s="206" t="s">
        <v>758</v>
      </c>
      <c r="D295" s="332"/>
      <c r="E295" s="325">
        <f>SUM('ADICIONES  2021'!C295:N295)</f>
        <v>0</v>
      </c>
      <c r="F295" s="281"/>
      <c r="G295" s="281"/>
      <c r="H295" s="281"/>
      <c r="I295" s="281"/>
      <c r="J295" s="281"/>
      <c r="K295" s="281">
        <f t="shared" si="580"/>
        <v>0</v>
      </c>
      <c r="L295" s="281">
        <v>1880484</v>
      </c>
      <c r="M295" s="281">
        <v>1796516</v>
      </c>
      <c r="N295" s="281">
        <v>1799116</v>
      </c>
      <c r="O295" s="281">
        <v>1814924</v>
      </c>
      <c r="P295" s="281">
        <v>1833173</v>
      </c>
      <c r="Q295" s="281">
        <v>1852408</v>
      </c>
      <c r="R295" s="281">
        <f t="shared" si="586"/>
        <v>10976621</v>
      </c>
      <c r="S295" s="281">
        <v>1869532</v>
      </c>
      <c r="T295" s="281">
        <v>1938256</v>
      </c>
      <c r="U295" s="281">
        <v>1963897</v>
      </c>
      <c r="V295" s="281">
        <v>1959424</v>
      </c>
      <c r="W295" s="281">
        <v>1972500</v>
      </c>
      <c r="X295" s="281">
        <v>1980010</v>
      </c>
      <c r="Y295" s="281"/>
      <c r="Z295" s="281"/>
      <c r="AA295" s="281">
        <f t="shared" si="600"/>
        <v>11683619</v>
      </c>
      <c r="AB295" s="403">
        <f t="shared" si="587"/>
        <v>22660240</v>
      </c>
      <c r="AC295" s="326">
        <v>0</v>
      </c>
    </row>
    <row r="296" spans="1:29" ht="14.25" x14ac:dyDescent="0.2">
      <c r="A296" s="427">
        <v>1</v>
      </c>
      <c r="B296" s="323" t="s">
        <v>759</v>
      </c>
      <c r="C296" s="206" t="s">
        <v>760</v>
      </c>
      <c r="D296" s="332"/>
      <c r="E296" s="325">
        <f>SUM('ADICIONES  2021'!C296:N296)</f>
        <v>0</v>
      </c>
      <c r="F296" s="281"/>
      <c r="G296" s="281"/>
      <c r="H296" s="281"/>
      <c r="I296" s="281"/>
      <c r="J296" s="281"/>
      <c r="K296" s="281">
        <f t="shared" si="580"/>
        <v>0</v>
      </c>
      <c r="L296" s="281">
        <v>11953605</v>
      </c>
      <c r="M296" s="281">
        <v>10540464</v>
      </c>
      <c r="N296" s="281">
        <v>11038577</v>
      </c>
      <c r="O296" s="281">
        <v>10858581</v>
      </c>
      <c r="P296" s="281">
        <v>11811306</v>
      </c>
      <c r="Q296" s="281">
        <v>12640593</v>
      </c>
      <c r="R296" s="281">
        <f t="shared" si="586"/>
        <v>68843126</v>
      </c>
      <c r="S296" s="281">
        <v>10130661</v>
      </c>
      <c r="T296" s="281">
        <v>9949792</v>
      </c>
      <c r="U296" s="281">
        <v>10624554</v>
      </c>
      <c r="V296" s="281">
        <v>9653205</v>
      </c>
      <c r="W296" s="281">
        <v>7089633</v>
      </c>
      <c r="X296" s="281">
        <v>6197316</v>
      </c>
      <c r="Y296" s="281"/>
      <c r="Z296" s="281"/>
      <c r="AA296" s="281">
        <f t="shared" si="600"/>
        <v>53645161</v>
      </c>
      <c r="AB296" s="403">
        <f t="shared" si="587"/>
        <v>122488287</v>
      </c>
      <c r="AC296" s="326">
        <v>0</v>
      </c>
    </row>
    <row r="297" spans="1:29" ht="14.25" x14ac:dyDescent="0.2">
      <c r="A297" s="427">
        <v>1</v>
      </c>
      <c r="B297" s="323" t="s">
        <v>761</v>
      </c>
      <c r="C297" s="206" t="s">
        <v>762</v>
      </c>
      <c r="D297" s="332"/>
      <c r="E297" s="325">
        <f>SUM('ADICIONES  2021'!C297:N297)</f>
        <v>0</v>
      </c>
      <c r="F297" s="281"/>
      <c r="G297" s="281"/>
      <c r="H297" s="281"/>
      <c r="I297" s="281"/>
      <c r="J297" s="281"/>
      <c r="K297" s="281">
        <f t="shared" si="580"/>
        <v>0</v>
      </c>
      <c r="L297" s="281">
        <v>82487</v>
      </c>
      <c r="M297" s="281">
        <v>114936</v>
      </c>
      <c r="N297" s="281">
        <v>19296</v>
      </c>
      <c r="O297" s="281">
        <v>117797</v>
      </c>
      <c r="P297" s="281">
        <v>125259</v>
      </c>
      <c r="Q297" s="281">
        <v>220176</v>
      </c>
      <c r="R297" s="281">
        <f t="shared" si="586"/>
        <v>679951</v>
      </c>
      <c r="S297" s="281">
        <v>376968</v>
      </c>
      <c r="T297" s="281">
        <v>472171</v>
      </c>
      <c r="U297" s="281">
        <v>613810</v>
      </c>
      <c r="V297" s="281">
        <v>670869</v>
      </c>
      <c r="W297" s="281">
        <v>993450</v>
      </c>
      <c r="X297" s="281">
        <v>989884</v>
      </c>
      <c r="Y297" s="281"/>
      <c r="Z297" s="281"/>
      <c r="AA297" s="281">
        <f t="shared" si="600"/>
        <v>4117152</v>
      </c>
      <c r="AB297" s="403">
        <f t="shared" si="587"/>
        <v>4797103</v>
      </c>
      <c r="AC297" s="326">
        <v>0</v>
      </c>
    </row>
    <row r="298" spans="1:29" ht="14.25" x14ac:dyDescent="0.2">
      <c r="A298" s="427">
        <v>1</v>
      </c>
      <c r="B298" s="323" t="s">
        <v>763</v>
      </c>
      <c r="C298" s="206" t="s">
        <v>764</v>
      </c>
      <c r="D298" s="332"/>
      <c r="E298" s="325">
        <f>SUM('ADICIONES  2021'!C298:N298)</f>
        <v>0</v>
      </c>
      <c r="F298" s="281"/>
      <c r="G298" s="281"/>
      <c r="H298" s="281"/>
      <c r="I298" s="281"/>
      <c r="J298" s="281"/>
      <c r="K298" s="281">
        <f t="shared" si="580"/>
        <v>0</v>
      </c>
      <c r="L298" s="281">
        <v>403723</v>
      </c>
      <c r="M298" s="281">
        <v>359023</v>
      </c>
      <c r="N298" s="281">
        <v>651768</v>
      </c>
      <c r="O298" s="281">
        <v>625814</v>
      </c>
      <c r="P298" s="281">
        <v>634608</v>
      </c>
      <c r="Q298" s="281">
        <v>782892</v>
      </c>
      <c r="R298" s="281">
        <f t="shared" si="586"/>
        <v>3457828</v>
      </c>
      <c r="S298" s="281">
        <v>532402</v>
      </c>
      <c r="T298" s="281">
        <v>364358</v>
      </c>
      <c r="U298" s="281">
        <v>449103</v>
      </c>
      <c r="V298" s="281">
        <v>385754</v>
      </c>
      <c r="W298" s="281">
        <v>401508</v>
      </c>
      <c r="X298" s="281">
        <v>424216</v>
      </c>
      <c r="Y298" s="281"/>
      <c r="Z298" s="281"/>
      <c r="AA298" s="281">
        <f t="shared" si="600"/>
        <v>2557341</v>
      </c>
      <c r="AB298" s="403">
        <f t="shared" si="587"/>
        <v>6015169</v>
      </c>
      <c r="AC298" s="326">
        <v>0</v>
      </c>
    </row>
    <row r="299" spans="1:29" ht="14.25" x14ac:dyDescent="0.2">
      <c r="A299" s="427">
        <v>1</v>
      </c>
      <c r="B299" s="323" t="s">
        <v>765</v>
      </c>
      <c r="C299" s="206" t="s">
        <v>766</v>
      </c>
      <c r="D299" s="332">
        <v>105000000</v>
      </c>
      <c r="E299" s="325">
        <f>SUM('ADICIONES  2021'!C299:N299)</f>
        <v>0</v>
      </c>
      <c r="F299" s="281"/>
      <c r="G299" s="281"/>
      <c r="H299" s="281"/>
      <c r="I299" s="281"/>
      <c r="J299" s="281"/>
      <c r="K299" s="281">
        <f t="shared" si="580"/>
        <v>105000000</v>
      </c>
      <c r="L299" s="281">
        <v>7551521.0800000001</v>
      </c>
      <c r="M299" s="281">
        <v>7643048.7300000004</v>
      </c>
      <c r="N299" s="281">
        <v>7737505.6100000003</v>
      </c>
      <c r="O299" s="281">
        <v>9860214.2799999993</v>
      </c>
      <c r="P299" s="281">
        <v>8940849.2799999993</v>
      </c>
      <c r="Q299" s="281">
        <v>8928842.8200000003</v>
      </c>
      <c r="R299" s="281">
        <f t="shared" si="586"/>
        <v>50661981.800000004</v>
      </c>
      <c r="S299" s="281">
        <v>9711881.8499999996</v>
      </c>
      <c r="T299" s="281">
        <v>9433916.0500000007</v>
      </c>
      <c r="U299" s="281">
        <v>9092252.5500000007</v>
      </c>
      <c r="V299" s="281">
        <v>9875484.4000000004</v>
      </c>
      <c r="W299" s="281">
        <v>11602943.66</v>
      </c>
      <c r="X299" s="281">
        <v>13295435.66</v>
      </c>
      <c r="Y299" s="281"/>
      <c r="Z299" s="281"/>
      <c r="AA299" s="281">
        <f t="shared" si="600"/>
        <v>63011914.170000002</v>
      </c>
      <c r="AB299" s="403">
        <f t="shared" si="587"/>
        <v>113673895.97</v>
      </c>
      <c r="AC299" s="326">
        <f t="shared" si="622"/>
        <v>1.0826085330476189</v>
      </c>
    </row>
    <row r="300" spans="1:29" ht="25.5" x14ac:dyDescent="0.2">
      <c r="A300" s="427">
        <v>1</v>
      </c>
      <c r="B300" s="323" t="s">
        <v>767</v>
      </c>
      <c r="C300" s="206" t="s">
        <v>768</v>
      </c>
      <c r="D300" s="332"/>
      <c r="E300" s="325">
        <f>SUM('ADICIONES  2021'!C300:N300)</f>
        <v>0</v>
      </c>
      <c r="F300" s="277"/>
      <c r="G300" s="277"/>
      <c r="H300" s="277"/>
      <c r="I300" s="277"/>
      <c r="J300" s="277"/>
      <c r="K300" s="281">
        <f t="shared" si="580"/>
        <v>0</v>
      </c>
      <c r="L300" s="277">
        <v>25515804.18</v>
      </c>
      <c r="M300" s="277">
        <v>21941618.43</v>
      </c>
      <c r="N300" s="277">
        <v>23479216.600000001</v>
      </c>
      <c r="O300" s="277">
        <v>21639386.52</v>
      </c>
      <c r="P300" s="277">
        <v>23034845.399999999</v>
      </c>
      <c r="Q300" s="277">
        <v>23864084.489999998</v>
      </c>
      <c r="R300" s="281">
        <f t="shared" si="586"/>
        <v>139474955.62</v>
      </c>
      <c r="S300" s="277">
        <v>25122955.34</v>
      </c>
      <c r="T300" s="277">
        <v>10279069.289999999</v>
      </c>
      <c r="U300" s="277">
        <v>41291965.460000001</v>
      </c>
      <c r="V300" s="277">
        <v>27635230.98</v>
      </c>
      <c r="W300" s="277">
        <v>29497102.800000001</v>
      </c>
      <c r="X300" s="277">
        <v>32825265</v>
      </c>
      <c r="Y300" s="277"/>
      <c r="Z300" s="277"/>
      <c r="AA300" s="281">
        <f t="shared" si="600"/>
        <v>166651588.87</v>
      </c>
      <c r="AB300" s="403">
        <f t="shared" si="587"/>
        <v>306126544.49000001</v>
      </c>
      <c r="AC300" s="326">
        <v>0</v>
      </c>
    </row>
    <row r="301" spans="1:29" ht="14.25" x14ac:dyDescent="0.2">
      <c r="A301" s="427">
        <v>1</v>
      </c>
      <c r="B301" s="323" t="s">
        <v>769</v>
      </c>
      <c r="C301" s="206" t="s">
        <v>770</v>
      </c>
      <c r="D301" s="332"/>
      <c r="E301" s="325">
        <f>SUM('ADICIONES  2021'!C301:N301)</f>
        <v>0</v>
      </c>
      <c r="F301" s="277"/>
      <c r="G301" s="277"/>
      <c r="H301" s="277"/>
      <c r="I301" s="277"/>
      <c r="J301" s="277"/>
      <c r="K301" s="281">
        <f t="shared" si="580"/>
        <v>0</v>
      </c>
      <c r="L301" s="277">
        <v>1380773.39</v>
      </c>
      <c r="M301" s="277">
        <v>1258288.05</v>
      </c>
      <c r="N301" s="277">
        <v>2008440.14</v>
      </c>
      <c r="O301" s="277">
        <v>2219638</v>
      </c>
      <c r="P301" s="277">
        <v>2511381.12</v>
      </c>
      <c r="Q301" s="277">
        <v>2524962.7599999998</v>
      </c>
      <c r="R301" s="281">
        <f t="shared" si="586"/>
        <v>11903483.459999999</v>
      </c>
      <c r="S301" s="277">
        <v>2722750.97</v>
      </c>
      <c r="T301" s="277">
        <v>2823997.28</v>
      </c>
      <c r="U301" s="277">
        <v>2889293.73</v>
      </c>
      <c r="V301" s="277">
        <v>3221768.87</v>
      </c>
      <c r="W301" s="277">
        <v>4034316.16</v>
      </c>
      <c r="X301" s="277">
        <v>4538737.12</v>
      </c>
      <c r="Y301" s="277"/>
      <c r="Z301" s="277"/>
      <c r="AA301" s="281">
        <f t="shared" si="600"/>
        <v>20230864.130000003</v>
      </c>
      <c r="AB301" s="403">
        <f t="shared" si="587"/>
        <v>32134347.590000004</v>
      </c>
      <c r="AC301" s="326">
        <v>0</v>
      </c>
    </row>
    <row r="302" spans="1:29" ht="14.25" x14ac:dyDescent="0.2">
      <c r="A302" s="427">
        <v>1</v>
      </c>
      <c r="B302" s="323" t="s">
        <v>771</v>
      </c>
      <c r="C302" s="206" t="s">
        <v>772</v>
      </c>
      <c r="D302" s="332"/>
      <c r="E302" s="325">
        <f>SUM('ADICIONES  2021'!C302:N302)</f>
        <v>0</v>
      </c>
      <c r="F302" s="281"/>
      <c r="G302" s="281"/>
      <c r="H302" s="281"/>
      <c r="I302" s="281"/>
      <c r="J302" s="281"/>
      <c r="K302" s="281">
        <f t="shared" si="580"/>
        <v>0</v>
      </c>
      <c r="L302" s="281">
        <v>325794.93</v>
      </c>
      <c r="M302" s="281">
        <v>311112.25</v>
      </c>
      <c r="N302" s="281">
        <v>272886.88</v>
      </c>
      <c r="O302" s="281">
        <v>226634.71</v>
      </c>
      <c r="P302" s="281">
        <v>234313.84</v>
      </c>
      <c r="Q302" s="281">
        <v>225489.87</v>
      </c>
      <c r="R302" s="281">
        <f t="shared" si="586"/>
        <v>1596232.48</v>
      </c>
      <c r="S302" s="281">
        <v>233781.09</v>
      </c>
      <c r="T302" s="281">
        <v>234605.4</v>
      </c>
      <c r="U302" s="281">
        <v>226853.67</v>
      </c>
      <c r="V302" s="281">
        <v>234735.79</v>
      </c>
      <c r="W302" s="281">
        <v>226757.5</v>
      </c>
      <c r="X302" s="281">
        <v>265218.65999999997</v>
      </c>
      <c r="Y302" s="281"/>
      <c r="Z302" s="281"/>
      <c r="AA302" s="281">
        <f t="shared" si="600"/>
        <v>1421952.11</v>
      </c>
      <c r="AB302" s="403">
        <f t="shared" si="587"/>
        <v>3018184.59</v>
      </c>
      <c r="AC302" s="326">
        <v>0</v>
      </c>
    </row>
    <row r="303" spans="1:29" ht="14.25" x14ac:dyDescent="0.2">
      <c r="A303" s="427">
        <v>1</v>
      </c>
      <c r="B303" s="323" t="s">
        <v>773</v>
      </c>
      <c r="C303" s="206" t="s">
        <v>774</v>
      </c>
      <c r="D303" s="332"/>
      <c r="E303" s="325">
        <f>SUM('ADICIONES  2021'!C303:N303)</f>
        <v>0</v>
      </c>
      <c r="F303" s="281"/>
      <c r="G303" s="281"/>
      <c r="H303" s="281"/>
      <c r="I303" s="281"/>
      <c r="J303" s="281"/>
      <c r="K303" s="281">
        <f t="shared" si="580"/>
        <v>0</v>
      </c>
      <c r="L303" s="281">
        <v>273915.24</v>
      </c>
      <c r="M303" s="281">
        <v>127652</v>
      </c>
      <c r="N303" s="281">
        <v>285298.40999999997</v>
      </c>
      <c r="O303" s="281">
        <v>276299.05</v>
      </c>
      <c r="P303" s="281">
        <v>285720.76</v>
      </c>
      <c r="Q303" s="281">
        <v>261230.71</v>
      </c>
      <c r="R303" s="281">
        <f t="shared" si="586"/>
        <v>1510116.17</v>
      </c>
      <c r="S303" s="281">
        <v>286113.34999999998</v>
      </c>
      <c r="T303" s="281">
        <v>295281.93</v>
      </c>
      <c r="U303" s="281">
        <v>323047.38</v>
      </c>
      <c r="V303" s="281">
        <v>334058.02</v>
      </c>
      <c r="W303" s="281">
        <v>323487.73</v>
      </c>
      <c r="X303" s="281">
        <v>334483.82</v>
      </c>
      <c r="Y303" s="281"/>
      <c r="Z303" s="281"/>
      <c r="AA303" s="281">
        <f t="shared" si="600"/>
        <v>1896472.2300000002</v>
      </c>
      <c r="AB303" s="403">
        <f t="shared" si="587"/>
        <v>3406588.4000000004</v>
      </c>
      <c r="AC303" s="326">
        <v>0</v>
      </c>
    </row>
    <row r="304" spans="1:29" ht="14.25" x14ac:dyDescent="0.2">
      <c r="A304" s="427">
        <v>1</v>
      </c>
      <c r="B304" s="323" t="s">
        <v>775</v>
      </c>
      <c r="C304" s="206" t="s">
        <v>776</v>
      </c>
      <c r="D304" s="332"/>
      <c r="E304" s="325">
        <f>SUM('ADICIONES  2021'!C304:N304)</f>
        <v>0</v>
      </c>
      <c r="F304" s="281"/>
      <c r="G304" s="281"/>
      <c r="H304" s="281"/>
      <c r="I304" s="281"/>
      <c r="J304" s="281"/>
      <c r="K304" s="281">
        <f t="shared" si="580"/>
        <v>0</v>
      </c>
      <c r="L304" s="281">
        <v>140881</v>
      </c>
      <c r="M304" s="281">
        <v>62813</v>
      </c>
      <c r="N304" s="281">
        <v>33292</v>
      </c>
      <c r="O304" s="281">
        <v>29278</v>
      </c>
      <c r="P304" s="281">
        <v>26227</v>
      </c>
      <c r="Q304" s="281">
        <v>24282</v>
      </c>
      <c r="R304" s="281">
        <f t="shared" si="586"/>
        <v>316773</v>
      </c>
      <c r="S304" s="281">
        <v>24118</v>
      </c>
      <c r="T304" s="281">
        <v>22903</v>
      </c>
      <c r="U304" s="281">
        <v>16702</v>
      </c>
      <c r="V304" s="281">
        <v>11018</v>
      </c>
      <c r="W304" s="281">
        <v>6666</v>
      </c>
      <c r="X304" s="281">
        <v>4218</v>
      </c>
      <c r="Y304" s="281"/>
      <c r="Z304" s="281"/>
      <c r="AA304" s="281">
        <f t="shared" si="600"/>
        <v>85625</v>
      </c>
      <c r="AB304" s="403">
        <f t="shared" si="587"/>
        <v>402398</v>
      </c>
      <c r="AC304" s="326">
        <v>0</v>
      </c>
    </row>
    <row r="305" spans="1:29" ht="14.25" x14ac:dyDescent="0.2">
      <c r="A305" s="427">
        <v>1</v>
      </c>
      <c r="B305" s="323" t="s">
        <v>777</v>
      </c>
      <c r="C305" s="206" t="s">
        <v>778</v>
      </c>
      <c r="D305" s="332"/>
      <c r="E305" s="325">
        <f>SUM('ADICIONES  2021'!C305:N305)</f>
        <v>0</v>
      </c>
      <c r="F305" s="277"/>
      <c r="G305" s="277"/>
      <c r="H305" s="277"/>
      <c r="I305" s="277"/>
      <c r="J305" s="277"/>
      <c r="K305" s="281">
        <f t="shared" si="580"/>
        <v>0</v>
      </c>
      <c r="L305" s="277">
        <v>22621270.829999998</v>
      </c>
      <c r="M305" s="277">
        <v>6448772.7000000002</v>
      </c>
      <c r="N305" s="277">
        <v>6652316.3099999996</v>
      </c>
      <c r="O305" s="277">
        <v>6493682.4900000002</v>
      </c>
      <c r="P305" s="277">
        <v>6744436.7199999997</v>
      </c>
      <c r="Q305" s="277">
        <v>7416104.5899999999</v>
      </c>
      <c r="R305" s="281">
        <f t="shared" si="586"/>
        <v>56376583.640000001</v>
      </c>
      <c r="S305" s="277">
        <v>4937261.8600000003</v>
      </c>
      <c r="T305" s="277">
        <v>2701911.27</v>
      </c>
      <c r="U305" s="277">
        <v>2927683.08</v>
      </c>
      <c r="V305" s="277">
        <v>2572885.15</v>
      </c>
      <c r="W305" s="277">
        <v>2338467.5499999998</v>
      </c>
      <c r="X305" s="277">
        <v>2772175.48</v>
      </c>
      <c r="Y305" s="277"/>
      <c r="Z305" s="277"/>
      <c r="AA305" s="281">
        <f t="shared" si="600"/>
        <v>18250384.390000001</v>
      </c>
      <c r="AB305" s="403">
        <f t="shared" si="587"/>
        <v>74626968.030000001</v>
      </c>
      <c r="AC305" s="326">
        <v>0</v>
      </c>
    </row>
    <row r="306" spans="1:29" ht="14.25" x14ac:dyDescent="0.2">
      <c r="A306" s="427">
        <v>1</v>
      </c>
      <c r="B306" s="323" t="s">
        <v>779</v>
      </c>
      <c r="C306" s="206" t="s">
        <v>780</v>
      </c>
      <c r="D306" s="332"/>
      <c r="E306" s="325">
        <f>SUM('ADICIONES  2021'!C306:N306)</f>
        <v>0</v>
      </c>
      <c r="F306" s="277"/>
      <c r="G306" s="277"/>
      <c r="H306" s="277"/>
      <c r="I306" s="277"/>
      <c r="J306" s="277"/>
      <c r="K306" s="281">
        <f t="shared" si="580"/>
        <v>0</v>
      </c>
      <c r="L306" s="277">
        <v>113354</v>
      </c>
      <c r="M306" s="277">
        <v>89068</v>
      </c>
      <c r="N306" s="277">
        <v>98023</v>
      </c>
      <c r="O306" s="277">
        <v>94362</v>
      </c>
      <c r="P306" s="277">
        <v>97077</v>
      </c>
      <c r="Q306" s="277">
        <v>175889</v>
      </c>
      <c r="R306" s="281">
        <f t="shared" si="586"/>
        <v>667773</v>
      </c>
      <c r="S306" s="277">
        <v>95309</v>
      </c>
      <c r="T306" s="277">
        <v>95000</v>
      </c>
      <c r="U306" s="277">
        <v>91950</v>
      </c>
      <c r="V306" s="277">
        <v>95046</v>
      </c>
      <c r="W306" s="277">
        <v>92010</v>
      </c>
      <c r="X306" s="277">
        <v>95139</v>
      </c>
      <c r="Y306" s="277"/>
      <c r="Z306" s="277"/>
      <c r="AA306" s="281">
        <f t="shared" si="600"/>
        <v>564454</v>
      </c>
      <c r="AB306" s="403">
        <f t="shared" si="587"/>
        <v>1232227</v>
      </c>
      <c r="AC306" s="326">
        <v>0</v>
      </c>
    </row>
    <row r="307" spans="1:29" ht="14.25" x14ac:dyDescent="0.2">
      <c r="A307" s="427">
        <v>1</v>
      </c>
      <c r="B307" s="323" t="s">
        <v>781</v>
      </c>
      <c r="C307" s="206" t="s">
        <v>782</v>
      </c>
      <c r="D307" s="332"/>
      <c r="E307" s="325">
        <f>SUM('ADICIONES  2021'!C307:N307)</f>
        <v>0</v>
      </c>
      <c r="F307" s="277"/>
      <c r="G307" s="277"/>
      <c r="H307" s="277"/>
      <c r="I307" s="277"/>
      <c r="J307" s="277"/>
      <c r="K307" s="281">
        <f t="shared" si="580"/>
        <v>0</v>
      </c>
      <c r="L307" s="277">
        <v>1771186.28</v>
      </c>
      <c r="M307" s="277">
        <v>1944685.24</v>
      </c>
      <c r="N307" s="277">
        <v>2068896.59</v>
      </c>
      <c r="O307" s="277">
        <v>2494961.9300000002</v>
      </c>
      <c r="P307" s="277">
        <v>3494813.14</v>
      </c>
      <c r="Q307" s="277">
        <v>4352196.04</v>
      </c>
      <c r="R307" s="281">
        <f t="shared" si="586"/>
        <v>16126739.220000003</v>
      </c>
      <c r="S307" s="277">
        <v>5216712.4800000004</v>
      </c>
      <c r="T307" s="277">
        <v>5720439.3399999999</v>
      </c>
      <c r="U307" s="277">
        <v>6080302.8499999996</v>
      </c>
      <c r="V307" s="277">
        <v>6007388.2699999996</v>
      </c>
      <c r="W307" s="277">
        <v>6927286.6600000001</v>
      </c>
      <c r="X307" s="277">
        <v>7924070.8300000001</v>
      </c>
      <c r="Y307" s="277"/>
      <c r="Z307" s="277"/>
      <c r="AA307" s="281">
        <f t="shared" si="600"/>
        <v>37876200.43</v>
      </c>
      <c r="AB307" s="403">
        <f t="shared" si="587"/>
        <v>54002939.650000006</v>
      </c>
      <c r="AC307" s="326">
        <v>0</v>
      </c>
    </row>
    <row r="308" spans="1:29" ht="14.25" x14ac:dyDescent="0.2">
      <c r="A308" s="427">
        <v>1</v>
      </c>
      <c r="B308" s="323" t="s">
        <v>783</v>
      </c>
      <c r="C308" s="206" t="s">
        <v>784</v>
      </c>
      <c r="D308" s="332"/>
      <c r="E308" s="325">
        <f>SUM('ADICIONES  2021'!C308:N308)</f>
        <v>0</v>
      </c>
      <c r="F308" s="281"/>
      <c r="G308" s="281"/>
      <c r="H308" s="281"/>
      <c r="I308" s="281"/>
      <c r="J308" s="281"/>
      <c r="K308" s="281">
        <f t="shared" si="580"/>
        <v>0</v>
      </c>
      <c r="L308" s="281">
        <v>8521014</v>
      </c>
      <c r="M308" s="281">
        <v>5446204</v>
      </c>
      <c r="N308" s="281">
        <v>6539234</v>
      </c>
      <c r="O308" s="281">
        <v>6449821</v>
      </c>
      <c r="P308" s="281">
        <v>6285645</v>
      </c>
      <c r="Q308" s="281">
        <v>3776967</v>
      </c>
      <c r="R308" s="281">
        <f t="shared" si="586"/>
        <v>37018885</v>
      </c>
      <c r="S308" s="281">
        <v>3952027</v>
      </c>
      <c r="T308" s="281">
        <v>3296649</v>
      </c>
      <c r="U308" s="281">
        <v>2208993</v>
      </c>
      <c r="V308" s="281">
        <v>2205814</v>
      </c>
      <c r="W308" s="281">
        <v>-46507416</v>
      </c>
      <c r="X308" s="281">
        <v>1638241</v>
      </c>
      <c r="Y308" s="281"/>
      <c r="Z308" s="281"/>
      <c r="AA308" s="281">
        <f t="shared" si="600"/>
        <v>-33205692</v>
      </c>
      <c r="AB308" s="403">
        <f t="shared" si="587"/>
        <v>3813193</v>
      </c>
      <c r="AC308" s="326">
        <v>0</v>
      </c>
    </row>
    <row r="309" spans="1:29" ht="14.25" x14ac:dyDescent="0.2">
      <c r="A309" s="427">
        <v>1</v>
      </c>
      <c r="B309" s="323" t="s">
        <v>783</v>
      </c>
      <c r="C309" s="206" t="s">
        <v>784</v>
      </c>
      <c r="D309" s="332"/>
      <c r="E309" s="325">
        <f>SUM('ADICIONES  2021'!C309:N309)</f>
        <v>44267561</v>
      </c>
      <c r="F309" s="281"/>
      <c r="G309" s="281"/>
      <c r="H309" s="281"/>
      <c r="I309" s="281"/>
      <c r="J309" s="281"/>
      <c r="K309" s="281">
        <f t="shared" si="580"/>
        <v>44267561</v>
      </c>
      <c r="L309" s="281"/>
      <c r="M309" s="281"/>
      <c r="N309" s="281"/>
      <c r="O309" s="281"/>
      <c r="P309" s="281"/>
      <c r="Q309" s="281"/>
      <c r="R309" s="281">
        <f t="shared" si="586"/>
        <v>0</v>
      </c>
      <c r="S309" s="281"/>
      <c r="T309" s="281"/>
      <c r="U309" s="281"/>
      <c r="V309" s="281"/>
      <c r="W309" s="281">
        <v>48682368</v>
      </c>
      <c r="X309" s="281">
        <v>0</v>
      </c>
      <c r="Y309" s="281"/>
      <c r="Z309" s="281"/>
      <c r="AA309" s="281">
        <f t="shared" si="600"/>
        <v>48682368</v>
      </c>
      <c r="AB309" s="403">
        <f t="shared" si="587"/>
        <v>48682368</v>
      </c>
      <c r="AC309" s="326">
        <f t="shared" ref="AC309:AC372" si="623">+AB309/K309</f>
        <v>1.0997300709655091</v>
      </c>
    </row>
    <row r="310" spans="1:29" ht="14.25" x14ac:dyDescent="0.2">
      <c r="A310" s="427">
        <v>1</v>
      </c>
      <c r="B310" s="323" t="s">
        <v>785</v>
      </c>
      <c r="C310" s="206" t="s">
        <v>786</v>
      </c>
      <c r="D310" s="332"/>
      <c r="E310" s="325">
        <f>SUM('ADICIONES  2021'!C310:N310)</f>
        <v>0</v>
      </c>
      <c r="F310" s="281"/>
      <c r="G310" s="281"/>
      <c r="H310" s="281"/>
      <c r="I310" s="281"/>
      <c r="J310" s="281"/>
      <c r="K310" s="281">
        <f t="shared" si="580"/>
        <v>0</v>
      </c>
      <c r="L310" s="281">
        <v>28883</v>
      </c>
      <c r="M310" s="281">
        <v>24573</v>
      </c>
      <c r="N310" s="281">
        <v>23826</v>
      </c>
      <c r="O310" s="281">
        <v>23778</v>
      </c>
      <c r="P310" s="281">
        <v>23805</v>
      </c>
      <c r="Q310" s="281">
        <v>23833</v>
      </c>
      <c r="R310" s="281">
        <f t="shared" si="586"/>
        <v>148698</v>
      </c>
      <c r="S310" s="281">
        <v>23860</v>
      </c>
      <c r="T310" s="281">
        <v>23888</v>
      </c>
      <c r="U310" s="281">
        <v>19755</v>
      </c>
      <c r="V310" s="281">
        <v>16204</v>
      </c>
      <c r="W310" s="281">
        <v>13344</v>
      </c>
      <c r="X310" s="281">
        <v>8829</v>
      </c>
      <c r="Y310" s="281"/>
      <c r="Z310" s="281"/>
      <c r="AA310" s="281">
        <f t="shared" si="600"/>
        <v>105880</v>
      </c>
      <c r="AB310" s="403">
        <f t="shared" si="587"/>
        <v>254578</v>
      </c>
      <c r="AC310" s="326">
        <v>0</v>
      </c>
    </row>
    <row r="311" spans="1:29" ht="14.25" x14ac:dyDescent="0.2">
      <c r="A311" s="427">
        <v>1</v>
      </c>
      <c r="B311" s="323" t="s">
        <v>787</v>
      </c>
      <c r="C311" s="206" t="s">
        <v>330</v>
      </c>
      <c r="D311" s="332"/>
      <c r="E311" s="325">
        <f>SUM('ADICIONES  2021'!C311:N311)</f>
        <v>0</v>
      </c>
      <c r="F311" s="277"/>
      <c r="G311" s="277"/>
      <c r="H311" s="277"/>
      <c r="I311" s="277"/>
      <c r="J311" s="277"/>
      <c r="K311" s="281">
        <f t="shared" si="580"/>
        <v>0</v>
      </c>
      <c r="L311" s="277">
        <v>0</v>
      </c>
      <c r="M311" s="277">
        <v>0</v>
      </c>
      <c r="N311" s="277">
        <v>0</v>
      </c>
      <c r="O311" s="277">
        <v>0</v>
      </c>
      <c r="P311" s="277">
        <v>0</v>
      </c>
      <c r="Q311" s="277">
        <v>0</v>
      </c>
      <c r="R311" s="281">
        <f t="shared" si="586"/>
        <v>0</v>
      </c>
      <c r="S311" s="277">
        <v>0</v>
      </c>
      <c r="T311" s="277">
        <v>0</v>
      </c>
      <c r="U311" s="277">
        <v>0</v>
      </c>
      <c r="V311" s="277">
        <v>0</v>
      </c>
      <c r="W311" s="277">
        <v>0</v>
      </c>
      <c r="X311" s="277">
        <v>0</v>
      </c>
      <c r="Y311" s="277"/>
      <c r="Z311" s="277"/>
      <c r="AA311" s="281">
        <f t="shared" si="600"/>
        <v>0</v>
      </c>
      <c r="AB311" s="403">
        <f t="shared" si="587"/>
        <v>0</v>
      </c>
      <c r="AC311" s="326">
        <v>0</v>
      </c>
    </row>
    <row r="312" spans="1:29" ht="14.25" x14ac:dyDescent="0.2">
      <c r="A312" s="427">
        <v>1</v>
      </c>
      <c r="B312" s="323" t="s">
        <v>788</v>
      </c>
      <c r="C312" s="206" t="s">
        <v>331</v>
      </c>
      <c r="D312" s="332"/>
      <c r="E312" s="325">
        <f>SUM('ADICIONES  2021'!C312:N312)</f>
        <v>0</v>
      </c>
      <c r="F312" s="277"/>
      <c r="G312" s="277"/>
      <c r="H312" s="277"/>
      <c r="I312" s="277"/>
      <c r="J312" s="277"/>
      <c r="K312" s="281">
        <f t="shared" si="580"/>
        <v>0</v>
      </c>
      <c r="L312" s="277">
        <v>0</v>
      </c>
      <c r="M312" s="277">
        <v>0</v>
      </c>
      <c r="N312" s="277">
        <v>0</v>
      </c>
      <c r="O312" s="277">
        <v>0</v>
      </c>
      <c r="P312" s="277">
        <v>0</v>
      </c>
      <c r="Q312" s="277">
        <v>0</v>
      </c>
      <c r="R312" s="281">
        <f t="shared" si="586"/>
        <v>0</v>
      </c>
      <c r="S312" s="277">
        <v>0</v>
      </c>
      <c r="T312" s="277">
        <v>0</v>
      </c>
      <c r="U312" s="277">
        <v>0</v>
      </c>
      <c r="V312" s="277">
        <v>0</v>
      </c>
      <c r="W312" s="277">
        <v>0</v>
      </c>
      <c r="X312" s="277">
        <v>0</v>
      </c>
      <c r="Y312" s="277"/>
      <c r="Z312" s="277"/>
      <c r="AA312" s="281">
        <f t="shared" si="600"/>
        <v>0</v>
      </c>
      <c r="AB312" s="403">
        <f t="shared" si="587"/>
        <v>0</v>
      </c>
      <c r="AC312" s="326">
        <v>0</v>
      </c>
    </row>
    <row r="313" spans="1:29" ht="14.25" x14ac:dyDescent="0.2">
      <c r="A313" s="427">
        <v>1</v>
      </c>
      <c r="B313" s="323" t="s">
        <v>789</v>
      </c>
      <c r="C313" s="206" t="s">
        <v>332</v>
      </c>
      <c r="D313" s="332"/>
      <c r="E313" s="325">
        <f>SUM('ADICIONES  2021'!C313:N313)</f>
        <v>0</v>
      </c>
      <c r="F313" s="277"/>
      <c r="G313" s="277"/>
      <c r="H313" s="277"/>
      <c r="I313" s="277"/>
      <c r="J313" s="277"/>
      <c r="K313" s="281">
        <f t="shared" si="580"/>
        <v>0</v>
      </c>
      <c r="L313" s="277">
        <v>46107428</v>
      </c>
      <c r="M313" s="277">
        <v>27986004</v>
      </c>
      <c r="N313" s="277">
        <v>28040546</v>
      </c>
      <c r="O313" s="277">
        <v>27110162</v>
      </c>
      <c r="P313" s="277">
        <v>20345247</v>
      </c>
      <c r="Q313" s="277">
        <v>27382945</v>
      </c>
      <c r="R313" s="281">
        <f t="shared" si="586"/>
        <v>176972332</v>
      </c>
      <c r="S313" s="277">
        <v>42320399</v>
      </c>
      <c r="T313" s="277">
        <v>33236189</v>
      </c>
      <c r="U313" s="277">
        <v>31362452</v>
      </c>
      <c r="V313" s="277">
        <v>29496665</v>
      </c>
      <c r="W313" s="277">
        <v>28725605</v>
      </c>
      <c r="X313" s="277">
        <v>25417832</v>
      </c>
      <c r="Y313" s="277"/>
      <c r="Z313" s="277"/>
      <c r="AA313" s="281">
        <f t="shared" si="600"/>
        <v>190559142</v>
      </c>
      <c r="AB313" s="403">
        <f t="shared" si="587"/>
        <v>367531474</v>
      </c>
      <c r="AC313" s="326">
        <v>0</v>
      </c>
    </row>
    <row r="314" spans="1:29" ht="14.25" x14ac:dyDescent="0.2">
      <c r="A314" s="427">
        <v>1</v>
      </c>
      <c r="B314" s="323" t="s">
        <v>789</v>
      </c>
      <c r="C314" s="206" t="s">
        <v>332</v>
      </c>
      <c r="D314" s="332"/>
      <c r="E314" s="325">
        <f>SUM('ADICIONES  2021'!C314:N314)</f>
        <v>1863176</v>
      </c>
      <c r="F314" s="277"/>
      <c r="G314" s="277"/>
      <c r="H314" s="277"/>
      <c r="I314" s="277"/>
      <c r="J314" s="277"/>
      <c r="K314" s="281">
        <f t="shared" si="580"/>
        <v>1863176</v>
      </c>
      <c r="L314" s="277"/>
      <c r="M314" s="277"/>
      <c r="N314" s="277"/>
      <c r="O314" s="277">
        <v>0</v>
      </c>
      <c r="P314" s="277">
        <v>0</v>
      </c>
      <c r="Q314" s="277">
        <v>0</v>
      </c>
      <c r="R314" s="281">
        <f t="shared" si="586"/>
        <v>0</v>
      </c>
      <c r="S314" s="277">
        <v>0</v>
      </c>
      <c r="T314" s="277">
        <v>0</v>
      </c>
      <c r="U314" s="277">
        <v>0</v>
      </c>
      <c r="V314" s="277">
        <v>0</v>
      </c>
      <c r="W314" s="277">
        <v>1863176</v>
      </c>
      <c r="X314" s="277">
        <v>0</v>
      </c>
      <c r="Y314" s="277"/>
      <c r="Z314" s="277"/>
      <c r="AA314" s="281">
        <f t="shared" si="600"/>
        <v>1863176</v>
      </c>
      <c r="AB314" s="403">
        <f t="shared" si="587"/>
        <v>1863176</v>
      </c>
      <c r="AC314" s="326">
        <f t="shared" si="623"/>
        <v>1</v>
      </c>
    </row>
    <row r="315" spans="1:29" ht="14.25" x14ac:dyDescent="0.2">
      <c r="A315" s="427">
        <v>1</v>
      </c>
      <c r="B315" s="323" t="s">
        <v>789</v>
      </c>
      <c r="C315" s="206" t="s">
        <v>332</v>
      </c>
      <c r="D315" s="332"/>
      <c r="E315" s="325">
        <f>SUM('ADICIONES  2021'!C315:N315)</f>
        <v>2077885</v>
      </c>
      <c r="F315" s="277"/>
      <c r="G315" s="277"/>
      <c r="H315" s="277"/>
      <c r="I315" s="277"/>
      <c r="J315" s="277"/>
      <c r="K315" s="281">
        <f t="shared" si="580"/>
        <v>2077885</v>
      </c>
      <c r="L315" s="277"/>
      <c r="M315" s="277"/>
      <c r="N315" s="277"/>
      <c r="O315" s="277"/>
      <c r="P315" s="277"/>
      <c r="Q315" s="277"/>
      <c r="R315" s="281">
        <f t="shared" si="586"/>
        <v>0</v>
      </c>
      <c r="S315" s="277"/>
      <c r="T315" s="277"/>
      <c r="U315" s="277"/>
      <c r="V315" s="277"/>
      <c r="W315" s="277">
        <v>2077885</v>
      </c>
      <c r="X315" s="277">
        <v>0</v>
      </c>
      <c r="Y315" s="277"/>
      <c r="Z315" s="277"/>
      <c r="AA315" s="281">
        <f t="shared" si="600"/>
        <v>2077885</v>
      </c>
      <c r="AB315" s="403">
        <f t="shared" si="587"/>
        <v>2077885</v>
      </c>
      <c r="AC315" s="326">
        <f t="shared" si="623"/>
        <v>1</v>
      </c>
    </row>
    <row r="316" spans="1:29" ht="14.25" x14ac:dyDescent="0.2">
      <c r="A316" s="427">
        <v>1</v>
      </c>
      <c r="B316" s="323" t="s">
        <v>790</v>
      </c>
      <c r="C316" s="206" t="s">
        <v>333</v>
      </c>
      <c r="D316" s="332"/>
      <c r="E316" s="325">
        <f>SUM('ADICIONES  2021'!C316:N316)</f>
        <v>0</v>
      </c>
      <c r="F316" s="277"/>
      <c r="G316" s="277"/>
      <c r="H316" s="277"/>
      <c r="I316" s="277"/>
      <c r="J316" s="277"/>
      <c r="K316" s="281">
        <f t="shared" si="580"/>
        <v>0</v>
      </c>
      <c r="L316" s="277">
        <v>399214</v>
      </c>
      <c r="M316" s="277">
        <v>302816</v>
      </c>
      <c r="N316" s="277">
        <v>352834</v>
      </c>
      <c r="O316" s="277">
        <v>383729</v>
      </c>
      <c r="P316" s="277">
        <v>391461</v>
      </c>
      <c r="Q316" s="277">
        <v>147398</v>
      </c>
      <c r="R316" s="281">
        <f t="shared" si="586"/>
        <v>1977452</v>
      </c>
      <c r="S316" s="277">
        <v>147398</v>
      </c>
      <c r="T316" s="277">
        <v>199250</v>
      </c>
      <c r="U316" s="277">
        <v>810121</v>
      </c>
      <c r="V316" s="277">
        <v>553381</v>
      </c>
      <c r="W316" s="277">
        <v>564988</v>
      </c>
      <c r="X316" s="277">
        <v>643095</v>
      </c>
      <c r="Y316" s="277"/>
      <c r="Z316" s="277"/>
      <c r="AA316" s="281">
        <f t="shared" si="600"/>
        <v>2918233</v>
      </c>
      <c r="AB316" s="403">
        <f t="shared" si="587"/>
        <v>4895685</v>
      </c>
      <c r="AC316" s="326">
        <v>0</v>
      </c>
    </row>
    <row r="317" spans="1:29" ht="14.25" x14ac:dyDescent="0.2">
      <c r="A317" s="427">
        <v>1</v>
      </c>
      <c r="B317" s="323" t="s">
        <v>791</v>
      </c>
      <c r="C317" s="206" t="s">
        <v>334</v>
      </c>
      <c r="D317" s="332"/>
      <c r="E317" s="325">
        <f>SUM('ADICIONES  2021'!C317:N317)</f>
        <v>0</v>
      </c>
      <c r="F317" s="277"/>
      <c r="G317" s="277"/>
      <c r="H317" s="277"/>
      <c r="I317" s="277"/>
      <c r="J317" s="277"/>
      <c r="K317" s="281">
        <f t="shared" si="580"/>
        <v>0</v>
      </c>
      <c r="L317" s="277">
        <v>2922013</v>
      </c>
      <c r="M317" s="277">
        <v>1735292</v>
      </c>
      <c r="N317" s="277">
        <v>1876976</v>
      </c>
      <c r="O317" s="277">
        <v>1974655</v>
      </c>
      <c r="P317" s="277">
        <v>2391033</v>
      </c>
      <c r="Q317" s="277">
        <v>3209100</v>
      </c>
      <c r="R317" s="281">
        <f t="shared" si="586"/>
        <v>14109069</v>
      </c>
      <c r="S317" s="277">
        <v>2270734</v>
      </c>
      <c r="T317" s="277">
        <v>2263768</v>
      </c>
      <c r="U317" s="277">
        <v>2256393</v>
      </c>
      <c r="V317" s="277">
        <v>1964182</v>
      </c>
      <c r="W317" s="277">
        <v>1520700</v>
      </c>
      <c r="X317" s="277">
        <v>1358187</v>
      </c>
      <c r="Y317" s="277"/>
      <c r="Z317" s="277"/>
      <c r="AA317" s="281">
        <f t="shared" si="600"/>
        <v>11633964</v>
      </c>
      <c r="AB317" s="403">
        <f t="shared" si="587"/>
        <v>25743033</v>
      </c>
      <c r="AC317" s="326">
        <v>0</v>
      </c>
    </row>
    <row r="318" spans="1:29" ht="14.25" x14ac:dyDescent="0.2">
      <c r="A318" s="427">
        <v>1</v>
      </c>
      <c r="B318" s="323" t="s">
        <v>792</v>
      </c>
      <c r="C318" s="206" t="s">
        <v>335</v>
      </c>
      <c r="D318" s="332"/>
      <c r="E318" s="325">
        <f>SUM('ADICIONES  2021'!C318:N318)</f>
        <v>0</v>
      </c>
      <c r="F318" s="277"/>
      <c r="G318" s="277"/>
      <c r="H318" s="277"/>
      <c r="I318" s="277"/>
      <c r="J318" s="277"/>
      <c r="K318" s="281">
        <f t="shared" si="580"/>
        <v>0</v>
      </c>
      <c r="L318" s="277">
        <v>0</v>
      </c>
      <c r="M318" s="277">
        <v>0</v>
      </c>
      <c r="N318" s="277">
        <v>0</v>
      </c>
      <c r="O318" s="277">
        <v>0</v>
      </c>
      <c r="P318" s="277">
        <v>0</v>
      </c>
      <c r="Q318" s="277">
        <v>0</v>
      </c>
      <c r="R318" s="281">
        <f t="shared" si="586"/>
        <v>0</v>
      </c>
      <c r="S318" s="277">
        <v>0</v>
      </c>
      <c r="T318" s="277">
        <v>0</v>
      </c>
      <c r="U318" s="277">
        <v>0</v>
      </c>
      <c r="V318" s="277">
        <v>0</v>
      </c>
      <c r="W318" s="277">
        <v>0</v>
      </c>
      <c r="X318" s="277">
        <v>0</v>
      </c>
      <c r="Y318" s="277"/>
      <c r="Z318" s="277"/>
      <c r="AA318" s="281">
        <f t="shared" si="600"/>
        <v>0</v>
      </c>
      <c r="AB318" s="403">
        <f t="shared" si="587"/>
        <v>0</v>
      </c>
      <c r="AC318" s="326">
        <v>0</v>
      </c>
    </row>
    <row r="319" spans="1:29" ht="14.25" x14ac:dyDescent="0.2">
      <c r="A319" s="427">
        <v>1</v>
      </c>
      <c r="B319" s="323" t="s">
        <v>793</v>
      </c>
      <c r="C319" s="206" t="s">
        <v>336</v>
      </c>
      <c r="D319" s="332"/>
      <c r="E319" s="325">
        <f>SUM('ADICIONES  2021'!C319:N319)</f>
        <v>0</v>
      </c>
      <c r="F319" s="277"/>
      <c r="G319" s="277"/>
      <c r="H319" s="277"/>
      <c r="I319" s="277"/>
      <c r="J319" s="277"/>
      <c r="K319" s="281">
        <f t="shared" si="580"/>
        <v>0</v>
      </c>
      <c r="L319" s="277">
        <v>619150</v>
      </c>
      <c r="M319" s="277">
        <v>504283</v>
      </c>
      <c r="N319" s="277">
        <v>553402</v>
      </c>
      <c r="O319" s="277">
        <v>536697</v>
      </c>
      <c r="P319" s="277">
        <v>568828</v>
      </c>
      <c r="Q319" s="277">
        <v>595194</v>
      </c>
      <c r="R319" s="281">
        <f t="shared" si="586"/>
        <v>3377554</v>
      </c>
      <c r="S319" s="277">
        <v>616320</v>
      </c>
      <c r="T319" s="277">
        <v>617662</v>
      </c>
      <c r="U319" s="277">
        <v>595268</v>
      </c>
      <c r="V319" s="277">
        <v>614560</v>
      </c>
      <c r="W319" s="277">
        <v>620262</v>
      </c>
      <c r="X319" s="277">
        <v>613958</v>
      </c>
      <c r="Y319" s="277"/>
      <c r="Z319" s="277"/>
      <c r="AA319" s="281">
        <f t="shared" si="600"/>
        <v>3678030</v>
      </c>
      <c r="AB319" s="403">
        <f t="shared" si="587"/>
        <v>7055584</v>
      </c>
      <c r="AC319" s="326">
        <v>0</v>
      </c>
    </row>
    <row r="320" spans="1:29" ht="25.5" x14ac:dyDescent="0.2">
      <c r="A320" s="427">
        <v>1</v>
      </c>
      <c r="B320" s="323" t="s">
        <v>794</v>
      </c>
      <c r="C320" s="206" t="s">
        <v>337</v>
      </c>
      <c r="D320" s="332"/>
      <c r="E320" s="325">
        <f>SUM('ADICIONES  2021'!C320:N320)</f>
        <v>0</v>
      </c>
      <c r="F320" s="277"/>
      <c r="G320" s="277"/>
      <c r="H320" s="277"/>
      <c r="I320" s="277"/>
      <c r="J320" s="277"/>
      <c r="K320" s="281">
        <f t="shared" si="580"/>
        <v>0</v>
      </c>
      <c r="L320" s="277">
        <v>69314.44</v>
      </c>
      <c r="M320" s="277">
        <v>58470.99</v>
      </c>
      <c r="N320" s="277">
        <v>61645.57</v>
      </c>
      <c r="O320" s="277">
        <v>16173.2</v>
      </c>
      <c r="P320" s="277">
        <v>530.98</v>
      </c>
      <c r="Q320" s="277">
        <v>484.33</v>
      </c>
      <c r="R320" s="281">
        <f t="shared" si="586"/>
        <v>206619.51</v>
      </c>
      <c r="S320" s="277">
        <v>367.7</v>
      </c>
      <c r="T320" s="277">
        <v>366.56</v>
      </c>
      <c r="U320" s="277">
        <v>341.36</v>
      </c>
      <c r="V320" s="277">
        <v>288.83</v>
      </c>
      <c r="W320" s="277">
        <v>222.51</v>
      </c>
      <c r="X320" s="277">
        <v>192.75</v>
      </c>
      <c r="Y320" s="277"/>
      <c r="Z320" s="277"/>
      <c r="AA320" s="281">
        <f t="shared" si="600"/>
        <v>1779.7099999999998</v>
      </c>
      <c r="AB320" s="403">
        <f t="shared" si="587"/>
        <v>208399.22</v>
      </c>
      <c r="AC320" s="326">
        <v>0</v>
      </c>
    </row>
    <row r="321" spans="1:29" ht="25.5" x14ac:dyDescent="0.2">
      <c r="A321" s="427">
        <v>1</v>
      </c>
      <c r="B321" s="323" t="s">
        <v>795</v>
      </c>
      <c r="C321" s="206" t="s">
        <v>338</v>
      </c>
      <c r="D321" s="332"/>
      <c r="E321" s="325">
        <f>SUM('ADICIONES  2021'!C321:N321)</f>
        <v>0</v>
      </c>
      <c r="F321" s="277"/>
      <c r="G321" s="277"/>
      <c r="H321" s="277"/>
      <c r="I321" s="277"/>
      <c r="J321" s="277"/>
      <c r="K321" s="281">
        <f t="shared" si="580"/>
        <v>0</v>
      </c>
      <c r="L321" s="277">
        <v>18527848.949999999</v>
      </c>
      <c r="M321" s="277">
        <v>16474518.880000001</v>
      </c>
      <c r="N321" s="277">
        <v>9998075.9900000002</v>
      </c>
      <c r="O321" s="277">
        <v>9132826.0299999993</v>
      </c>
      <c r="P321" s="277">
        <v>8435357.9800000004</v>
      </c>
      <c r="Q321" s="277">
        <v>7505162.1900000004</v>
      </c>
      <c r="R321" s="281">
        <f t="shared" si="586"/>
        <v>70073790.019999996</v>
      </c>
      <c r="S321" s="277">
        <v>5854046.3600000003</v>
      </c>
      <c r="T321" s="277">
        <v>4354781.91</v>
      </c>
      <c r="U321" s="277">
        <v>3135969.08</v>
      </c>
      <c r="V321" s="277">
        <v>2556091.15</v>
      </c>
      <c r="W321" s="277">
        <v>2373385.63</v>
      </c>
      <c r="X321" s="277">
        <v>1971946.17</v>
      </c>
      <c r="Y321" s="277"/>
      <c r="Z321" s="277"/>
      <c r="AA321" s="281">
        <f t="shared" si="600"/>
        <v>20246220.299999997</v>
      </c>
      <c r="AB321" s="403">
        <f t="shared" si="587"/>
        <v>90320010.319999993</v>
      </c>
      <c r="AC321" s="326">
        <v>0</v>
      </c>
    </row>
    <row r="322" spans="1:29" ht="14.25" x14ac:dyDescent="0.2">
      <c r="A322" s="427">
        <v>1</v>
      </c>
      <c r="B322" s="323" t="s">
        <v>796</v>
      </c>
      <c r="C322" s="206" t="s">
        <v>339</v>
      </c>
      <c r="D322" s="332"/>
      <c r="E322" s="325">
        <f>SUM('ADICIONES  2021'!C322:N322)</f>
        <v>0</v>
      </c>
      <c r="F322" s="277"/>
      <c r="G322" s="277"/>
      <c r="H322" s="277"/>
      <c r="I322" s="277"/>
      <c r="J322" s="277"/>
      <c r="K322" s="281">
        <f t="shared" si="580"/>
        <v>0</v>
      </c>
      <c r="L322" s="277">
        <v>2471972</v>
      </c>
      <c r="M322" s="277">
        <v>507614</v>
      </c>
      <c r="N322" s="277">
        <v>918562</v>
      </c>
      <c r="O322" s="277">
        <v>1006338</v>
      </c>
      <c r="P322" s="277">
        <v>1137943</v>
      </c>
      <c r="Q322" s="277">
        <v>1168273</v>
      </c>
      <c r="R322" s="281">
        <f t="shared" si="586"/>
        <v>7210702</v>
      </c>
      <c r="S322" s="277">
        <v>1322372</v>
      </c>
      <c r="T322" s="277">
        <v>1433811</v>
      </c>
      <c r="U322" s="277">
        <v>1494090</v>
      </c>
      <c r="V322" s="277">
        <v>1531446</v>
      </c>
      <c r="W322" s="277">
        <v>1663861</v>
      </c>
      <c r="X322" s="277">
        <v>1678423</v>
      </c>
      <c r="Y322" s="277"/>
      <c r="Z322" s="277"/>
      <c r="AA322" s="281">
        <f t="shared" si="600"/>
        <v>9124003</v>
      </c>
      <c r="AB322" s="403">
        <f t="shared" si="587"/>
        <v>16334705</v>
      </c>
      <c r="AC322" s="326">
        <v>0</v>
      </c>
    </row>
    <row r="323" spans="1:29" ht="25.5" x14ac:dyDescent="0.2">
      <c r="A323" s="427">
        <v>1</v>
      </c>
      <c r="B323" s="323" t="s">
        <v>797</v>
      </c>
      <c r="C323" s="206" t="s">
        <v>340</v>
      </c>
      <c r="D323" s="332"/>
      <c r="E323" s="325">
        <f>SUM('ADICIONES  2021'!C323:N323)</f>
        <v>0</v>
      </c>
      <c r="F323" s="277"/>
      <c r="G323" s="277"/>
      <c r="H323" s="277"/>
      <c r="I323" s="277"/>
      <c r="J323" s="277"/>
      <c r="K323" s="281">
        <f t="shared" si="580"/>
        <v>0</v>
      </c>
      <c r="L323" s="277">
        <v>1105238.1399999999</v>
      </c>
      <c r="M323" s="277">
        <v>998515.22</v>
      </c>
      <c r="N323" s="277">
        <v>1105759.92</v>
      </c>
      <c r="O323" s="277">
        <v>1070351.3799999999</v>
      </c>
      <c r="P323" s="277">
        <v>1106299.6599999999</v>
      </c>
      <c r="Q323" s="277">
        <v>575563.4</v>
      </c>
      <c r="R323" s="281">
        <f t="shared" si="586"/>
        <v>5961727.7200000007</v>
      </c>
      <c r="S323" s="277">
        <v>414987.62</v>
      </c>
      <c r="T323" s="277">
        <v>415026.14</v>
      </c>
      <c r="U323" s="277">
        <v>401675.03</v>
      </c>
      <c r="V323" s="277">
        <v>415102.33</v>
      </c>
      <c r="W323" s="277">
        <v>401748.56</v>
      </c>
      <c r="X323" s="277">
        <v>2884694.02</v>
      </c>
      <c r="Y323" s="277"/>
      <c r="Z323" s="277"/>
      <c r="AA323" s="281">
        <f t="shared" si="600"/>
        <v>4933233.7</v>
      </c>
      <c r="AB323" s="403">
        <f t="shared" si="587"/>
        <v>10894961.420000002</v>
      </c>
      <c r="AC323" s="326">
        <v>0</v>
      </c>
    </row>
    <row r="324" spans="1:29" ht="25.5" x14ac:dyDescent="0.2">
      <c r="A324" s="427">
        <v>1</v>
      </c>
      <c r="B324" s="323" t="s">
        <v>798</v>
      </c>
      <c r="C324" s="206" t="s">
        <v>341</v>
      </c>
      <c r="D324" s="332"/>
      <c r="E324" s="325">
        <f>SUM('ADICIONES  2021'!C324:N324)</f>
        <v>0</v>
      </c>
      <c r="F324" s="277"/>
      <c r="G324" s="277"/>
      <c r="H324" s="277"/>
      <c r="I324" s="277"/>
      <c r="J324" s="277"/>
      <c r="K324" s="281">
        <f t="shared" si="580"/>
        <v>0</v>
      </c>
      <c r="L324" s="277">
        <v>9827</v>
      </c>
      <c r="M324" s="277">
        <v>41185</v>
      </c>
      <c r="N324" s="277">
        <v>52676</v>
      </c>
      <c r="O324" s="277">
        <v>67250</v>
      </c>
      <c r="P324" s="277">
        <v>77024</v>
      </c>
      <c r="Q324" s="277">
        <v>116265</v>
      </c>
      <c r="R324" s="281">
        <f t="shared" si="586"/>
        <v>364227</v>
      </c>
      <c r="S324" s="277">
        <v>63236</v>
      </c>
      <c r="T324" s="277">
        <v>73366</v>
      </c>
      <c r="U324" s="277">
        <v>56710</v>
      </c>
      <c r="V324" s="277">
        <v>19958</v>
      </c>
      <c r="W324" s="277">
        <v>0</v>
      </c>
      <c r="X324" s="277">
        <v>1471614</v>
      </c>
      <c r="Y324" s="277"/>
      <c r="Z324" s="277"/>
      <c r="AA324" s="281">
        <f t="shared" si="600"/>
        <v>1684884</v>
      </c>
      <c r="AB324" s="403">
        <f t="shared" si="587"/>
        <v>2049111</v>
      </c>
      <c r="AC324" s="326">
        <v>0</v>
      </c>
    </row>
    <row r="325" spans="1:29" ht="25.5" x14ac:dyDescent="0.2">
      <c r="A325" s="427">
        <v>1</v>
      </c>
      <c r="B325" s="323" t="s">
        <v>799</v>
      </c>
      <c r="C325" s="206" t="s">
        <v>800</v>
      </c>
      <c r="D325" s="332">
        <v>85000000</v>
      </c>
      <c r="E325" s="325">
        <f>SUM('ADICIONES  2021'!C325:N325)</f>
        <v>0</v>
      </c>
      <c r="F325" s="277"/>
      <c r="G325" s="277"/>
      <c r="H325" s="277"/>
      <c r="I325" s="277"/>
      <c r="J325" s="277"/>
      <c r="K325" s="281">
        <f t="shared" si="580"/>
        <v>85000000</v>
      </c>
      <c r="L325" s="277">
        <v>1933865.05</v>
      </c>
      <c r="M325" s="277">
        <v>26427.13</v>
      </c>
      <c r="N325" s="277">
        <v>4197492.51</v>
      </c>
      <c r="O325" s="277">
        <v>2173098.23</v>
      </c>
      <c r="P325" s="277">
        <v>2041414.77</v>
      </c>
      <c r="Q325" s="277">
        <v>2140121.02</v>
      </c>
      <c r="R325" s="281">
        <f t="shared" si="586"/>
        <v>12512418.709999999</v>
      </c>
      <c r="S325" s="277">
        <v>1857851.32</v>
      </c>
      <c r="T325" s="277">
        <v>1353357.06</v>
      </c>
      <c r="U325" s="277">
        <v>1595316.06</v>
      </c>
      <c r="V325" s="277">
        <v>1647846.49</v>
      </c>
      <c r="W325" s="277">
        <v>1691918</v>
      </c>
      <c r="X325" s="277">
        <v>9728352.7599999998</v>
      </c>
      <c r="Y325" s="277"/>
      <c r="Z325" s="277"/>
      <c r="AA325" s="281">
        <f t="shared" si="600"/>
        <v>17874641.689999998</v>
      </c>
      <c r="AB325" s="403">
        <f t="shared" si="587"/>
        <v>30387060.399999999</v>
      </c>
      <c r="AC325" s="326">
        <f t="shared" si="623"/>
        <v>0.3574948282352941</v>
      </c>
    </row>
    <row r="326" spans="1:29" ht="25.5" x14ac:dyDescent="0.2">
      <c r="A326" s="427">
        <v>1</v>
      </c>
      <c r="B326" s="323" t="s">
        <v>801</v>
      </c>
      <c r="C326" s="206" t="s">
        <v>802</v>
      </c>
      <c r="D326" s="332"/>
      <c r="E326" s="325">
        <f>SUM('ADICIONES  2021'!C326:N326)</f>
        <v>0</v>
      </c>
      <c r="F326" s="277"/>
      <c r="G326" s="277"/>
      <c r="H326" s="277"/>
      <c r="I326" s="277"/>
      <c r="J326" s="277"/>
      <c r="K326" s="281">
        <f t="shared" si="580"/>
        <v>0</v>
      </c>
      <c r="L326" s="277">
        <v>103920.67</v>
      </c>
      <c r="M326" s="277">
        <v>78649.3</v>
      </c>
      <c r="N326" s="277">
        <v>122766.32</v>
      </c>
      <c r="O326" s="277">
        <v>139478.44</v>
      </c>
      <c r="P326" s="277">
        <v>177283.32</v>
      </c>
      <c r="Q326" s="277">
        <v>115156.74</v>
      </c>
      <c r="R326" s="281">
        <f t="shared" si="586"/>
        <v>737254.79</v>
      </c>
      <c r="S326" s="277">
        <v>86136.69</v>
      </c>
      <c r="T326" s="277">
        <v>91565.21</v>
      </c>
      <c r="U326" s="277">
        <v>108483.51</v>
      </c>
      <c r="V326" s="277">
        <v>116970.23</v>
      </c>
      <c r="W326" s="277">
        <v>130124.92</v>
      </c>
      <c r="X326" s="277">
        <v>1011427.49</v>
      </c>
      <c r="Y326" s="277"/>
      <c r="Z326" s="277"/>
      <c r="AA326" s="281">
        <f t="shared" si="600"/>
        <v>1544708.05</v>
      </c>
      <c r="AB326" s="403">
        <f t="shared" si="587"/>
        <v>2281962.84</v>
      </c>
      <c r="AC326" s="326">
        <v>0</v>
      </c>
    </row>
    <row r="327" spans="1:29" ht="38.25" x14ac:dyDescent="0.2">
      <c r="A327" s="427">
        <v>1</v>
      </c>
      <c r="B327" s="323" t="s">
        <v>803</v>
      </c>
      <c r="C327" s="206" t="s">
        <v>804</v>
      </c>
      <c r="D327" s="332"/>
      <c r="E327" s="325">
        <f>SUM('ADICIONES  2021'!C327:N327)</f>
        <v>0</v>
      </c>
      <c r="F327" s="277"/>
      <c r="G327" s="277"/>
      <c r="H327" s="277"/>
      <c r="I327" s="277"/>
      <c r="J327" s="277"/>
      <c r="K327" s="281">
        <f t="shared" si="580"/>
        <v>0</v>
      </c>
      <c r="L327" s="277">
        <v>409584.4</v>
      </c>
      <c r="M327" s="277">
        <v>566719.72</v>
      </c>
      <c r="N327" s="277">
        <v>627586.35</v>
      </c>
      <c r="O327" s="277">
        <v>575303</v>
      </c>
      <c r="P327" s="277">
        <v>561362.76</v>
      </c>
      <c r="Q327" s="277">
        <v>292054.53999999998</v>
      </c>
      <c r="R327" s="281">
        <f t="shared" si="586"/>
        <v>3032610.7699999996</v>
      </c>
      <c r="S327" s="277">
        <v>210574.51</v>
      </c>
      <c r="T327" s="277">
        <v>210594.09</v>
      </c>
      <c r="U327" s="277">
        <v>203819.39</v>
      </c>
      <c r="V327" s="277">
        <v>210632.66</v>
      </c>
      <c r="W327" s="277">
        <v>199497.86</v>
      </c>
      <c r="X327" s="277">
        <v>1111271.98</v>
      </c>
      <c r="Y327" s="277"/>
      <c r="Z327" s="277"/>
      <c r="AA327" s="281">
        <f t="shared" si="600"/>
        <v>2146390.4900000002</v>
      </c>
      <c r="AB327" s="403">
        <f t="shared" si="587"/>
        <v>5179001.26</v>
      </c>
      <c r="AC327" s="326">
        <v>0</v>
      </c>
    </row>
    <row r="328" spans="1:29" ht="38.25" x14ac:dyDescent="0.2">
      <c r="A328" s="427">
        <v>1</v>
      </c>
      <c r="B328" s="323" t="s">
        <v>805</v>
      </c>
      <c r="C328" s="206" t="s">
        <v>806</v>
      </c>
      <c r="D328" s="332"/>
      <c r="E328" s="325">
        <f>SUM('ADICIONES  2021'!C328:N328)</f>
        <v>0</v>
      </c>
      <c r="F328" s="277"/>
      <c r="G328" s="277"/>
      <c r="H328" s="277"/>
      <c r="I328" s="277"/>
      <c r="J328" s="277"/>
      <c r="K328" s="281">
        <f t="shared" si="580"/>
        <v>0</v>
      </c>
      <c r="L328" s="277">
        <v>0</v>
      </c>
      <c r="M328" s="277">
        <v>0</v>
      </c>
      <c r="N328" s="277">
        <v>0</v>
      </c>
      <c r="O328" s="277">
        <v>0</v>
      </c>
      <c r="P328" s="277">
        <v>0</v>
      </c>
      <c r="Q328" s="277">
        <v>0</v>
      </c>
      <c r="R328" s="281">
        <f t="shared" si="586"/>
        <v>0</v>
      </c>
      <c r="S328" s="277">
        <v>0</v>
      </c>
      <c r="T328" s="277">
        <v>0</v>
      </c>
      <c r="U328" s="277">
        <v>0</v>
      </c>
      <c r="V328" s="277">
        <v>0</v>
      </c>
      <c r="W328" s="277">
        <v>0</v>
      </c>
      <c r="X328" s="277">
        <v>0</v>
      </c>
      <c r="Y328" s="277"/>
      <c r="Z328" s="277"/>
      <c r="AA328" s="281">
        <f t="shared" si="600"/>
        <v>0</v>
      </c>
      <c r="AB328" s="403">
        <f t="shared" si="587"/>
        <v>0</v>
      </c>
      <c r="AC328" s="326">
        <v>0</v>
      </c>
    </row>
    <row r="329" spans="1:29" ht="14.25" x14ac:dyDescent="0.2">
      <c r="A329" s="427">
        <v>1</v>
      </c>
      <c r="B329" s="323" t="s">
        <v>807</v>
      </c>
      <c r="C329" s="206" t="s">
        <v>342</v>
      </c>
      <c r="D329" s="332"/>
      <c r="E329" s="325">
        <f>SUM('ADICIONES  2021'!C329:N329)</f>
        <v>0</v>
      </c>
      <c r="F329" s="277"/>
      <c r="G329" s="277"/>
      <c r="H329" s="277"/>
      <c r="I329" s="277"/>
      <c r="J329" s="277"/>
      <c r="K329" s="281">
        <f t="shared" si="580"/>
        <v>0</v>
      </c>
      <c r="L329" s="277">
        <v>9388681</v>
      </c>
      <c r="M329" s="277">
        <v>7332271</v>
      </c>
      <c r="N329" s="277">
        <v>11119937</v>
      </c>
      <c r="O329" s="277">
        <v>11513972</v>
      </c>
      <c r="P329" s="277">
        <v>12148271</v>
      </c>
      <c r="Q329" s="277">
        <v>14539171</v>
      </c>
      <c r="R329" s="281">
        <f t="shared" si="586"/>
        <v>66042303</v>
      </c>
      <c r="S329" s="277">
        <v>17037622</v>
      </c>
      <c r="T329" s="277">
        <v>17303214</v>
      </c>
      <c r="U329" s="277">
        <v>16808574</v>
      </c>
      <c r="V329" s="277">
        <v>15036366</v>
      </c>
      <c r="W329" s="277">
        <v>12835373</v>
      </c>
      <c r="X329" s="277">
        <v>10077988</v>
      </c>
      <c r="Y329" s="277"/>
      <c r="Z329" s="277"/>
      <c r="AA329" s="281">
        <f t="shared" si="600"/>
        <v>89099137</v>
      </c>
      <c r="AB329" s="403">
        <f t="shared" si="587"/>
        <v>155141440</v>
      </c>
      <c r="AC329" s="326">
        <v>0</v>
      </c>
    </row>
    <row r="330" spans="1:29" ht="14.25" x14ac:dyDescent="0.2">
      <c r="A330" s="427">
        <v>1</v>
      </c>
      <c r="B330" s="323" t="s">
        <v>808</v>
      </c>
      <c r="C330" s="206" t="s">
        <v>809</v>
      </c>
      <c r="D330" s="332"/>
      <c r="E330" s="325">
        <f>SUM('ADICIONES  2021'!C330:N330)</f>
        <v>0</v>
      </c>
      <c r="F330" s="277"/>
      <c r="G330" s="277"/>
      <c r="H330" s="277"/>
      <c r="I330" s="277"/>
      <c r="J330" s="277"/>
      <c r="K330" s="281">
        <f t="shared" si="580"/>
        <v>0</v>
      </c>
      <c r="L330" s="277">
        <v>0</v>
      </c>
      <c r="M330" s="277">
        <v>0</v>
      </c>
      <c r="N330" s="277">
        <v>0</v>
      </c>
      <c r="O330" s="277">
        <v>0</v>
      </c>
      <c r="P330" s="277">
        <v>0</v>
      </c>
      <c r="Q330" s="277">
        <v>0</v>
      </c>
      <c r="R330" s="281">
        <f t="shared" si="586"/>
        <v>0</v>
      </c>
      <c r="S330" s="277">
        <v>0</v>
      </c>
      <c r="T330" s="277">
        <v>0</v>
      </c>
      <c r="U330" s="277">
        <v>0</v>
      </c>
      <c r="V330" s="277">
        <v>0</v>
      </c>
      <c r="W330" s="277">
        <v>0</v>
      </c>
      <c r="X330" s="277">
        <v>0</v>
      </c>
      <c r="Y330" s="277"/>
      <c r="Z330" s="277"/>
      <c r="AA330" s="281">
        <f t="shared" si="600"/>
        <v>0</v>
      </c>
      <c r="AB330" s="403">
        <f t="shared" si="587"/>
        <v>0</v>
      </c>
      <c r="AC330" s="326">
        <v>0</v>
      </c>
    </row>
    <row r="331" spans="1:29" ht="25.5" x14ac:dyDescent="0.2">
      <c r="A331" s="427">
        <v>1</v>
      </c>
      <c r="B331" s="323" t="s">
        <v>810</v>
      </c>
      <c r="C331" s="206" t="s">
        <v>343</v>
      </c>
      <c r="D331" s="332"/>
      <c r="E331" s="325">
        <f>SUM('ADICIONES  2021'!C331:N331)</f>
        <v>0</v>
      </c>
      <c r="F331" s="277"/>
      <c r="G331" s="277"/>
      <c r="H331" s="277"/>
      <c r="I331" s="277"/>
      <c r="J331" s="277"/>
      <c r="K331" s="281">
        <f t="shared" si="580"/>
        <v>0</v>
      </c>
      <c r="L331" s="277">
        <v>480022.95</v>
      </c>
      <c r="M331" s="277">
        <v>388657.13</v>
      </c>
      <c r="N331" s="277">
        <v>405943.28</v>
      </c>
      <c r="O331" s="277">
        <v>391351.63</v>
      </c>
      <c r="P331" s="277">
        <v>395638.94</v>
      </c>
      <c r="Q331" s="277">
        <v>381689.8</v>
      </c>
      <c r="R331" s="281">
        <f t="shared" si="586"/>
        <v>2443303.73</v>
      </c>
      <c r="S331" s="277">
        <v>394650.69</v>
      </c>
      <c r="T331" s="277">
        <v>389608.33</v>
      </c>
      <c r="U331" s="277">
        <v>364711.57</v>
      </c>
      <c r="V331" s="277">
        <v>408839.02</v>
      </c>
      <c r="W331" s="277">
        <v>481980.96</v>
      </c>
      <c r="X331" s="277">
        <v>516760.95</v>
      </c>
      <c r="Y331" s="277"/>
      <c r="Z331" s="277"/>
      <c r="AA331" s="281">
        <f t="shared" si="600"/>
        <v>2556551.52</v>
      </c>
      <c r="AB331" s="403">
        <f t="shared" si="587"/>
        <v>4999855.25</v>
      </c>
      <c r="AC331" s="326">
        <v>0</v>
      </c>
    </row>
    <row r="332" spans="1:29" ht="14.25" x14ac:dyDescent="0.2">
      <c r="A332" s="427">
        <v>1</v>
      </c>
      <c r="B332" s="323" t="s">
        <v>811</v>
      </c>
      <c r="C332" s="206" t="s">
        <v>344</v>
      </c>
      <c r="D332" s="332"/>
      <c r="E332" s="325">
        <f>SUM('ADICIONES  2021'!C332:N332)</f>
        <v>0</v>
      </c>
      <c r="F332" s="277"/>
      <c r="G332" s="277"/>
      <c r="H332" s="277"/>
      <c r="I332" s="277"/>
      <c r="J332" s="277"/>
      <c r="K332" s="281">
        <f t="shared" si="580"/>
        <v>0</v>
      </c>
      <c r="L332" s="277">
        <v>307827</v>
      </c>
      <c r="M332" s="277">
        <v>290454</v>
      </c>
      <c r="N332" s="277">
        <v>286213</v>
      </c>
      <c r="O332" s="277">
        <v>286502</v>
      </c>
      <c r="P332" s="277">
        <v>286742</v>
      </c>
      <c r="Q332" s="277">
        <v>287005</v>
      </c>
      <c r="R332" s="281">
        <f t="shared" si="586"/>
        <v>1744743</v>
      </c>
      <c r="S332" s="277">
        <v>257535</v>
      </c>
      <c r="T332" s="277">
        <v>113454</v>
      </c>
      <c r="U332" s="277">
        <v>18780</v>
      </c>
      <c r="V332" s="277">
        <v>1511</v>
      </c>
      <c r="W332" s="277">
        <v>4</v>
      </c>
      <c r="X332" s="277">
        <v>4</v>
      </c>
      <c r="Y332" s="277"/>
      <c r="Z332" s="277"/>
      <c r="AA332" s="281">
        <f t="shared" si="600"/>
        <v>391288</v>
      </c>
      <c r="AB332" s="403">
        <f t="shared" si="587"/>
        <v>2136031</v>
      </c>
      <c r="AC332" s="326">
        <v>0</v>
      </c>
    </row>
    <row r="333" spans="1:29" ht="25.5" x14ac:dyDescent="0.2">
      <c r="A333" s="427">
        <v>1</v>
      </c>
      <c r="B333" s="323" t="s">
        <v>1826</v>
      </c>
      <c r="C333" s="206" t="s">
        <v>1827</v>
      </c>
      <c r="D333" s="332"/>
      <c r="E333" s="325">
        <f>SUM('ADICIONES  2021'!C333:N333)</f>
        <v>6600708</v>
      </c>
      <c r="F333" s="277"/>
      <c r="G333" s="277"/>
      <c r="H333" s="277"/>
      <c r="I333" s="277"/>
      <c r="J333" s="277"/>
      <c r="K333" s="281">
        <f t="shared" si="580"/>
        <v>6600708</v>
      </c>
      <c r="L333" s="277"/>
      <c r="M333" s="277"/>
      <c r="N333" s="277"/>
      <c r="O333" s="277"/>
      <c r="P333" s="277">
        <v>0</v>
      </c>
      <c r="Q333" s="277">
        <v>0</v>
      </c>
      <c r="R333" s="281">
        <f t="shared" si="586"/>
        <v>0</v>
      </c>
      <c r="S333" s="277">
        <v>0</v>
      </c>
      <c r="T333" s="277">
        <v>0</v>
      </c>
      <c r="U333" s="277">
        <v>0</v>
      </c>
      <c r="V333" s="277">
        <v>0</v>
      </c>
      <c r="W333" s="277">
        <v>6600708</v>
      </c>
      <c r="X333" s="277">
        <v>0</v>
      </c>
      <c r="Y333" s="277"/>
      <c r="Z333" s="277"/>
      <c r="AA333" s="281">
        <f t="shared" si="600"/>
        <v>6600708</v>
      </c>
      <c r="AB333" s="403">
        <f t="shared" si="587"/>
        <v>6600708</v>
      </c>
      <c r="AC333" s="326">
        <f t="shared" si="623"/>
        <v>1</v>
      </c>
    </row>
    <row r="334" spans="1:29" ht="25.5" x14ac:dyDescent="0.2">
      <c r="A334" s="427">
        <v>1</v>
      </c>
      <c r="B334" s="323" t="s">
        <v>1828</v>
      </c>
      <c r="C334" s="206" t="s">
        <v>1829</v>
      </c>
      <c r="D334" s="332"/>
      <c r="E334" s="325">
        <f>SUM('ADICIONES  2021'!C334:N334)</f>
        <v>3803246</v>
      </c>
      <c r="F334" s="277"/>
      <c r="G334" s="277"/>
      <c r="H334" s="277"/>
      <c r="I334" s="277"/>
      <c r="J334" s="277"/>
      <c r="K334" s="281">
        <f t="shared" si="580"/>
        <v>3803246</v>
      </c>
      <c r="L334" s="277"/>
      <c r="M334" s="277"/>
      <c r="N334" s="277"/>
      <c r="O334" s="277"/>
      <c r="P334" s="277">
        <v>0</v>
      </c>
      <c r="Q334" s="277">
        <v>0</v>
      </c>
      <c r="R334" s="281">
        <f t="shared" si="586"/>
        <v>0</v>
      </c>
      <c r="S334" s="277">
        <v>0</v>
      </c>
      <c r="T334" s="277">
        <v>0</v>
      </c>
      <c r="U334" s="277">
        <v>0</v>
      </c>
      <c r="V334" s="277">
        <v>0</v>
      </c>
      <c r="W334" s="277">
        <v>3803246</v>
      </c>
      <c r="X334" s="277">
        <v>0</v>
      </c>
      <c r="Y334" s="277"/>
      <c r="Z334" s="277"/>
      <c r="AA334" s="281">
        <f t="shared" si="600"/>
        <v>3803246</v>
      </c>
      <c r="AB334" s="403">
        <f t="shared" si="587"/>
        <v>3803246</v>
      </c>
      <c r="AC334" s="326">
        <f t="shared" si="623"/>
        <v>1</v>
      </c>
    </row>
    <row r="335" spans="1:29" ht="14.25" x14ac:dyDescent="0.2">
      <c r="A335" s="427">
        <v>1</v>
      </c>
      <c r="B335" s="323" t="s">
        <v>1888</v>
      </c>
      <c r="C335" s="206" t="s">
        <v>1889</v>
      </c>
      <c r="D335" s="332"/>
      <c r="E335" s="325">
        <f>SUM('ADICIONES  2021'!C335:N335)</f>
        <v>48678228</v>
      </c>
      <c r="F335" s="277"/>
      <c r="G335" s="277"/>
      <c r="H335" s="277"/>
      <c r="I335" s="277"/>
      <c r="J335" s="277"/>
      <c r="K335" s="281">
        <f t="shared" si="580"/>
        <v>48678228</v>
      </c>
      <c r="L335" s="277"/>
      <c r="M335" s="277"/>
      <c r="N335" s="277"/>
      <c r="O335" s="277"/>
      <c r="P335" s="277"/>
      <c r="Q335" s="277"/>
      <c r="R335" s="281">
        <f t="shared" si="586"/>
        <v>0</v>
      </c>
      <c r="S335" s="277"/>
      <c r="T335" s="277"/>
      <c r="U335" s="277"/>
      <c r="V335" s="277"/>
      <c r="W335" s="277">
        <v>48678228</v>
      </c>
      <c r="X335" s="277">
        <v>0</v>
      </c>
      <c r="Y335" s="277"/>
      <c r="Z335" s="277"/>
      <c r="AA335" s="281">
        <f t="shared" si="600"/>
        <v>48678228</v>
      </c>
      <c r="AB335" s="403">
        <f t="shared" si="587"/>
        <v>48678228</v>
      </c>
      <c r="AC335" s="326">
        <f t="shared" si="623"/>
        <v>1</v>
      </c>
    </row>
    <row r="336" spans="1:29" ht="25.5" x14ac:dyDescent="0.2">
      <c r="A336" s="427">
        <v>1</v>
      </c>
      <c r="B336" s="323" t="s">
        <v>1890</v>
      </c>
      <c r="C336" s="206" t="s">
        <v>1891</v>
      </c>
      <c r="D336" s="332"/>
      <c r="E336" s="325">
        <f>SUM('ADICIONES  2021'!C336:N336)</f>
        <v>38436024</v>
      </c>
      <c r="F336" s="277"/>
      <c r="G336" s="277"/>
      <c r="H336" s="277"/>
      <c r="I336" s="277"/>
      <c r="J336" s="277"/>
      <c r="K336" s="281">
        <f t="shared" si="580"/>
        <v>38436024</v>
      </c>
      <c r="L336" s="277"/>
      <c r="M336" s="277"/>
      <c r="N336" s="277"/>
      <c r="O336" s="277"/>
      <c r="P336" s="277"/>
      <c r="Q336" s="277"/>
      <c r="R336" s="281">
        <f t="shared" si="586"/>
        <v>0</v>
      </c>
      <c r="S336" s="277"/>
      <c r="T336" s="277"/>
      <c r="U336" s="277"/>
      <c r="V336" s="277"/>
      <c r="W336" s="277">
        <v>38436024</v>
      </c>
      <c r="X336" s="277">
        <v>0</v>
      </c>
      <c r="Y336" s="277"/>
      <c r="Z336" s="277"/>
      <c r="AA336" s="281">
        <f t="shared" si="600"/>
        <v>38436024</v>
      </c>
      <c r="AB336" s="403">
        <f t="shared" si="587"/>
        <v>38436024</v>
      </c>
      <c r="AC336" s="326">
        <f t="shared" si="623"/>
        <v>1</v>
      </c>
    </row>
    <row r="337" spans="1:29" s="19" customFormat="1" x14ac:dyDescent="0.2">
      <c r="A337" s="429">
        <v>1</v>
      </c>
      <c r="B337" s="323" t="s">
        <v>1221</v>
      </c>
      <c r="C337" s="206" t="s">
        <v>1222</v>
      </c>
      <c r="D337" s="279">
        <f t="shared" ref="D337:D338" si="624">+D338</f>
        <v>0</v>
      </c>
      <c r="E337" s="322">
        <f>SUM('ADICIONES  2021'!C337:N337)</f>
        <v>139605410925.26001</v>
      </c>
      <c r="F337" s="279">
        <f t="shared" ref="F337:J338" si="625">+F338</f>
        <v>0</v>
      </c>
      <c r="G337" s="279">
        <f t="shared" si="625"/>
        <v>0</v>
      </c>
      <c r="H337" s="279">
        <f t="shared" si="625"/>
        <v>0</v>
      </c>
      <c r="I337" s="279">
        <f t="shared" si="625"/>
        <v>0</v>
      </c>
      <c r="J337" s="279">
        <f t="shared" si="625"/>
        <v>0</v>
      </c>
      <c r="K337" s="281">
        <f t="shared" si="580"/>
        <v>139605410925.26001</v>
      </c>
      <c r="L337" s="279">
        <f t="shared" ref="L337:Q338" si="626">+L338</f>
        <v>0</v>
      </c>
      <c r="M337" s="279">
        <f t="shared" si="626"/>
        <v>0</v>
      </c>
      <c r="N337" s="279">
        <f t="shared" si="626"/>
        <v>0</v>
      </c>
      <c r="O337" s="279">
        <f t="shared" si="626"/>
        <v>0</v>
      </c>
      <c r="P337" s="279">
        <f t="shared" si="626"/>
        <v>0</v>
      </c>
      <c r="Q337" s="279">
        <f t="shared" si="626"/>
        <v>0</v>
      </c>
      <c r="R337" s="281">
        <f t="shared" si="586"/>
        <v>0</v>
      </c>
      <c r="S337" s="277">
        <f t="shared" ref="S337:Z338" si="627">+S338</f>
        <v>0</v>
      </c>
      <c r="T337" s="277">
        <f t="shared" si="627"/>
        <v>0</v>
      </c>
      <c r="U337" s="277">
        <f t="shared" si="627"/>
        <v>0</v>
      </c>
      <c r="V337" s="277">
        <f t="shared" si="627"/>
        <v>0</v>
      </c>
      <c r="W337" s="277">
        <f t="shared" si="627"/>
        <v>0</v>
      </c>
      <c r="X337" s="277">
        <f>+X338</f>
        <v>7593286009</v>
      </c>
      <c r="Y337" s="277">
        <f t="shared" si="627"/>
        <v>0</v>
      </c>
      <c r="Z337" s="279">
        <f t="shared" si="627"/>
        <v>0</v>
      </c>
      <c r="AA337" s="276">
        <f t="shared" si="600"/>
        <v>7593286009</v>
      </c>
      <c r="AB337" s="403">
        <f t="shared" si="587"/>
        <v>7593286009</v>
      </c>
      <c r="AC337" s="326">
        <f t="shared" si="623"/>
        <v>5.439105804477154E-2</v>
      </c>
    </row>
    <row r="338" spans="1:29" s="61" customFormat="1" ht="15.75" hidden="1" x14ac:dyDescent="0.2">
      <c r="A338" s="425"/>
      <c r="B338" s="318" t="s">
        <v>1223</v>
      </c>
      <c r="C338" s="319" t="s">
        <v>1224</v>
      </c>
      <c r="D338" s="279">
        <f t="shared" si="624"/>
        <v>0</v>
      </c>
      <c r="E338" s="322">
        <f>SUM('ADICIONES  2021'!C338:N338)</f>
        <v>139605410925.26001</v>
      </c>
      <c r="F338" s="279">
        <f t="shared" si="625"/>
        <v>0</v>
      </c>
      <c r="G338" s="279">
        <f t="shared" si="625"/>
        <v>0</v>
      </c>
      <c r="H338" s="279">
        <f t="shared" si="625"/>
        <v>0</v>
      </c>
      <c r="I338" s="279">
        <f t="shared" si="625"/>
        <v>0</v>
      </c>
      <c r="J338" s="279">
        <f t="shared" si="625"/>
        <v>0</v>
      </c>
      <c r="K338" s="276">
        <f t="shared" si="580"/>
        <v>139605410925.26001</v>
      </c>
      <c r="L338" s="279">
        <f t="shared" si="626"/>
        <v>0</v>
      </c>
      <c r="M338" s="279">
        <f t="shared" si="626"/>
        <v>0</v>
      </c>
      <c r="N338" s="279">
        <f t="shared" si="626"/>
        <v>0</v>
      </c>
      <c r="O338" s="279">
        <f t="shared" si="626"/>
        <v>0</v>
      </c>
      <c r="P338" s="279">
        <f t="shared" si="626"/>
        <v>0</v>
      </c>
      <c r="Q338" s="279">
        <f t="shared" si="626"/>
        <v>0</v>
      </c>
      <c r="R338" s="276">
        <f t="shared" si="586"/>
        <v>0</v>
      </c>
      <c r="S338" s="279">
        <f t="shared" si="627"/>
        <v>0</v>
      </c>
      <c r="T338" s="279">
        <f t="shared" si="627"/>
        <v>0</v>
      </c>
      <c r="U338" s="279">
        <f t="shared" si="627"/>
        <v>0</v>
      </c>
      <c r="V338" s="279">
        <f t="shared" si="627"/>
        <v>0</v>
      </c>
      <c r="W338" s="279">
        <f t="shared" si="627"/>
        <v>0</v>
      </c>
      <c r="X338" s="279">
        <f>+X339</f>
        <v>7593286009</v>
      </c>
      <c r="Y338" s="279">
        <f t="shared" si="627"/>
        <v>0</v>
      </c>
      <c r="Z338" s="279">
        <f t="shared" si="627"/>
        <v>0</v>
      </c>
      <c r="AA338" s="276">
        <f t="shared" si="600"/>
        <v>7593286009</v>
      </c>
      <c r="AB338" s="402">
        <f t="shared" si="587"/>
        <v>7593286009</v>
      </c>
      <c r="AC338" s="326">
        <f t="shared" si="623"/>
        <v>5.439105804477154E-2</v>
      </c>
    </row>
    <row r="339" spans="1:29" s="61" customFormat="1" ht="15.75" hidden="1" x14ac:dyDescent="0.2">
      <c r="A339" s="425"/>
      <c r="B339" s="318" t="s">
        <v>1225</v>
      </c>
      <c r="C339" s="319" t="s">
        <v>1226</v>
      </c>
      <c r="D339" s="279">
        <f>SUM(D340:D342)</f>
        <v>0</v>
      </c>
      <c r="E339" s="322">
        <f>SUM('ADICIONES  2021'!C339:N339)</f>
        <v>139605410925.26001</v>
      </c>
      <c r="F339" s="279">
        <f t="shared" ref="F339:J339" si="628">SUM(F340:F342)</f>
        <v>0</v>
      </c>
      <c r="G339" s="279">
        <f t="shared" si="628"/>
        <v>0</v>
      </c>
      <c r="H339" s="279">
        <f t="shared" si="628"/>
        <v>0</v>
      </c>
      <c r="I339" s="279">
        <f t="shared" si="628"/>
        <v>0</v>
      </c>
      <c r="J339" s="279">
        <f t="shared" si="628"/>
        <v>0</v>
      </c>
      <c r="K339" s="276">
        <f t="shared" si="580"/>
        <v>139605410925.26001</v>
      </c>
      <c r="L339" s="279">
        <f t="shared" ref="L339:Q339" si="629">SUM(L340:L342)</f>
        <v>0</v>
      </c>
      <c r="M339" s="279">
        <f t="shared" si="629"/>
        <v>0</v>
      </c>
      <c r="N339" s="279">
        <f t="shared" si="629"/>
        <v>0</v>
      </c>
      <c r="O339" s="279">
        <f t="shared" si="629"/>
        <v>0</v>
      </c>
      <c r="P339" s="279">
        <f t="shared" si="629"/>
        <v>0</v>
      </c>
      <c r="Q339" s="279">
        <f t="shared" si="629"/>
        <v>0</v>
      </c>
      <c r="R339" s="276">
        <f t="shared" si="586"/>
        <v>0</v>
      </c>
      <c r="S339" s="279">
        <f t="shared" ref="S339:Z339" si="630">SUM(S340:S342)</f>
        <v>0</v>
      </c>
      <c r="T339" s="279">
        <f t="shared" si="630"/>
        <v>0</v>
      </c>
      <c r="U339" s="279">
        <f t="shared" si="630"/>
        <v>0</v>
      </c>
      <c r="V339" s="279">
        <f t="shared" si="630"/>
        <v>0</v>
      </c>
      <c r="W339" s="279">
        <f t="shared" si="630"/>
        <v>0</v>
      </c>
      <c r="X339" s="279">
        <f t="shared" si="630"/>
        <v>7593286009</v>
      </c>
      <c r="Y339" s="279">
        <f t="shared" si="630"/>
        <v>0</v>
      </c>
      <c r="Z339" s="279">
        <f t="shared" si="630"/>
        <v>0</v>
      </c>
      <c r="AA339" s="276">
        <f>SUM(S339:Z339)</f>
        <v>7593286009</v>
      </c>
      <c r="AB339" s="402">
        <f t="shared" si="587"/>
        <v>7593286009</v>
      </c>
      <c r="AC339" s="326">
        <f t="shared" si="623"/>
        <v>5.439105804477154E-2</v>
      </c>
    </row>
    <row r="340" spans="1:29" ht="25.5" hidden="1" x14ac:dyDescent="0.2">
      <c r="A340" s="424"/>
      <c r="B340" s="323" t="s">
        <v>1217</v>
      </c>
      <c r="C340" s="206" t="s">
        <v>1218</v>
      </c>
      <c r="D340" s="277"/>
      <c r="E340" s="325">
        <f>SUM('ADICIONES  2021'!C340:N340)</f>
        <v>79982811133.960007</v>
      </c>
      <c r="F340" s="277"/>
      <c r="G340" s="277"/>
      <c r="H340" s="277"/>
      <c r="I340" s="277"/>
      <c r="J340" s="277"/>
      <c r="K340" s="281">
        <f t="shared" si="580"/>
        <v>79982811133.960007</v>
      </c>
      <c r="L340" s="277"/>
      <c r="M340" s="277"/>
      <c r="N340" s="277"/>
      <c r="O340" s="277"/>
      <c r="P340" s="277"/>
      <c r="Q340" s="277"/>
      <c r="R340" s="281">
        <f t="shared" si="586"/>
        <v>0</v>
      </c>
      <c r="S340" s="277"/>
      <c r="T340" s="277"/>
      <c r="U340" s="277"/>
      <c r="V340" s="277"/>
      <c r="W340" s="277"/>
      <c r="X340" s="277">
        <v>0</v>
      </c>
      <c r="Y340" s="277"/>
      <c r="Z340" s="277"/>
      <c r="AA340" s="281">
        <f t="shared" si="600"/>
        <v>0</v>
      </c>
      <c r="AB340" s="403">
        <f t="shared" si="587"/>
        <v>0</v>
      </c>
      <c r="AC340" s="326">
        <f t="shared" si="623"/>
        <v>0</v>
      </c>
    </row>
    <row r="341" spans="1:29" ht="25.5" hidden="1" x14ac:dyDescent="0.2">
      <c r="A341" s="424"/>
      <c r="B341" s="323" t="s">
        <v>1219</v>
      </c>
      <c r="C341" s="206" t="s">
        <v>1220</v>
      </c>
      <c r="D341" s="277"/>
      <c r="E341" s="325">
        <f>SUM('ADICIONES  2021'!C341:N341)</f>
        <v>10647623088.299999</v>
      </c>
      <c r="F341" s="277"/>
      <c r="G341" s="277"/>
      <c r="H341" s="277"/>
      <c r="I341" s="277"/>
      <c r="J341" s="277"/>
      <c r="K341" s="281">
        <f t="shared" si="580"/>
        <v>10647623088.299999</v>
      </c>
      <c r="L341" s="277"/>
      <c r="M341" s="277"/>
      <c r="N341" s="277"/>
      <c r="O341" s="277"/>
      <c r="P341" s="277"/>
      <c r="Q341" s="277"/>
      <c r="R341" s="281">
        <f t="shared" si="586"/>
        <v>0</v>
      </c>
      <c r="S341" s="277"/>
      <c r="T341" s="277"/>
      <c r="U341" s="277"/>
      <c r="V341" s="277"/>
      <c r="W341" s="277"/>
      <c r="X341" s="277">
        <v>0</v>
      </c>
      <c r="Y341" s="277"/>
      <c r="Z341" s="277"/>
      <c r="AA341" s="281">
        <f t="shared" si="600"/>
        <v>0</v>
      </c>
      <c r="AB341" s="403">
        <f t="shared" si="587"/>
        <v>0</v>
      </c>
      <c r="AC341" s="326">
        <f t="shared" si="623"/>
        <v>0</v>
      </c>
    </row>
    <row r="342" spans="1:29" ht="25.5" hidden="1" x14ac:dyDescent="0.2">
      <c r="A342" s="424"/>
      <c r="B342" s="323" t="s">
        <v>1821</v>
      </c>
      <c r="C342" s="206" t="s">
        <v>1822</v>
      </c>
      <c r="D342" s="277"/>
      <c r="E342" s="325">
        <f>SUM('ADICIONES  2021'!C342:N342)</f>
        <v>48974976703</v>
      </c>
      <c r="F342" s="277"/>
      <c r="G342" s="277"/>
      <c r="H342" s="277"/>
      <c r="I342" s="277"/>
      <c r="J342" s="277"/>
      <c r="K342" s="281">
        <f t="shared" si="580"/>
        <v>48974976703</v>
      </c>
      <c r="L342" s="277"/>
      <c r="M342" s="277"/>
      <c r="N342" s="277"/>
      <c r="O342" s="277"/>
      <c r="P342" s="277"/>
      <c r="Q342" s="277"/>
      <c r="R342" s="281">
        <f t="shared" si="586"/>
        <v>0</v>
      </c>
      <c r="S342" s="277"/>
      <c r="T342" s="277"/>
      <c r="U342" s="277"/>
      <c r="V342" s="277"/>
      <c r="W342" s="277"/>
      <c r="X342" s="277">
        <v>7593286009</v>
      </c>
      <c r="Y342" s="277"/>
      <c r="Z342" s="277"/>
      <c r="AA342" s="281">
        <f t="shared" si="600"/>
        <v>7593286009</v>
      </c>
      <c r="AB342" s="403">
        <f t="shared" si="587"/>
        <v>7593286009</v>
      </c>
      <c r="AC342" s="326">
        <f t="shared" si="623"/>
        <v>0.15504419849034592</v>
      </c>
    </row>
    <row r="343" spans="1:29" s="61" customFormat="1" ht="15.75" hidden="1" x14ac:dyDescent="0.2">
      <c r="A343" s="425"/>
      <c r="B343" s="318" t="s">
        <v>812</v>
      </c>
      <c r="C343" s="319" t="s">
        <v>813</v>
      </c>
      <c r="D343" s="275">
        <f t="shared" ref="D343:D345" si="631">+D344</f>
        <v>0</v>
      </c>
      <c r="E343" s="322">
        <f>SUM('ADICIONES  2021'!C343:N343)</f>
        <v>0</v>
      </c>
      <c r="F343" s="275">
        <f t="shared" ref="F343:J345" si="632">+F344</f>
        <v>0</v>
      </c>
      <c r="G343" s="275">
        <f t="shared" si="632"/>
        <v>0</v>
      </c>
      <c r="H343" s="275">
        <f t="shared" si="632"/>
        <v>0</v>
      </c>
      <c r="I343" s="275">
        <f t="shared" si="632"/>
        <v>0</v>
      </c>
      <c r="J343" s="275">
        <f t="shared" si="632"/>
        <v>0</v>
      </c>
      <c r="K343" s="276">
        <f t="shared" si="580"/>
        <v>0</v>
      </c>
      <c r="L343" s="275">
        <f t="shared" ref="L343:Q345" si="633">+L344</f>
        <v>0</v>
      </c>
      <c r="M343" s="275">
        <f t="shared" si="633"/>
        <v>0</v>
      </c>
      <c r="N343" s="275">
        <f t="shared" si="633"/>
        <v>0</v>
      </c>
      <c r="O343" s="275">
        <f t="shared" si="633"/>
        <v>0</v>
      </c>
      <c r="P343" s="275">
        <f t="shared" si="633"/>
        <v>0</v>
      </c>
      <c r="Q343" s="275">
        <f t="shared" si="633"/>
        <v>0</v>
      </c>
      <c r="R343" s="276">
        <f t="shared" si="586"/>
        <v>0</v>
      </c>
      <c r="S343" s="275">
        <f t="shared" ref="S343:Z345" si="634">+S344</f>
        <v>0</v>
      </c>
      <c r="T343" s="275">
        <f t="shared" si="634"/>
        <v>0</v>
      </c>
      <c r="U343" s="275">
        <f t="shared" si="634"/>
        <v>0</v>
      </c>
      <c r="V343" s="275">
        <f t="shared" si="634"/>
        <v>0</v>
      </c>
      <c r="W343" s="275">
        <f t="shared" si="634"/>
        <v>0</v>
      </c>
      <c r="X343" s="275">
        <f t="shared" si="634"/>
        <v>0</v>
      </c>
      <c r="Y343" s="275">
        <f t="shared" si="634"/>
        <v>0</v>
      </c>
      <c r="Z343" s="275">
        <f t="shared" si="634"/>
        <v>0</v>
      </c>
      <c r="AA343" s="276">
        <f t="shared" si="600"/>
        <v>0</v>
      </c>
      <c r="AB343" s="402">
        <f t="shared" si="587"/>
        <v>0</v>
      </c>
      <c r="AC343" s="321" t="e">
        <f t="shared" si="623"/>
        <v>#DIV/0!</v>
      </c>
    </row>
    <row r="344" spans="1:29" s="61" customFormat="1" ht="15.75" hidden="1" x14ac:dyDescent="0.2">
      <c r="A344" s="425"/>
      <c r="B344" s="318" t="s">
        <v>814</v>
      </c>
      <c r="C344" s="319" t="s">
        <v>815</v>
      </c>
      <c r="D344" s="275">
        <f t="shared" si="631"/>
        <v>0</v>
      </c>
      <c r="E344" s="322">
        <f>SUM('ADICIONES  2021'!C344:N344)</f>
        <v>0</v>
      </c>
      <c r="F344" s="275">
        <f t="shared" si="632"/>
        <v>0</v>
      </c>
      <c r="G344" s="275">
        <f t="shared" si="632"/>
        <v>0</v>
      </c>
      <c r="H344" s="275">
        <f t="shared" si="632"/>
        <v>0</v>
      </c>
      <c r="I344" s="275">
        <f t="shared" si="632"/>
        <v>0</v>
      </c>
      <c r="J344" s="275">
        <f t="shared" si="632"/>
        <v>0</v>
      </c>
      <c r="K344" s="276">
        <f t="shared" si="580"/>
        <v>0</v>
      </c>
      <c r="L344" s="275">
        <f t="shared" si="633"/>
        <v>0</v>
      </c>
      <c r="M344" s="275">
        <f t="shared" si="633"/>
        <v>0</v>
      </c>
      <c r="N344" s="275">
        <f t="shared" si="633"/>
        <v>0</v>
      </c>
      <c r="O344" s="275">
        <f t="shared" si="633"/>
        <v>0</v>
      </c>
      <c r="P344" s="275">
        <f t="shared" si="633"/>
        <v>0</v>
      </c>
      <c r="Q344" s="275">
        <f t="shared" si="633"/>
        <v>0</v>
      </c>
      <c r="R344" s="276">
        <f t="shared" si="586"/>
        <v>0</v>
      </c>
      <c r="S344" s="275">
        <f t="shared" si="634"/>
        <v>0</v>
      </c>
      <c r="T344" s="275">
        <f t="shared" si="634"/>
        <v>0</v>
      </c>
      <c r="U344" s="275">
        <f t="shared" si="634"/>
        <v>0</v>
      </c>
      <c r="V344" s="275">
        <f t="shared" si="634"/>
        <v>0</v>
      </c>
      <c r="W344" s="275">
        <f t="shared" si="634"/>
        <v>0</v>
      </c>
      <c r="X344" s="275">
        <f t="shared" si="634"/>
        <v>0</v>
      </c>
      <c r="Y344" s="275">
        <f t="shared" si="634"/>
        <v>0</v>
      </c>
      <c r="Z344" s="275">
        <f t="shared" si="634"/>
        <v>0</v>
      </c>
      <c r="AA344" s="276">
        <f t="shared" si="600"/>
        <v>0</v>
      </c>
      <c r="AB344" s="402">
        <f t="shared" si="587"/>
        <v>0</v>
      </c>
      <c r="AC344" s="321" t="e">
        <f t="shared" si="623"/>
        <v>#DIV/0!</v>
      </c>
    </row>
    <row r="345" spans="1:29" s="61" customFormat="1" ht="15.75" hidden="1" x14ac:dyDescent="0.2">
      <c r="A345" s="425"/>
      <c r="B345" s="318" t="s">
        <v>816</v>
      </c>
      <c r="C345" s="319" t="s">
        <v>817</v>
      </c>
      <c r="D345" s="275">
        <f t="shared" si="631"/>
        <v>0</v>
      </c>
      <c r="E345" s="322">
        <f>SUM('ADICIONES  2021'!C345:N345)</f>
        <v>0</v>
      </c>
      <c r="F345" s="275">
        <f t="shared" si="632"/>
        <v>0</v>
      </c>
      <c r="G345" s="275">
        <f t="shared" si="632"/>
        <v>0</v>
      </c>
      <c r="H345" s="275">
        <f t="shared" si="632"/>
        <v>0</v>
      </c>
      <c r="I345" s="275">
        <f t="shared" si="632"/>
        <v>0</v>
      </c>
      <c r="J345" s="275">
        <f t="shared" si="632"/>
        <v>0</v>
      </c>
      <c r="K345" s="276">
        <f t="shared" si="580"/>
        <v>0</v>
      </c>
      <c r="L345" s="275">
        <f t="shared" si="633"/>
        <v>0</v>
      </c>
      <c r="M345" s="275">
        <f t="shared" si="633"/>
        <v>0</v>
      </c>
      <c r="N345" s="275">
        <f t="shared" si="633"/>
        <v>0</v>
      </c>
      <c r="O345" s="275">
        <f t="shared" si="633"/>
        <v>0</v>
      </c>
      <c r="P345" s="275">
        <f t="shared" si="633"/>
        <v>0</v>
      </c>
      <c r="Q345" s="275">
        <f t="shared" si="633"/>
        <v>0</v>
      </c>
      <c r="R345" s="276">
        <f t="shared" si="586"/>
        <v>0</v>
      </c>
      <c r="S345" s="275">
        <f t="shared" si="634"/>
        <v>0</v>
      </c>
      <c r="T345" s="275">
        <f t="shared" si="634"/>
        <v>0</v>
      </c>
      <c r="U345" s="275">
        <f t="shared" si="634"/>
        <v>0</v>
      </c>
      <c r="V345" s="275">
        <f t="shared" si="634"/>
        <v>0</v>
      </c>
      <c r="W345" s="275">
        <f t="shared" si="634"/>
        <v>0</v>
      </c>
      <c r="X345" s="275">
        <f t="shared" si="634"/>
        <v>0</v>
      </c>
      <c r="Y345" s="275">
        <f t="shared" si="634"/>
        <v>0</v>
      </c>
      <c r="Z345" s="275">
        <f t="shared" si="634"/>
        <v>0</v>
      </c>
      <c r="AA345" s="276">
        <f t="shared" si="600"/>
        <v>0</v>
      </c>
      <c r="AB345" s="402">
        <f t="shared" si="587"/>
        <v>0</v>
      </c>
      <c r="AC345" s="321" t="e">
        <f t="shared" si="623"/>
        <v>#DIV/0!</v>
      </c>
    </row>
    <row r="346" spans="1:29" s="61" customFormat="1" ht="15.75" hidden="1" x14ac:dyDescent="0.2">
      <c r="A346" s="425"/>
      <c r="B346" s="318" t="s">
        <v>818</v>
      </c>
      <c r="C346" s="319" t="s">
        <v>819</v>
      </c>
      <c r="D346" s="275">
        <f t="shared" ref="D346" si="635">SUM(D347:D347)</f>
        <v>0</v>
      </c>
      <c r="E346" s="322">
        <f>SUM('ADICIONES  2021'!C346:N346)</f>
        <v>0</v>
      </c>
      <c r="F346" s="275">
        <f t="shared" ref="F346:J346" si="636">SUM(F347:F347)</f>
        <v>0</v>
      </c>
      <c r="G346" s="275">
        <f t="shared" si="636"/>
        <v>0</v>
      </c>
      <c r="H346" s="275">
        <f t="shared" si="636"/>
        <v>0</v>
      </c>
      <c r="I346" s="275">
        <f t="shared" si="636"/>
        <v>0</v>
      </c>
      <c r="J346" s="275">
        <f t="shared" si="636"/>
        <v>0</v>
      </c>
      <c r="K346" s="276">
        <f t="shared" si="580"/>
        <v>0</v>
      </c>
      <c r="L346" s="275">
        <f t="shared" ref="L346:Q346" si="637">SUM(L347:L347)</f>
        <v>0</v>
      </c>
      <c r="M346" s="275">
        <f t="shared" si="637"/>
        <v>0</v>
      </c>
      <c r="N346" s="275">
        <f t="shared" si="637"/>
        <v>0</v>
      </c>
      <c r="O346" s="275">
        <f t="shared" si="637"/>
        <v>0</v>
      </c>
      <c r="P346" s="275">
        <f t="shared" si="637"/>
        <v>0</v>
      </c>
      <c r="Q346" s="275">
        <f t="shared" si="637"/>
        <v>0</v>
      </c>
      <c r="R346" s="276">
        <f t="shared" si="586"/>
        <v>0</v>
      </c>
      <c r="S346" s="275">
        <f t="shared" ref="S346:Z346" si="638">SUM(S347:S347)</f>
        <v>0</v>
      </c>
      <c r="T346" s="275">
        <f t="shared" si="638"/>
        <v>0</v>
      </c>
      <c r="U346" s="275">
        <f t="shared" si="638"/>
        <v>0</v>
      </c>
      <c r="V346" s="275">
        <f t="shared" si="638"/>
        <v>0</v>
      </c>
      <c r="W346" s="275">
        <f t="shared" si="638"/>
        <v>0</v>
      </c>
      <c r="X346" s="275">
        <f t="shared" si="638"/>
        <v>0</v>
      </c>
      <c r="Y346" s="275">
        <f t="shared" si="638"/>
        <v>0</v>
      </c>
      <c r="Z346" s="275">
        <f t="shared" si="638"/>
        <v>0</v>
      </c>
      <c r="AA346" s="276">
        <f t="shared" si="600"/>
        <v>0</v>
      </c>
      <c r="AB346" s="402">
        <f t="shared" si="587"/>
        <v>0</v>
      </c>
      <c r="AC346" s="321" t="e">
        <f t="shared" si="623"/>
        <v>#DIV/0!</v>
      </c>
    </row>
    <row r="347" spans="1:29" ht="14.25" hidden="1" x14ac:dyDescent="0.2">
      <c r="A347" s="424"/>
      <c r="B347" s="323" t="s">
        <v>820</v>
      </c>
      <c r="C347" s="206" t="s">
        <v>235</v>
      </c>
      <c r="D347" s="277"/>
      <c r="E347" s="325">
        <f>SUM('ADICIONES  2021'!C347:N347)</f>
        <v>0</v>
      </c>
      <c r="F347" s="277"/>
      <c r="G347" s="277"/>
      <c r="H347" s="277"/>
      <c r="I347" s="277"/>
      <c r="J347" s="277"/>
      <c r="K347" s="281">
        <f t="shared" si="580"/>
        <v>0</v>
      </c>
      <c r="L347" s="277"/>
      <c r="M347" s="277"/>
      <c r="N347" s="277"/>
      <c r="O347" s="277"/>
      <c r="P347" s="277"/>
      <c r="Q347" s="277"/>
      <c r="R347" s="281">
        <f t="shared" si="586"/>
        <v>0</v>
      </c>
      <c r="S347" s="277"/>
      <c r="T347" s="277"/>
      <c r="U347" s="277"/>
      <c r="V347" s="277"/>
      <c r="W347" s="277"/>
      <c r="X347" s="277">
        <v>0</v>
      </c>
      <c r="Y347" s="277"/>
      <c r="Z347" s="277"/>
      <c r="AA347" s="281">
        <f t="shared" si="600"/>
        <v>0</v>
      </c>
      <c r="AB347" s="403">
        <f t="shared" si="587"/>
        <v>0</v>
      </c>
      <c r="AC347" s="321" t="e">
        <f t="shared" si="623"/>
        <v>#DIV/0!</v>
      </c>
    </row>
    <row r="348" spans="1:29" s="19" customFormat="1" x14ac:dyDescent="0.2">
      <c r="A348" s="429">
        <v>1</v>
      </c>
      <c r="B348" s="323" t="s">
        <v>821</v>
      </c>
      <c r="C348" s="206" t="s">
        <v>108</v>
      </c>
      <c r="D348" s="285">
        <f t="shared" ref="D348" si="639">+D349</f>
        <v>0</v>
      </c>
      <c r="E348" s="322">
        <f>SUM('ADICIONES  2021'!C348:N348)</f>
        <v>173932935340.40997</v>
      </c>
      <c r="F348" s="285">
        <f t="shared" ref="F348:J348" si="640">+F349</f>
        <v>0</v>
      </c>
      <c r="G348" s="285">
        <f t="shared" si="640"/>
        <v>0</v>
      </c>
      <c r="H348" s="285">
        <f t="shared" si="640"/>
        <v>3129206267</v>
      </c>
      <c r="I348" s="285">
        <f t="shared" si="640"/>
        <v>0</v>
      </c>
      <c r="J348" s="285">
        <f t="shared" si="640"/>
        <v>0</v>
      </c>
      <c r="K348" s="281">
        <f t="shared" si="580"/>
        <v>170803729073.40997</v>
      </c>
      <c r="L348" s="285">
        <f t="shared" ref="L348:Q348" si="641">+L349</f>
        <v>0</v>
      </c>
      <c r="M348" s="285">
        <f t="shared" si="641"/>
        <v>0</v>
      </c>
      <c r="N348" s="285">
        <f t="shared" si="641"/>
        <v>0</v>
      </c>
      <c r="O348" s="285">
        <f t="shared" si="641"/>
        <v>0</v>
      </c>
      <c r="P348" s="285">
        <f t="shared" si="641"/>
        <v>143910095102.78998</v>
      </c>
      <c r="Q348" s="285">
        <f t="shared" si="641"/>
        <v>0.01</v>
      </c>
      <c r="R348" s="281">
        <f t="shared" si="586"/>
        <v>143910095102.79999</v>
      </c>
      <c r="S348" s="316">
        <f t="shared" ref="S348:Z348" si="642">+S349</f>
        <v>0</v>
      </c>
      <c r="T348" s="316">
        <f t="shared" si="642"/>
        <v>6768385132</v>
      </c>
      <c r="U348" s="316">
        <f t="shared" si="642"/>
        <v>60752</v>
      </c>
      <c r="V348" s="316">
        <f t="shared" si="642"/>
        <v>0</v>
      </c>
      <c r="W348" s="316">
        <f t="shared" si="642"/>
        <v>287789030.54999995</v>
      </c>
      <c r="X348" s="316">
        <f t="shared" si="642"/>
        <v>6194296095.3400002</v>
      </c>
      <c r="Y348" s="316">
        <f t="shared" si="642"/>
        <v>0</v>
      </c>
      <c r="Z348" s="285">
        <f t="shared" si="642"/>
        <v>0</v>
      </c>
      <c r="AA348" s="276">
        <f t="shared" si="600"/>
        <v>13250531009.889999</v>
      </c>
      <c r="AB348" s="403">
        <f t="shared" si="587"/>
        <v>157160626112.69</v>
      </c>
      <c r="AC348" s="326">
        <f t="shared" si="623"/>
        <v>0.92012409193445488</v>
      </c>
    </row>
    <row r="349" spans="1:29" s="61" customFormat="1" ht="15.75" hidden="1" x14ac:dyDescent="0.2">
      <c r="A349" s="425"/>
      <c r="B349" s="318" t="s">
        <v>822</v>
      </c>
      <c r="C349" s="319" t="s">
        <v>823</v>
      </c>
      <c r="D349" s="285">
        <f>+D350+D354+D415+D419+D423+D432+D473+D480+D513+D515+D517+D519+D521+D524+D526+D528+D530+D532+D534+D536+D538+D540+D542+D544+D546+D549+D551+D553+D555+D557+D559+D561+D563+D565+D567+D569+D571+D573+D575+D577+D586+D589+D592+D595+D596+D598+D600+D602+D604</f>
        <v>0</v>
      </c>
      <c r="E349" s="322">
        <f>SUM('ADICIONES  2021'!C349:N349)</f>
        <v>173932935340.40997</v>
      </c>
      <c r="F349" s="285">
        <f t="shared" ref="F349:J349" si="643">+F350+F354+F415+F419+F423+F432+F473+F480+F513+F515+F517+F519+F521+F524+F526+F528+F530+F532+F534+F536+F538+F540+F542+F544+F546+F549+F551+F553+F555+F557+F559+F561+F563+F565+F567+F569+F571+F573+F575+F577+F586+F589+F592+F595+F596+F598+F600+F602+F604</f>
        <v>0</v>
      </c>
      <c r="G349" s="285">
        <f t="shared" si="643"/>
        <v>0</v>
      </c>
      <c r="H349" s="285">
        <f t="shared" si="643"/>
        <v>3129206267</v>
      </c>
      <c r="I349" s="285">
        <f t="shared" si="643"/>
        <v>0</v>
      </c>
      <c r="J349" s="285">
        <f t="shared" si="643"/>
        <v>0</v>
      </c>
      <c r="K349" s="276">
        <f t="shared" si="580"/>
        <v>170803729073.40997</v>
      </c>
      <c r="L349" s="285">
        <f t="shared" ref="L349:Q349" si="644">+L350+L354+L415+L419+L423+L432+L473+L480+L513+L515+L517+L519+L521+L524+L526+L528+L530+L532+L534+L536+L538+L540+L542+L544+L546+L549+L551+L553+L555+L557+L559+L561+L563+L565+L567+L569+L571+L573+L575+L577+L586+L589+L592+L595+L596+L598+L600+L602+L604</f>
        <v>0</v>
      </c>
      <c r="M349" s="285">
        <f t="shared" si="644"/>
        <v>0</v>
      </c>
      <c r="N349" s="285">
        <f t="shared" si="644"/>
        <v>0</v>
      </c>
      <c r="O349" s="285">
        <f t="shared" si="644"/>
        <v>0</v>
      </c>
      <c r="P349" s="285">
        <f t="shared" si="644"/>
        <v>143910095102.78998</v>
      </c>
      <c r="Q349" s="285">
        <f t="shared" si="644"/>
        <v>0.01</v>
      </c>
      <c r="R349" s="276">
        <f t="shared" si="586"/>
        <v>143910095102.79999</v>
      </c>
      <c r="S349" s="285">
        <f t="shared" ref="S349:Z349" si="645">+S350+S354+S415+S419+S423+S432+S473+S480+S513+S515+S517+S519+S521+S524+S526+S528+S530+S532+S534+S536+S538+S540+S542+S544+S546+S549+S551+S553+S555+S557+S559+S561+S563+S565+S567+S569+S571+S573+S575+S577+S586+S589+S592+S595+S596+S598+S600+S602+S604</f>
        <v>0</v>
      </c>
      <c r="T349" s="285">
        <f t="shared" si="645"/>
        <v>6768385132</v>
      </c>
      <c r="U349" s="285">
        <f t="shared" si="645"/>
        <v>60752</v>
      </c>
      <c r="V349" s="285">
        <f t="shared" si="645"/>
        <v>0</v>
      </c>
      <c r="W349" s="285">
        <f t="shared" si="645"/>
        <v>287789030.54999995</v>
      </c>
      <c r="X349" s="285">
        <f t="shared" si="645"/>
        <v>6194296095.3400002</v>
      </c>
      <c r="Y349" s="285">
        <f t="shared" si="645"/>
        <v>0</v>
      </c>
      <c r="Z349" s="285">
        <f t="shared" si="645"/>
        <v>0</v>
      </c>
      <c r="AA349" s="276">
        <f t="shared" si="600"/>
        <v>13250531009.889999</v>
      </c>
      <c r="AB349" s="402">
        <f t="shared" si="587"/>
        <v>157160626112.69</v>
      </c>
      <c r="AC349" s="321">
        <f t="shared" si="623"/>
        <v>0.92012409193445488</v>
      </c>
    </row>
    <row r="350" spans="1:29" s="61" customFormat="1" ht="25.5" hidden="1" x14ac:dyDescent="0.2">
      <c r="A350" s="425"/>
      <c r="B350" s="318" t="s">
        <v>824</v>
      </c>
      <c r="C350" s="319" t="s">
        <v>825</v>
      </c>
      <c r="D350" s="285">
        <f t="shared" ref="D350" si="646">SUM(D351:D353)</f>
        <v>0</v>
      </c>
      <c r="E350" s="322">
        <f>SUM('ADICIONES  2021'!C350:N350)</f>
        <v>5727988989</v>
      </c>
      <c r="F350" s="285">
        <f t="shared" ref="F350:J350" si="647">SUM(F351:F353)</f>
        <v>0</v>
      </c>
      <c r="G350" s="285">
        <f t="shared" si="647"/>
        <v>0</v>
      </c>
      <c r="H350" s="285">
        <f t="shared" si="647"/>
        <v>0</v>
      </c>
      <c r="I350" s="285">
        <f t="shared" si="647"/>
        <v>0</v>
      </c>
      <c r="J350" s="285">
        <f t="shared" si="647"/>
        <v>0</v>
      </c>
      <c r="K350" s="276">
        <f t="shared" si="580"/>
        <v>5727988989</v>
      </c>
      <c r="L350" s="285">
        <f t="shared" ref="L350:Q350" si="648">SUM(L351:L353)</f>
        <v>0</v>
      </c>
      <c r="M350" s="285">
        <f t="shared" si="648"/>
        <v>0</v>
      </c>
      <c r="N350" s="285">
        <f t="shared" si="648"/>
        <v>0</v>
      </c>
      <c r="O350" s="285">
        <f t="shared" si="648"/>
        <v>0</v>
      </c>
      <c r="P350" s="285">
        <f t="shared" si="648"/>
        <v>0</v>
      </c>
      <c r="Q350" s="285">
        <f t="shared" si="648"/>
        <v>0</v>
      </c>
      <c r="R350" s="276">
        <f t="shared" si="586"/>
        <v>0</v>
      </c>
      <c r="S350" s="285">
        <f t="shared" ref="S350:Z350" si="649">SUM(S351:S353)</f>
        <v>0</v>
      </c>
      <c r="T350" s="285">
        <f t="shared" si="649"/>
        <v>0</v>
      </c>
      <c r="U350" s="285">
        <f t="shared" si="649"/>
        <v>0</v>
      </c>
      <c r="V350" s="285">
        <f t="shared" si="649"/>
        <v>0</v>
      </c>
      <c r="W350" s="285">
        <f t="shared" si="649"/>
        <v>0</v>
      </c>
      <c r="X350" s="285">
        <f t="shared" si="649"/>
        <v>5727988989</v>
      </c>
      <c r="Y350" s="285">
        <f t="shared" si="649"/>
        <v>0</v>
      </c>
      <c r="Z350" s="285">
        <f t="shared" si="649"/>
        <v>0</v>
      </c>
      <c r="AA350" s="276">
        <f t="shared" si="600"/>
        <v>5727988989</v>
      </c>
      <c r="AB350" s="402">
        <f t="shared" si="587"/>
        <v>5727988989</v>
      </c>
      <c r="AC350" s="321">
        <f t="shared" si="623"/>
        <v>1</v>
      </c>
    </row>
    <row r="351" spans="1:29" ht="25.5" hidden="1" x14ac:dyDescent="0.2">
      <c r="A351" s="424"/>
      <c r="B351" s="323" t="s">
        <v>826</v>
      </c>
      <c r="C351" s="206" t="s">
        <v>827</v>
      </c>
      <c r="D351" s="277"/>
      <c r="E351" s="325">
        <f>SUM('ADICIONES  2021'!C351:N351)</f>
        <v>574700</v>
      </c>
      <c r="F351" s="277"/>
      <c r="G351" s="277"/>
      <c r="H351" s="277"/>
      <c r="I351" s="277"/>
      <c r="J351" s="277"/>
      <c r="K351" s="281">
        <f t="shared" si="580"/>
        <v>574700</v>
      </c>
      <c r="L351" s="277"/>
      <c r="M351" s="277"/>
      <c r="N351" s="277"/>
      <c r="O351" s="277"/>
      <c r="P351" s="277"/>
      <c r="Q351" s="277"/>
      <c r="R351" s="281">
        <f t="shared" si="586"/>
        <v>0</v>
      </c>
      <c r="S351" s="277"/>
      <c r="T351" s="277"/>
      <c r="U351" s="277"/>
      <c r="V351" s="277"/>
      <c r="W351" s="277"/>
      <c r="X351" s="277">
        <v>574700</v>
      </c>
      <c r="Y351" s="277"/>
      <c r="Z351" s="277"/>
      <c r="AA351" s="281">
        <f t="shared" si="600"/>
        <v>574700</v>
      </c>
      <c r="AB351" s="403">
        <f t="shared" si="587"/>
        <v>574700</v>
      </c>
      <c r="AC351" s="326">
        <f t="shared" si="623"/>
        <v>1</v>
      </c>
    </row>
    <row r="352" spans="1:29" ht="38.25" hidden="1" x14ac:dyDescent="0.2">
      <c r="A352" s="424"/>
      <c r="B352" s="323" t="s">
        <v>828</v>
      </c>
      <c r="C352" s="206" t="s">
        <v>829</v>
      </c>
      <c r="D352" s="277"/>
      <c r="E352" s="325">
        <f>SUM('ADICIONES  2021'!C352:N352)</f>
        <v>5709414289</v>
      </c>
      <c r="F352" s="277"/>
      <c r="G352" s="277"/>
      <c r="H352" s="277"/>
      <c r="I352" s="277"/>
      <c r="J352" s="277"/>
      <c r="K352" s="281">
        <f t="shared" ref="K352:K606" si="650">+D352+E352-F352+G352-H352</f>
        <v>5709414289</v>
      </c>
      <c r="L352" s="277"/>
      <c r="M352" s="277"/>
      <c r="N352" s="277"/>
      <c r="O352" s="277"/>
      <c r="P352" s="277"/>
      <c r="Q352" s="277"/>
      <c r="R352" s="281">
        <f t="shared" si="586"/>
        <v>0</v>
      </c>
      <c r="S352" s="277"/>
      <c r="T352" s="277"/>
      <c r="U352" s="277"/>
      <c r="V352" s="277"/>
      <c r="W352" s="277"/>
      <c r="X352" s="277">
        <v>5709414289</v>
      </c>
      <c r="Y352" s="277"/>
      <c r="Z352" s="277"/>
      <c r="AA352" s="281">
        <f t="shared" si="600"/>
        <v>5709414289</v>
      </c>
      <c r="AB352" s="403">
        <f t="shared" si="587"/>
        <v>5709414289</v>
      </c>
      <c r="AC352" s="326">
        <f t="shared" si="623"/>
        <v>1</v>
      </c>
    </row>
    <row r="353" spans="1:29" ht="25.5" hidden="1" x14ac:dyDescent="0.2">
      <c r="A353" s="424"/>
      <c r="B353" s="323" t="s">
        <v>830</v>
      </c>
      <c r="C353" s="206" t="s">
        <v>831</v>
      </c>
      <c r="D353" s="277"/>
      <c r="E353" s="325">
        <f>SUM('ADICIONES  2021'!C353:N353)</f>
        <v>18000000</v>
      </c>
      <c r="F353" s="277"/>
      <c r="G353" s="277"/>
      <c r="H353" s="277"/>
      <c r="I353" s="277"/>
      <c r="J353" s="277"/>
      <c r="K353" s="281">
        <f t="shared" si="650"/>
        <v>18000000</v>
      </c>
      <c r="L353" s="277"/>
      <c r="M353" s="277"/>
      <c r="N353" s="277"/>
      <c r="O353" s="277"/>
      <c r="P353" s="277"/>
      <c r="Q353" s="277"/>
      <c r="R353" s="281">
        <f t="shared" si="586"/>
        <v>0</v>
      </c>
      <c r="S353" s="277"/>
      <c r="T353" s="277"/>
      <c r="U353" s="277"/>
      <c r="V353" s="277"/>
      <c r="W353" s="277"/>
      <c r="X353" s="277">
        <v>18000000</v>
      </c>
      <c r="Y353" s="277"/>
      <c r="Z353" s="277"/>
      <c r="AA353" s="281">
        <f t="shared" si="600"/>
        <v>18000000</v>
      </c>
      <c r="AB353" s="403">
        <f t="shared" si="587"/>
        <v>18000000</v>
      </c>
      <c r="AC353" s="326">
        <f t="shared" si="623"/>
        <v>1</v>
      </c>
    </row>
    <row r="354" spans="1:29" s="61" customFormat="1" ht="15.75" hidden="1" x14ac:dyDescent="0.2">
      <c r="A354" s="425"/>
      <c r="B354" s="318" t="s">
        <v>832</v>
      </c>
      <c r="C354" s="319" t="s">
        <v>833</v>
      </c>
      <c r="D354" s="285">
        <f>+D355+D357+D361+D363+D383+D384+D385+D386+D387+D388+D389+D390+D391+D392+D393+D394+D395+D396+D397+D398+D399+D400+D401+D402+D403+D404+D405+D406+D408+D410+D411+D412+D413+D414+D407+D409</f>
        <v>0</v>
      </c>
      <c r="E354" s="322">
        <f>SUM('ADICIONES  2021'!C354:N354)</f>
        <v>8921335496.3299999</v>
      </c>
      <c r="F354" s="285">
        <f t="shared" ref="F354:J354" si="651">+F355+F357+F361+F363+F383+F384+F385+F386+F387+F388+F389+F390+F391+F392+F393+F394+F395+F396+F397+F398+F399+F400+F401+F402+F403+F404+F405+F406+F408+F410+F411+F412+F413+F414+F407+F409</f>
        <v>0</v>
      </c>
      <c r="G354" s="285">
        <f t="shared" si="651"/>
        <v>0</v>
      </c>
      <c r="H354" s="285">
        <f t="shared" si="651"/>
        <v>0</v>
      </c>
      <c r="I354" s="285">
        <f t="shared" si="651"/>
        <v>0</v>
      </c>
      <c r="J354" s="285">
        <f t="shared" si="651"/>
        <v>0</v>
      </c>
      <c r="K354" s="276">
        <f t="shared" si="650"/>
        <v>8921335496.3299999</v>
      </c>
      <c r="L354" s="285">
        <f t="shared" ref="L354:Q354" si="652">+L355+L357+L361+L363+L383+L384+L385+L386+L387+L388+L389+L390+L391+L392+L393+L394+L395+L396+L397+L398+L399+L400+L401+L402+L403+L404+L405+L406+L408+L410+L411+L412+L413+L414+L407+L409</f>
        <v>0</v>
      </c>
      <c r="M354" s="285">
        <f t="shared" si="652"/>
        <v>0</v>
      </c>
      <c r="N354" s="285">
        <f t="shared" si="652"/>
        <v>0</v>
      </c>
      <c r="O354" s="285">
        <f t="shared" si="652"/>
        <v>0</v>
      </c>
      <c r="P354" s="285">
        <f t="shared" si="652"/>
        <v>7839414227.4300003</v>
      </c>
      <c r="Q354" s="285">
        <f t="shared" si="652"/>
        <v>0</v>
      </c>
      <c r="R354" s="276">
        <f t="shared" ref="R354:R674" si="653">SUM(L354:Q354)</f>
        <v>7839414227.4300003</v>
      </c>
      <c r="S354" s="285">
        <f t="shared" ref="S354:Z354" si="654">+S355+S357+S361+S363+S383+S384+S385+S386+S387+S388+S389+S390+S391+S392+S393+S394+S395+S396+S397+S398+S399+S400+S401+S402+S403+S404+S405+S406+S408+S410+S411+S412+S413+S414+S407+S409</f>
        <v>0</v>
      </c>
      <c r="T354" s="285">
        <f t="shared" si="654"/>
        <v>866275555.33000004</v>
      </c>
      <c r="U354" s="285">
        <f t="shared" si="654"/>
        <v>60752</v>
      </c>
      <c r="V354" s="285">
        <f t="shared" si="654"/>
        <v>0</v>
      </c>
      <c r="W354" s="285">
        <f t="shared" si="654"/>
        <v>209582434.37</v>
      </c>
      <c r="X354" s="285">
        <f t="shared" si="654"/>
        <v>6002527</v>
      </c>
      <c r="Y354" s="285">
        <f t="shared" si="654"/>
        <v>0</v>
      </c>
      <c r="Z354" s="285">
        <f t="shared" si="654"/>
        <v>0</v>
      </c>
      <c r="AA354" s="276">
        <f t="shared" si="600"/>
        <v>1081921268.7</v>
      </c>
      <c r="AB354" s="402">
        <f t="shared" ref="AB354:AB608" si="655">+R354+AA354</f>
        <v>8921335496.1300011</v>
      </c>
      <c r="AC354" s="321">
        <f t="shared" si="623"/>
        <v>0.99999999997758193</v>
      </c>
    </row>
    <row r="355" spans="1:29" s="61" customFormat="1" ht="25.5" hidden="1" x14ac:dyDescent="0.2">
      <c r="A355" s="425"/>
      <c r="B355" s="318" t="s">
        <v>834</v>
      </c>
      <c r="C355" s="319" t="s">
        <v>835</v>
      </c>
      <c r="D355" s="285">
        <f t="shared" ref="D355" si="656">+D356</f>
        <v>0</v>
      </c>
      <c r="E355" s="322">
        <f>SUM('ADICIONES  2021'!C355:N355)</f>
        <v>6063279</v>
      </c>
      <c r="F355" s="285">
        <f t="shared" ref="F355:J355" si="657">+F356</f>
        <v>0</v>
      </c>
      <c r="G355" s="285">
        <f t="shared" si="657"/>
        <v>0</v>
      </c>
      <c r="H355" s="285">
        <f t="shared" si="657"/>
        <v>0</v>
      </c>
      <c r="I355" s="285">
        <f t="shared" si="657"/>
        <v>0</v>
      </c>
      <c r="J355" s="285">
        <f t="shared" si="657"/>
        <v>0</v>
      </c>
      <c r="K355" s="276">
        <f t="shared" si="650"/>
        <v>6063279</v>
      </c>
      <c r="L355" s="285">
        <f t="shared" ref="L355:Q355" si="658">+L356</f>
        <v>0</v>
      </c>
      <c r="M355" s="285">
        <f t="shared" si="658"/>
        <v>0</v>
      </c>
      <c r="N355" s="285">
        <f t="shared" si="658"/>
        <v>0</v>
      </c>
      <c r="O355" s="285">
        <f t="shared" si="658"/>
        <v>0</v>
      </c>
      <c r="P355" s="285">
        <f t="shared" si="658"/>
        <v>0</v>
      </c>
      <c r="Q355" s="285">
        <f t="shared" si="658"/>
        <v>0</v>
      </c>
      <c r="R355" s="276">
        <f t="shared" si="653"/>
        <v>0</v>
      </c>
      <c r="S355" s="285">
        <f t="shared" ref="S355:Z355" si="659">+S356</f>
        <v>0</v>
      </c>
      <c r="T355" s="285">
        <f t="shared" si="659"/>
        <v>0</v>
      </c>
      <c r="U355" s="285">
        <f t="shared" si="659"/>
        <v>0</v>
      </c>
      <c r="V355" s="285">
        <f t="shared" si="659"/>
        <v>0</v>
      </c>
      <c r="W355" s="285">
        <f t="shared" si="659"/>
        <v>0</v>
      </c>
      <c r="X355" s="285">
        <f t="shared" si="659"/>
        <v>6063279</v>
      </c>
      <c r="Y355" s="285">
        <f t="shared" si="659"/>
        <v>0</v>
      </c>
      <c r="Z355" s="285">
        <f t="shared" si="659"/>
        <v>0</v>
      </c>
      <c r="AA355" s="276">
        <f t="shared" si="600"/>
        <v>6063279</v>
      </c>
      <c r="AB355" s="402">
        <f t="shared" si="655"/>
        <v>6063279</v>
      </c>
      <c r="AC355" s="321">
        <f t="shared" si="623"/>
        <v>1</v>
      </c>
    </row>
    <row r="356" spans="1:29" ht="14.25" hidden="1" x14ac:dyDescent="0.2">
      <c r="A356" s="424"/>
      <c r="B356" s="323" t="s">
        <v>836</v>
      </c>
      <c r="C356" s="206" t="s">
        <v>835</v>
      </c>
      <c r="D356" s="277"/>
      <c r="E356" s="325">
        <f>SUM('ADICIONES  2021'!C356:N356)</f>
        <v>6063279</v>
      </c>
      <c r="F356" s="277"/>
      <c r="G356" s="277"/>
      <c r="H356" s="277"/>
      <c r="I356" s="277"/>
      <c r="J356" s="277"/>
      <c r="K356" s="281">
        <f t="shared" si="650"/>
        <v>6063279</v>
      </c>
      <c r="L356" s="277"/>
      <c r="M356" s="277"/>
      <c r="N356" s="277"/>
      <c r="O356" s="277"/>
      <c r="P356" s="277"/>
      <c r="Q356" s="277"/>
      <c r="R356" s="281">
        <f t="shared" si="653"/>
        <v>0</v>
      </c>
      <c r="S356" s="277"/>
      <c r="T356" s="277"/>
      <c r="U356" s="277"/>
      <c r="V356" s="277"/>
      <c r="W356" s="277"/>
      <c r="X356" s="277">
        <v>6063279</v>
      </c>
      <c r="Y356" s="277"/>
      <c r="Z356" s="277"/>
      <c r="AA356" s="281">
        <f t="shared" si="600"/>
        <v>6063279</v>
      </c>
      <c r="AB356" s="403">
        <f t="shared" si="655"/>
        <v>6063279</v>
      </c>
      <c r="AC356" s="326">
        <f t="shared" si="623"/>
        <v>1</v>
      </c>
    </row>
    <row r="357" spans="1:29" hidden="1" x14ac:dyDescent="0.2">
      <c r="A357" s="424"/>
      <c r="B357" s="318" t="s">
        <v>1171</v>
      </c>
      <c r="C357" s="319" t="s">
        <v>1172</v>
      </c>
      <c r="D357" s="285">
        <f>SUM(D358:D360)</f>
        <v>0</v>
      </c>
      <c r="E357" s="322">
        <f>SUM('ADICIONES  2021'!C357:N357)</f>
        <v>1547294150.01</v>
      </c>
      <c r="F357" s="285">
        <f t="shared" ref="F357:J357" si="660">SUM(F358:F360)</f>
        <v>0</v>
      </c>
      <c r="G357" s="285">
        <f t="shared" si="660"/>
        <v>0</v>
      </c>
      <c r="H357" s="285">
        <f t="shared" si="660"/>
        <v>0</v>
      </c>
      <c r="I357" s="285">
        <f t="shared" si="660"/>
        <v>0</v>
      </c>
      <c r="J357" s="285">
        <f t="shared" si="660"/>
        <v>0</v>
      </c>
      <c r="K357" s="276">
        <f t="shared" si="650"/>
        <v>1547294150.01</v>
      </c>
      <c r="L357" s="285">
        <f t="shared" ref="L357:Q357" si="661">SUM(L358:L360)</f>
        <v>0</v>
      </c>
      <c r="M357" s="285">
        <f t="shared" si="661"/>
        <v>0</v>
      </c>
      <c r="N357" s="285">
        <f t="shared" si="661"/>
        <v>0</v>
      </c>
      <c r="O357" s="285">
        <f t="shared" si="661"/>
        <v>0</v>
      </c>
      <c r="P357" s="285">
        <f t="shared" si="661"/>
        <v>612356670.00999999</v>
      </c>
      <c r="Q357" s="285">
        <f t="shared" si="661"/>
        <v>0</v>
      </c>
      <c r="R357" s="276">
        <f t="shared" si="653"/>
        <v>612356670.00999999</v>
      </c>
      <c r="S357" s="285">
        <f t="shared" ref="S357:Y357" si="662">SUM(S358:S360)</f>
        <v>0</v>
      </c>
      <c r="T357" s="285">
        <f t="shared" si="662"/>
        <v>725437500</v>
      </c>
      <c r="U357" s="285">
        <f t="shared" si="662"/>
        <v>0</v>
      </c>
      <c r="V357" s="285">
        <f t="shared" si="662"/>
        <v>0</v>
      </c>
      <c r="W357" s="285">
        <f t="shared" si="662"/>
        <v>209499980</v>
      </c>
      <c r="X357" s="285">
        <f t="shared" si="662"/>
        <v>0</v>
      </c>
      <c r="Y357" s="285">
        <f t="shared" si="662"/>
        <v>0</v>
      </c>
      <c r="Z357" s="285">
        <f>SUM(Z358:Z360)</f>
        <v>0</v>
      </c>
      <c r="AA357" s="276">
        <f t="shared" ref="AA357:AA433" si="663">SUM(S357:Z357)</f>
        <v>934937480</v>
      </c>
      <c r="AB357" s="402">
        <f t="shared" si="655"/>
        <v>1547294150.01</v>
      </c>
      <c r="AC357" s="321">
        <f t="shared" si="623"/>
        <v>1</v>
      </c>
    </row>
    <row r="358" spans="1:29" ht="14.25" hidden="1" x14ac:dyDescent="0.2">
      <c r="A358" s="424"/>
      <c r="B358" s="323" t="s">
        <v>1173</v>
      </c>
      <c r="C358" s="206" t="s">
        <v>1172</v>
      </c>
      <c r="D358" s="281"/>
      <c r="E358" s="325">
        <f>SUM('ADICIONES  2021'!C358:N358)</f>
        <v>612356670.00999999</v>
      </c>
      <c r="F358" s="281"/>
      <c r="G358" s="281"/>
      <c r="H358" s="281"/>
      <c r="I358" s="281"/>
      <c r="J358" s="281"/>
      <c r="K358" s="281">
        <f t="shared" si="650"/>
        <v>612356670.00999999</v>
      </c>
      <c r="L358" s="281"/>
      <c r="M358" s="281"/>
      <c r="N358" s="281"/>
      <c r="O358" s="281"/>
      <c r="P358" s="281">
        <v>612356670.00999999</v>
      </c>
      <c r="Q358" s="281"/>
      <c r="R358" s="281">
        <f t="shared" si="653"/>
        <v>612356670.00999999</v>
      </c>
      <c r="S358" s="281"/>
      <c r="T358" s="281"/>
      <c r="U358" s="281"/>
      <c r="V358" s="281"/>
      <c r="W358" s="281">
        <v>0</v>
      </c>
      <c r="X358" s="281"/>
      <c r="Y358" s="281"/>
      <c r="Z358" s="281"/>
      <c r="AA358" s="281">
        <f t="shared" ref="AA358" si="664">SUM(S358:Z358)</f>
        <v>0</v>
      </c>
      <c r="AB358" s="403">
        <f t="shared" si="655"/>
        <v>612356670.00999999</v>
      </c>
      <c r="AC358" s="326">
        <f t="shared" si="623"/>
        <v>1</v>
      </c>
    </row>
    <row r="359" spans="1:29" ht="14.25" hidden="1" x14ac:dyDescent="0.2">
      <c r="A359" s="424"/>
      <c r="B359" s="323" t="s">
        <v>1173</v>
      </c>
      <c r="C359" s="206" t="s">
        <v>1172</v>
      </c>
      <c r="D359" s="277"/>
      <c r="E359" s="325">
        <f>SUM('ADICIONES  2021'!C359:N359)</f>
        <v>725437500</v>
      </c>
      <c r="F359" s="277"/>
      <c r="G359" s="277"/>
      <c r="H359" s="277"/>
      <c r="I359" s="277"/>
      <c r="J359" s="277"/>
      <c r="K359" s="281">
        <f t="shared" si="650"/>
        <v>725437500</v>
      </c>
      <c r="L359" s="277"/>
      <c r="M359" s="277"/>
      <c r="N359" s="277"/>
      <c r="O359" s="277"/>
      <c r="P359" s="277">
        <v>0</v>
      </c>
      <c r="Q359" s="277"/>
      <c r="R359" s="281">
        <f t="shared" si="653"/>
        <v>0</v>
      </c>
      <c r="S359" s="277"/>
      <c r="T359" s="277">
        <v>725437500</v>
      </c>
      <c r="U359" s="277"/>
      <c r="V359" s="277"/>
      <c r="W359" s="277">
        <v>0</v>
      </c>
      <c r="X359" s="277"/>
      <c r="Y359" s="277"/>
      <c r="Z359" s="277"/>
      <c r="AA359" s="281">
        <f t="shared" si="663"/>
        <v>725437500</v>
      </c>
      <c r="AB359" s="403">
        <f t="shared" si="655"/>
        <v>725437500</v>
      </c>
      <c r="AC359" s="326">
        <f t="shared" si="623"/>
        <v>1</v>
      </c>
    </row>
    <row r="360" spans="1:29" ht="14.25" hidden="1" x14ac:dyDescent="0.2">
      <c r="A360" s="424"/>
      <c r="B360" s="323" t="s">
        <v>1173</v>
      </c>
      <c r="C360" s="206" t="s">
        <v>1172</v>
      </c>
      <c r="D360" s="277"/>
      <c r="E360" s="325">
        <f>SUM('ADICIONES  2021'!C360:N360)</f>
        <v>209499980</v>
      </c>
      <c r="F360" s="277"/>
      <c r="G360" s="277"/>
      <c r="H360" s="277"/>
      <c r="I360" s="277"/>
      <c r="J360" s="277"/>
      <c r="K360" s="281">
        <f t="shared" si="650"/>
        <v>209499980</v>
      </c>
      <c r="L360" s="277"/>
      <c r="M360" s="277"/>
      <c r="N360" s="277"/>
      <c r="O360" s="277"/>
      <c r="P360" s="277"/>
      <c r="Q360" s="277"/>
      <c r="R360" s="281">
        <f t="shared" si="653"/>
        <v>0</v>
      </c>
      <c r="S360" s="277"/>
      <c r="T360" s="277"/>
      <c r="U360" s="277"/>
      <c r="V360" s="277"/>
      <c r="W360" s="277">
        <v>209499980</v>
      </c>
      <c r="X360" s="277"/>
      <c r="Y360" s="277"/>
      <c r="Z360" s="277"/>
      <c r="AA360" s="281">
        <f t="shared" ref="AA360" si="665">SUM(S360:Z360)</f>
        <v>209499980</v>
      </c>
      <c r="AB360" s="403">
        <f t="shared" si="655"/>
        <v>209499980</v>
      </c>
      <c r="AC360" s="326">
        <f t="shared" si="623"/>
        <v>1</v>
      </c>
    </row>
    <row r="361" spans="1:29" ht="25.5" hidden="1" x14ac:dyDescent="0.2">
      <c r="A361" s="424"/>
      <c r="B361" s="318" t="s">
        <v>1174</v>
      </c>
      <c r="C361" s="319" t="s">
        <v>1175</v>
      </c>
      <c r="D361" s="285">
        <f t="shared" ref="D361" si="666">+D362</f>
        <v>0</v>
      </c>
      <c r="E361" s="322">
        <f>SUM('ADICIONES  2021'!C361:N361)</f>
        <v>54534939.329999998</v>
      </c>
      <c r="F361" s="285">
        <f t="shared" ref="F361:J361" si="667">+F362</f>
        <v>0</v>
      </c>
      <c r="G361" s="285">
        <f t="shared" si="667"/>
        <v>0</v>
      </c>
      <c r="H361" s="285">
        <f t="shared" si="667"/>
        <v>0</v>
      </c>
      <c r="I361" s="285">
        <f t="shared" si="667"/>
        <v>0</v>
      </c>
      <c r="J361" s="285">
        <f t="shared" si="667"/>
        <v>0</v>
      </c>
      <c r="K361" s="276">
        <f t="shared" si="650"/>
        <v>54534939.329999998</v>
      </c>
      <c r="L361" s="285">
        <f t="shared" ref="L361:Q361" si="668">+L362</f>
        <v>0</v>
      </c>
      <c r="M361" s="285">
        <f t="shared" si="668"/>
        <v>0</v>
      </c>
      <c r="N361" s="285">
        <f t="shared" si="668"/>
        <v>0</v>
      </c>
      <c r="O361" s="285">
        <f t="shared" si="668"/>
        <v>0</v>
      </c>
      <c r="P361" s="285">
        <f t="shared" si="668"/>
        <v>0</v>
      </c>
      <c r="Q361" s="285">
        <f t="shared" si="668"/>
        <v>0</v>
      </c>
      <c r="R361" s="276">
        <f t="shared" si="653"/>
        <v>0</v>
      </c>
      <c r="S361" s="285">
        <f t="shared" ref="S361:Z361" si="669">+S362</f>
        <v>0</v>
      </c>
      <c r="T361" s="285">
        <f t="shared" si="669"/>
        <v>54534939.329999998</v>
      </c>
      <c r="U361" s="285">
        <f t="shared" si="669"/>
        <v>0</v>
      </c>
      <c r="V361" s="285">
        <f t="shared" si="669"/>
        <v>0</v>
      </c>
      <c r="W361" s="285">
        <f t="shared" si="669"/>
        <v>0</v>
      </c>
      <c r="X361" s="285">
        <f t="shared" si="669"/>
        <v>0</v>
      </c>
      <c r="Y361" s="285">
        <f t="shared" si="669"/>
        <v>0</v>
      </c>
      <c r="Z361" s="285">
        <f t="shared" si="669"/>
        <v>0</v>
      </c>
      <c r="AA361" s="276">
        <f t="shared" si="663"/>
        <v>54534939.329999998</v>
      </c>
      <c r="AB361" s="402">
        <f t="shared" si="655"/>
        <v>54534939.329999998</v>
      </c>
      <c r="AC361" s="321">
        <f t="shared" si="623"/>
        <v>1</v>
      </c>
    </row>
    <row r="362" spans="1:29" ht="25.5" hidden="1" x14ac:dyDescent="0.2">
      <c r="A362" s="424"/>
      <c r="B362" s="323" t="s">
        <v>1176</v>
      </c>
      <c r="C362" s="206" t="s">
        <v>1177</v>
      </c>
      <c r="D362" s="277"/>
      <c r="E362" s="325">
        <f>SUM('ADICIONES  2021'!C362:N362)</f>
        <v>54534939.329999998</v>
      </c>
      <c r="F362" s="277"/>
      <c r="G362" s="277"/>
      <c r="H362" s="277"/>
      <c r="I362" s="277"/>
      <c r="J362" s="277"/>
      <c r="K362" s="281">
        <f t="shared" si="650"/>
        <v>54534939.329999998</v>
      </c>
      <c r="L362" s="277"/>
      <c r="M362" s="277"/>
      <c r="N362" s="277"/>
      <c r="O362" s="277"/>
      <c r="P362" s="277"/>
      <c r="Q362" s="277"/>
      <c r="R362" s="281">
        <f t="shared" si="653"/>
        <v>0</v>
      </c>
      <c r="S362" s="277"/>
      <c r="T362" s="277">
        <v>54534939.329999998</v>
      </c>
      <c r="U362" s="277"/>
      <c r="V362" s="277"/>
      <c r="W362" s="277"/>
      <c r="X362" s="277"/>
      <c r="Y362" s="277"/>
      <c r="Z362" s="277"/>
      <c r="AA362" s="281">
        <f t="shared" si="663"/>
        <v>54534939.329999998</v>
      </c>
      <c r="AB362" s="403">
        <f t="shared" si="655"/>
        <v>54534939.329999998</v>
      </c>
      <c r="AC362" s="326">
        <f t="shared" si="623"/>
        <v>1</v>
      </c>
    </row>
    <row r="363" spans="1:29" s="61" customFormat="1" ht="15.75" hidden="1" x14ac:dyDescent="0.2">
      <c r="A363" s="425"/>
      <c r="B363" s="318" t="s">
        <v>1229</v>
      </c>
      <c r="C363" s="319" t="s">
        <v>1230</v>
      </c>
      <c r="D363" s="279">
        <f>SUM(D364:D382)</f>
        <v>0</v>
      </c>
      <c r="E363" s="322">
        <f>SUM('ADICIONES  2021'!C363:N363)</f>
        <v>3598645853.5599999</v>
      </c>
      <c r="F363" s="279">
        <f t="shared" ref="F363:J363" si="670">SUM(F364:F382)</f>
        <v>0</v>
      </c>
      <c r="G363" s="279">
        <f t="shared" si="670"/>
        <v>0</v>
      </c>
      <c r="H363" s="279">
        <f t="shared" si="670"/>
        <v>0</v>
      </c>
      <c r="I363" s="279">
        <f t="shared" si="670"/>
        <v>0</v>
      </c>
      <c r="J363" s="279">
        <f t="shared" si="670"/>
        <v>0</v>
      </c>
      <c r="K363" s="276">
        <f t="shared" si="650"/>
        <v>3598645853.5599999</v>
      </c>
      <c r="L363" s="279">
        <f t="shared" ref="L363:Q363" si="671">SUM(L364:L382)</f>
        <v>0</v>
      </c>
      <c r="M363" s="279">
        <f t="shared" si="671"/>
        <v>0</v>
      </c>
      <c r="N363" s="279">
        <f t="shared" si="671"/>
        <v>0</v>
      </c>
      <c r="O363" s="279">
        <f t="shared" si="671"/>
        <v>0</v>
      </c>
      <c r="P363" s="279">
        <f t="shared" si="671"/>
        <v>3598645853.3600001</v>
      </c>
      <c r="Q363" s="279">
        <f t="shared" si="671"/>
        <v>0</v>
      </c>
      <c r="R363" s="276">
        <f t="shared" si="653"/>
        <v>3598645853.3600001</v>
      </c>
      <c r="S363" s="279">
        <f t="shared" ref="S363:Z363" si="672">SUM(S364:S382)</f>
        <v>0</v>
      </c>
      <c r="T363" s="279">
        <f t="shared" si="672"/>
        <v>0</v>
      </c>
      <c r="U363" s="279">
        <f t="shared" si="672"/>
        <v>0</v>
      </c>
      <c r="V363" s="279">
        <f t="shared" si="672"/>
        <v>0</v>
      </c>
      <c r="W363" s="279">
        <f t="shared" si="672"/>
        <v>0</v>
      </c>
      <c r="X363" s="279">
        <f t="shared" si="672"/>
        <v>0</v>
      </c>
      <c r="Y363" s="279">
        <f t="shared" si="672"/>
        <v>0</v>
      </c>
      <c r="Z363" s="279">
        <f t="shared" si="672"/>
        <v>0</v>
      </c>
      <c r="AA363" s="276">
        <f t="shared" si="663"/>
        <v>0</v>
      </c>
      <c r="AB363" s="402">
        <f t="shared" si="655"/>
        <v>3598645853.3600001</v>
      </c>
      <c r="AC363" s="321">
        <f t="shared" si="623"/>
        <v>0.99999999994442357</v>
      </c>
    </row>
    <row r="364" spans="1:29" ht="14.25" hidden="1" x14ac:dyDescent="0.2">
      <c r="A364" s="424"/>
      <c r="B364" s="323" t="s">
        <v>1231</v>
      </c>
      <c r="C364" s="206" t="s">
        <v>1232</v>
      </c>
      <c r="D364" s="277"/>
      <c r="E364" s="325">
        <f>SUM('ADICIONES  2021'!C364:N364)</f>
        <v>1902148.61</v>
      </c>
      <c r="F364" s="277"/>
      <c r="G364" s="277"/>
      <c r="H364" s="277"/>
      <c r="I364" s="277"/>
      <c r="J364" s="277"/>
      <c r="K364" s="281">
        <f t="shared" si="650"/>
        <v>1902148.61</v>
      </c>
      <c r="L364" s="277"/>
      <c r="M364" s="277"/>
      <c r="N364" s="277"/>
      <c r="O364" s="277"/>
      <c r="P364" s="277">
        <v>1902148.61</v>
      </c>
      <c r="Q364" s="277"/>
      <c r="R364" s="281">
        <f t="shared" si="653"/>
        <v>1902148.61</v>
      </c>
      <c r="S364" s="277"/>
      <c r="T364" s="277"/>
      <c r="U364" s="277"/>
      <c r="V364" s="277"/>
      <c r="W364" s="277"/>
      <c r="X364" s="277"/>
      <c r="Y364" s="277"/>
      <c r="Z364" s="277"/>
      <c r="AA364" s="281">
        <f t="shared" si="663"/>
        <v>0</v>
      </c>
      <c r="AB364" s="403">
        <f t="shared" si="655"/>
        <v>1902148.61</v>
      </c>
      <c r="AC364" s="326">
        <f t="shared" si="623"/>
        <v>1</v>
      </c>
    </row>
    <row r="365" spans="1:29" ht="25.5" hidden="1" x14ac:dyDescent="0.2">
      <c r="A365" s="424"/>
      <c r="B365" s="323" t="s">
        <v>1233</v>
      </c>
      <c r="C365" s="206" t="s">
        <v>1234</v>
      </c>
      <c r="D365" s="277"/>
      <c r="E365" s="325">
        <f>SUM('ADICIONES  2021'!C365:N365)</f>
        <v>1621491649.77</v>
      </c>
      <c r="F365" s="277"/>
      <c r="G365" s="277"/>
      <c r="H365" s="277"/>
      <c r="I365" s="277"/>
      <c r="J365" s="277"/>
      <c r="K365" s="281">
        <f t="shared" si="650"/>
        <v>1621491649.77</v>
      </c>
      <c r="L365" s="277"/>
      <c r="M365" s="277"/>
      <c r="N365" s="277"/>
      <c r="O365" s="277"/>
      <c r="P365" s="277">
        <v>1621491649.77</v>
      </c>
      <c r="Q365" s="277"/>
      <c r="R365" s="281">
        <f t="shared" si="653"/>
        <v>1621491649.77</v>
      </c>
      <c r="S365" s="277"/>
      <c r="T365" s="277"/>
      <c r="U365" s="277"/>
      <c r="V365" s="277"/>
      <c r="W365" s="277"/>
      <c r="X365" s="277"/>
      <c r="Y365" s="277"/>
      <c r="Z365" s="277"/>
      <c r="AA365" s="281">
        <f t="shared" si="663"/>
        <v>0</v>
      </c>
      <c r="AB365" s="403">
        <f t="shared" si="655"/>
        <v>1621491649.77</v>
      </c>
      <c r="AC365" s="326">
        <f t="shared" si="623"/>
        <v>1</v>
      </c>
    </row>
    <row r="366" spans="1:29" ht="25.5" hidden="1" x14ac:dyDescent="0.2">
      <c r="A366" s="424"/>
      <c r="B366" s="323" t="s">
        <v>1235</v>
      </c>
      <c r="C366" s="206" t="s">
        <v>1236</v>
      </c>
      <c r="D366" s="277"/>
      <c r="E366" s="325">
        <f>SUM('ADICIONES  2021'!C366:N366)</f>
        <v>177998545.74000001</v>
      </c>
      <c r="F366" s="277"/>
      <c r="G366" s="277"/>
      <c r="H366" s="277"/>
      <c r="I366" s="277"/>
      <c r="J366" s="277"/>
      <c r="K366" s="281">
        <f t="shared" si="650"/>
        <v>177998545.74000001</v>
      </c>
      <c r="L366" s="277"/>
      <c r="M366" s="277"/>
      <c r="N366" s="277"/>
      <c r="O366" s="277"/>
      <c r="P366" s="277">
        <v>177998545.74000001</v>
      </c>
      <c r="Q366" s="277"/>
      <c r="R366" s="281">
        <f t="shared" si="653"/>
        <v>177998545.74000001</v>
      </c>
      <c r="S366" s="277"/>
      <c r="T366" s="277"/>
      <c r="U366" s="277"/>
      <c r="V366" s="277"/>
      <c r="W366" s="277"/>
      <c r="X366" s="277"/>
      <c r="Y366" s="277"/>
      <c r="Z366" s="277"/>
      <c r="AA366" s="281">
        <f t="shared" si="663"/>
        <v>0</v>
      </c>
      <c r="AB366" s="403">
        <f t="shared" si="655"/>
        <v>177998545.74000001</v>
      </c>
      <c r="AC366" s="326">
        <f t="shared" si="623"/>
        <v>1</v>
      </c>
    </row>
    <row r="367" spans="1:29" ht="14.25" hidden="1" x14ac:dyDescent="0.2">
      <c r="A367" s="424"/>
      <c r="B367" s="323" t="s">
        <v>1237</v>
      </c>
      <c r="C367" s="206" t="s">
        <v>1238</v>
      </c>
      <c r="D367" s="277"/>
      <c r="E367" s="325">
        <f>SUM('ADICIONES  2021'!C367:N367)</f>
        <v>381321589.42000002</v>
      </c>
      <c r="F367" s="277"/>
      <c r="G367" s="277"/>
      <c r="H367" s="277"/>
      <c r="I367" s="277"/>
      <c r="J367" s="277"/>
      <c r="K367" s="281">
        <f t="shared" si="650"/>
        <v>381321589.42000002</v>
      </c>
      <c r="L367" s="277"/>
      <c r="M367" s="277"/>
      <c r="N367" s="277"/>
      <c r="O367" s="277"/>
      <c r="P367" s="277">
        <v>381321589.42000002</v>
      </c>
      <c r="Q367" s="277"/>
      <c r="R367" s="281">
        <f t="shared" si="653"/>
        <v>381321589.42000002</v>
      </c>
      <c r="S367" s="277"/>
      <c r="T367" s="277"/>
      <c r="U367" s="277"/>
      <c r="V367" s="277"/>
      <c r="W367" s="277"/>
      <c r="X367" s="277"/>
      <c r="Y367" s="277"/>
      <c r="Z367" s="277"/>
      <c r="AA367" s="281">
        <f t="shared" si="663"/>
        <v>0</v>
      </c>
      <c r="AB367" s="403">
        <f t="shared" si="655"/>
        <v>381321589.42000002</v>
      </c>
      <c r="AC367" s="326">
        <f t="shared" si="623"/>
        <v>1</v>
      </c>
    </row>
    <row r="368" spans="1:29" ht="14.25" hidden="1" x14ac:dyDescent="0.2">
      <c r="A368" s="424"/>
      <c r="B368" s="323" t="s">
        <v>1239</v>
      </c>
      <c r="C368" s="206" t="s">
        <v>1240</v>
      </c>
      <c r="D368" s="277"/>
      <c r="E368" s="325">
        <f>SUM('ADICIONES  2021'!C368:N368)</f>
        <v>84461834.549999997</v>
      </c>
      <c r="F368" s="277"/>
      <c r="G368" s="277"/>
      <c r="H368" s="277"/>
      <c r="I368" s="277"/>
      <c r="J368" s="277"/>
      <c r="K368" s="281">
        <f t="shared" si="650"/>
        <v>84461834.549999997</v>
      </c>
      <c r="L368" s="277"/>
      <c r="M368" s="277"/>
      <c r="N368" s="277"/>
      <c r="O368" s="277"/>
      <c r="P368" s="277">
        <v>84461834.549999997</v>
      </c>
      <c r="Q368" s="277"/>
      <c r="R368" s="281">
        <f t="shared" si="653"/>
        <v>84461834.549999997</v>
      </c>
      <c r="S368" s="277"/>
      <c r="T368" s="277"/>
      <c r="U368" s="277"/>
      <c r="V368" s="277"/>
      <c r="W368" s="277"/>
      <c r="X368" s="277"/>
      <c r="Y368" s="277"/>
      <c r="Z368" s="277"/>
      <c r="AA368" s="281">
        <f t="shared" si="663"/>
        <v>0</v>
      </c>
      <c r="AB368" s="403">
        <f t="shared" si="655"/>
        <v>84461834.549999997</v>
      </c>
      <c r="AC368" s="326">
        <f t="shared" si="623"/>
        <v>1</v>
      </c>
    </row>
    <row r="369" spans="1:29" ht="14.25" hidden="1" x14ac:dyDescent="0.2">
      <c r="A369" s="424"/>
      <c r="B369" s="323" t="s">
        <v>1241</v>
      </c>
      <c r="C369" s="206" t="s">
        <v>1242</v>
      </c>
      <c r="D369" s="277"/>
      <c r="E369" s="325">
        <f>SUM('ADICIONES  2021'!C369:N369)</f>
        <v>130177270.2</v>
      </c>
      <c r="F369" s="277"/>
      <c r="G369" s="277"/>
      <c r="H369" s="277"/>
      <c r="I369" s="277"/>
      <c r="J369" s="277"/>
      <c r="K369" s="281">
        <f t="shared" si="650"/>
        <v>130177270.2</v>
      </c>
      <c r="L369" s="277"/>
      <c r="M369" s="277"/>
      <c r="N369" s="277"/>
      <c r="O369" s="277"/>
      <c r="P369" s="277">
        <v>130177270</v>
      </c>
      <c r="Q369" s="277"/>
      <c r="R369" s="281">
        <f t="shared" si="653"/>
        <v>130177270</v>
      </c>
      <c r="S369" s="277"/>
      <c r="T369" s="277"/>
      <c r="U369" s="277"/>
      <c r="V369" s="277"/>
      <c r="W369" s="277"/>
      <c r="X369" s="277"/>
      <c r="Y369" s="277"/>
      <c r="Z369" s="277"/>
      <c r="AA369" s="281">
        <f t="shared" si="663"/>
        <v>0</v>
      </c>
      <c r="AB369" s="403">
        <f t="shared" si="655"/>
        <v>130177270</v>
      </c>
      <c r="AC369" s="326">
        <f t="shared" si="623"/>
        <v>0.99999999846363341</v>
      </c>
    </row>
    <row r="370" spans="1:29" ht="38.25" hidden="1" x14ac:dyDescent="0.2">
      <c r="A370" s="424"/>
      <c r="B370" s="323" t="s">
        <v>1243</v>
      </c>
      <c r="C370" s="206" t="s">
        <v>1244</v>
      </c>
      <c r="D370" s="277"/>
      <c r="E370" s="325">
        <f>SUM('ADICIONES  2021'!C370:N370)</f>
        <v>132503403.73999999</v>
      </c>
      <c r="F370" s="277"/>
      <c r="G370" s="277"/>
      <c r="H370" s="277"/>
      <c r="I370" s="277"/>
      <c r="J370" s="277"/>
      <c r="K370" s="281">
        <f t="shared" si="650"/>
        <v>132503403.73999999</v>
      </c>
      <c r="L370" s="277"/>
      <c r="M370" s="277"/>
      <c r="N370" s="277"/>
      <c r="O370" s="277"/>
      <c r="P370" s="277">
        <v>132503403.73999999</v>
      </c>
      <c r="Q370" s="277"/>
      <c r="R370" s="281">
        <f t="shared" si="653"/>
        <v>132503403.73999999</v>
      </c>
      <c r="S370" s="277"/>
      <c r="T370" s="277"/>
      <c r="U370" s="277"/>
      <c r="V370" s="277"/>
      <c r="W370" s="277"/>
      <c r="X370" s="277"/>
      <c r="Y370" s="277"/>
      <c r="Z370" s="277"/>
      <c r="AA370" s="281">
        <f t="shared" si="663"/>
        <v>0</v>
      </c>
      <c r="AB370" s="403">
        <f t="shared" si="655"/>
        <v>132503403.73999999</v>
      </c>
      <c r="AC370" s="326">
        <f t="shared" si="623"/>
        <v>1</v>
      </c>
    </row>
    <row r="371" spans="1:29" ht="25.5" hidden="1" x14ac:dyDescent="0.2">
      <c r="A371" s="424"/>
      <c r="B371" s="323" t="s">
        <v>1245</v>
      </c>
      <c r="C371" s="206" t="s">
        <v>1246</v>
      </c>
      <c r="D371" s="277"/>
      <c r="E371" s="325">
        <f>SUM('ADICIONES  2021'!C371:N371)</f>
        <v>2966244.44</v>
      </c>
      <c r="F371" s="277"/>
      <c r="G371" s="277"/>
      <c r="H371" s="277"/>
      <c r="I371" s="277"/>
      <c r="J371" s="277"/>
      <c r="K371" s="281">
        <f t="shared" si="650"/>
        <v>2966244.44</v>
      </c>
      <c r="L371" s="277"/>
      <c r="M371" s="277"/>
      <c r="N371" s="277"/>
      <c r="O371" s="277"/>
      <c r="P371" s="277">
        <v>2966244.44</v>
      </c>
      <c r="Q371" s="277"/>
      <c r="R371" s="281">
        <f t="shared" si="653"/>
        <v>2966244.44</v>
      </c>
      <c r="S371" s="277"/>
      <c r="T371" s="277"/>
      <c r="U371" s="277"/>
      <c r="V371" s="277"/>
      <c r="W371" s="277"/>
      <c r="X371" s="277"/>
      <c r="Y371" s="277"/>
      <c r="Z371" s="277"/>
      <c r="AA371" s="281">
        <f t="shared" si="663"/>
        <v>0</v>
      </c>
      <c r="AB371" s="403">
        <f t="shared" si="655"/>
        <v>2966244.44</v>
      </c>
      <c r="AC371" s="326">
        <f t="shared" si="623"/>
        <v>1</v>
      </c>
    </row>
    <row r="372" spans="1:29" ht="25.5" hidden="1" x14ac:dyDescent="0.2">
      <c r="A372" s="424"/>
      <c r="B372" s="323" t="s">
        <v>1247</v>
      </c>
      <c r="C372" s="206" t="s">
        <v>1248</v>
      </c>
      <c r="D372" s="277"/>
      <c r="E372" s="325">
        <f>SUM('ADICIONES  2021'!C372:N372)</f>
        <v>77303408.400000006</v>
      </c>
      <c r="F372" s="277"/>
      <c r="G372" s="277"/>
      <c r="H372" s="277"/>
      <c r="I372" s="277"/>
      <c r="J372" s="277"/>
      <c r="K372" s="281">
        <f t="shared" si="650"/>
        <v>77303408.400000006</v>
      </c>
      <c r="L372" s="277"/>
      <c r="M372" s="277"/>
      <c r="N372" s="277"/>
      <c r="O372" s="277"/>
      <c r="P372" s="277">
        <v>77303408.400000006</v>
      </c>
      <c r="Q372" s="277"/>
      <c r="R372" s="281">
        <f t="shared" si="653"/>
        <v>77303408.400000006</v>
      </c>
      <c r="S372" s="277"/>
      <c r="T372" s="277"/>
      <c r="U372" s="277"/>
      <c r="V372" s="277"/>
      <c r="W372" s="277"/>
      <c r="X372" s="277"/>
      <c r="Y372" s="277"/>
      <c r="Z372" s="277"/>
      <c r="AA372" s="281">
        <f t="shared" si="663"/>
        <v>0</v>
      </c>
      <c r="AB372" s="403">
        <f t="shared" si="655"/>
        <v>77303408.400000006</v>
      </c>
      <c r="AC372" s="326">
        <f t="shared" si="623"/>
        <v>1</v>
      </c>
    </row>
    <row r="373" spans="1:29" ht="25.5" hidden="1" x14ac:dyDescent="0.2">
      <c r="A373" s="424"/>
      <c r="B373" s="323" t="s">
        <v>1249</v>
      </c>
      <c r="C373" s="206" t="s">
        <v>1250</v>
      </c>
      <c r="D373" s="277"/>
      <c r="E373" s="325">
        <f>SUM('ADICIONES  2021'!C373:N373)</f>
        <v>113234205.3</v>
      </c>
      <c r="F373" s="277"/>
      <c r="G373" s="277"/>
      <c r="H373" s="277"/>
      <c r="I373" s="277"/>
      <c r="J373" s="277"/>
      <c r="K373" s="281">
        <f t="shared" si="650"/>
        <v>113234205.3</v>
      </c>
      <c r="L373" s="277"/>
      <c r="M373" s="277"/>
      <c r="N373" s="277"/>
      <c r="O373" s="277"/>
      <c r="P373" s="277">
        <v>113234205.3</v>
      </c>
      <c r="Q373" s="277"/>
      <c r="R373" s="281">
        <f t="shared" si="653"/>
        <v>113234205.3</v>
      </c>
      <c r="S373" s="277"/>
      <c r="T373" s="277"/>
      <c r="U373" s="277"/>
      <c r="V373" s="277"/>
      <c r="W373" s="277"/>
      <c r="X373" s="277"/>
      <c r="Y373" s="277"/>
      <c r="Z373" s="277"/>
      <c r="AA373" s="281">
        <f t="shared" si="663"/>
        <v>0</v>
      </c>
      <c r="AB373" s="403">
        <f t="shared" si="655"/>
        <v>113234205.3</v>
      </c>
      <c r="AC373" s="326">
        <f t="shared" ref="AC373:AC613" si="673">+AB373/K373</f>
        <v>1</v>
      </c>
    </row>
    <row r="374" spans="1:29" ht="25.5" hidden="1" x14ac:dyDescent="0.2">
      <c r="A374" s="424"/>
      <c r="B374" s="323" t="s">
        <v>1251</v>
      </c>
      <c r="C374" s="206" t="s">
        <v>1252</v>
      </c>
      <c r="D374" s="277"/>
      <c r="E374" s="325">
        <f>SUM('ADICIONES  2021'!C374:N374)</f>
        <v>153953647.03999999</v>
      </c>
      <c r="F374" s="277"/>
      <c r="G374" s="277"/>
      <c r="H374" s="277"/>
      <c r="I374" s="277"/>
      <c r="J374" s="277"/>
      <c r="K374" s="281">
        <f t="shared" si="650"/>
        <v>153953647.03999999</v>
      </c>
      <c r="L374" s="277"/>
      <c r="M374" s="277"/>
      <c r="N374" s="277"/>
      <c r="O374" s="277"/>
      <c r="P374" s="277">
        <v>153953647.03999999</v>
      </c>
      <c r="Q374" s="277"/>
      <c r="R374" s="281">
        <f t="shared" si="653"/>
        <v>153953647.03999999</v>
      </c>
      <c r="S374" s="277"/>
      <c r="T374" s="277"/>
      <c r="U374" s="277"/>
      <c r="V374" s="277"/>
      <c r="W374" s="277"/>
      <c r="X374" s="277"/>
      <c r="Y374" s="277"/>
      <c r="Z374" s="277"/>
      <c r="AA374" s="281">
        <f t="shared" si="663"/>
        <v>0</v>
      </c>
      <c r="AB374" s="403">
        <f t="shared" si="655"/>
        <v>153953647.03999999</v>
      </c>
      <c r="AC374" s="326">
        <f t="shared" si="673"/>
        <v>1</v>
      </c>
    </row>
    <row r="375" spans="1:29" ht="25.5" hidden="1" x14ac:dyDescent="0.2">
      <c r="A375" s="424"/>
      <c r="B375" s="323" t="s">
        <v>1253</v>
      </c>
      <c r="C375" s="206" t="s">
        <v>1254</v>
      </c>
      <c r="D375" s="277"/>
      <c r="E375" s="325">
        <f>SUM('ADICIONES  2021'!C375:N375)</f>
        <v>315352581.86000001</v>
      </c>
      <c r="F375" s="277"/>
      <c r="G375" s="277"/>
      <c r="H375" s="277"/>
      <c r="I375" s="277"/>
      <c r="J375" s="277"/>
      <c r="K375" s="281">
        <f t="shared" si="650"/>
        <v>315352581.86000001</v>
      </c>
      <c r="L375" s="277"/>
      <c r="M375" s="277"/>
      <c r="N375" s="277"/>
      <c r="O375" s="277"/>
      <c r="P375" s="277">
        <v>315352581.86000001</v>
      </c>
      <c r="Q375" s="277"/>
      <c r="R375" s="281">
        <f t="shared" si="653"/>
        <v>315352581.86000001</v>
      </c>
      <c r="S375" s="277"/>
      <c r="T375" s="277"/>
      <c r="U375" s="277"/>
      <c r="V375" s="277"/>
      <c r="W375" s="277"/>
      <c r="X375" s="277"/>
      <c r="Y375" s="277"/>
      <c r="Z375" s="277"/>
      <c r="AA375" s="281">
        <f t="shared" si="663"/>
        <v>0</v>
      </c>
      <c r="AB375" s="403">
        <f t="shared" si="655"/>
        <v>315352581.86000001</v>
      </c>
      <c r="AC375" s="326">
        <f t="shared" si="673"/>
        <v>1</v>
      </c>
    </row>
    <row r="376" spans="1:29" ht="25.5" hidden="1" x14ac:dyDescent="0.2">
      <c r="A376" s="424"/>
      <c r="B376" s="323" t="s">
        <v>1255</v>
      </c>
      <c r="C376" s="206" t="s">
        <v>1256</v>
      </c>
      <c r="D376" s="277"/>
      <c r="E376" s="325">
        <f>SUM('ADICIONES  2021'!C376:N376)</f>
        <v>103246582.93000001</v>
      </c>
      <c r="F376" s="277"/>
      <c r="G376" s="277"/>
      <c r="H376" s="277"/>
      <c r="I376" s="277"/>
      <c r="J376" s="277"/>
      <c r="K376" s="281">
        <f t="shared" si="650"/>
        <v>103246582.93000001</v>
      </c>
      <c r="L376" s="277"/>
      <c r="M376" s="277"/>
      <c r="N376" s="277"/>
      <c r="O376" s="277"/>
      <c r="P376" s="277">
        <v>103246582.93000001</v>
      </c>
      <c r="Q376" s="277"/>
      <c r="R376" s="281">
        <f t="shared" si="653"/>
        <v>103246582.93000001</v>
      </c>
      <c r="S376" s="277"/>
      <c r="T376" s="277"/>
      <c r="U376" s="277"/>
      <c r="V376" s="277"/>
      <c r="W376" s="277"/>
      <c r="X376" s="277"/>
      <c r="Y376" s="277"/>
      <c r="Z376" s="277"/>
      <c r="AA376" s="281">
        <f t="shared" si="663"/>
        <v>0</v>
      </c>
      <c r="AB376" s="403">
        <f t="shared" si="655"/>
        <v>103246582.93000001</v>
      </c>
      <c r="AC376" s="326">
        <f t="shared" si="673"/>
        <v>1</v>
      </c>
    </row>
    <row r="377" spans="1:29" ht="25.5" hidden="1" x14ac:dyDescent="0.2">
      <c r="A377" s="424"/>
      <c r="B377" s="323" t="s">
        <v>1257</v>
      </c>
      <c r="C377" s="206" t="s">
        <v>1258</v>
      </c>
      <c r="D377" s="277"/>
      <c r="E377" s="325">
        <f>SUM('ADICIONES  2021'!C377:N377)</f>
        <v>99917502.230000004</v>
      </c>
      <c r="F377" s="277"/>
      <c r="G377" s="277"/>
      <c r="H377" s="277"/>
      <c r="I377" s="277"/>
      <c r="J377" s="277"/>
      <c r="K377" s="281">
        <f t="shared" si="650"/>
        <v>99917502.230000004</v>
      </c>
      <c r="L377" s="277"/>
      <c r="M377" s="277"/>
      <c r="N377" s="277"/>
      <c r="O377" s="277"/>
      <c r="P377" s="277">
        <v>99917502.230000004</v>
      </c>
      <c r="Q377" s="277"/>
      <c r="R377" s="281">
        <f t="shared" si="653"/>
        <v>99917502.230000004</v>
      </c>
      <c r="S377" s="277"/>
      <c r="T377" s="277"/>
      <c r="U377" s="277"/>
      <c r="V377" s="277"/>
      <c r="W377" s="277"/>
      <c r="X377" s="277"/>
      <c r="Y377" s="277"/>
      <c r="Z377" s="277"/>
      <c r="AA377" s="281">
        <f t="shared" ref="AA377:AA384" si="674">SUM(S377:Z377)</f>
        <v>0</v>
      </c>
      <c r="AB377" s="403">
        <f t="shared" si="655"/>
        <v>99917502.230000004</v>
      </c>
      <c r="AC377" s="326">
        <f t="shared" si="673"/>
        <v>1</v>
      </c>
    </row>
    <row r="378" spans="1:29" ht="25.5" hidden="1" x14ac:dyDescent="0.2">
      <c r="A378" s="424"/>
      <c r="B378" s="323" t="s">
        <v>1259</v>
      </c>
      <c r="C378" s="206" t="s">
        <v>1260</v>
      </c>
      <c r="D378" s="277"/>
      <c r="E378" s="325">
        <f>SUM('ADICIONES  2021'!C378:N378)</f>
        <v>63729352.200000003</v>
      </c>
      <c r="F378" s="277"/>
      <c r="G378" s="277"/>
      <c r="H378" s="277"/>
      <c r="I378" s="277"/>
      <c r="J378" s="277"/>
      <c r="K378" s="281">
        <f t="shared" si="650"/>
        <v>63729352.200000003</v>
      </c>
      <c r="L378" s="277"/>
      <c r="M378" s="277"/>
      <c r="N378" s="277"/>
      <c r="O378" s="277"/>
      <c r="P378" s="277">
        <v>63729352.200000003</v>
      </c>
      <c r="Q378" s="277"/>
      <c r="R378" s="281">
        <f t="shared" ref="R378:R385" si="675">SUM(L378:Q378)</f>
        <v>63729352.200000003</v>
      </c>
      <c r="S378" s="277"/>
      <c r="T378" s="277"/>
      <c r="U378" s="277"/>
      <c r="V378" s="277"/>
      <c r="W378" s="277"/>
      <c r="X378" s="277"/>
      <c r="Y378" s="277"/>
      <c r="Z378" s="277"/>
      <c r="AA378" s="281">
        <f t="shared" si="674"/>
        <v>0</v>
      </c>
      <c r="AB378" s="403">
        <f t="shared" si="655"/>
        <v>63729352.200000003</v>
      </c>
      <c r="AC378" s="326">
        <f t="shared" si="673"/>
        <v>1</v>
      </c>
    </row>
    <row r="379" spans="1:29" ht="25.5" hidden="1" x14ac:dyDescent="0.2">
      <c r="A379" s="424"/>
      <c r="B379" s="323" t="s">
        <v>1261</v>
      </c>
      <c r="C379" s="206" t="s">
        <v>1262</v>
      </c>
      <c r="D379" s="277"/>
      <c r="E379" s="325">
        <f>SUM('ADICIONES  2021'!C379:N379)</f>
        <v>15067397.539999999</v>
      </c>
      <c r="F379" s="277"/>
      <c r="G379" s="277"/>
      <c r="H379" s="277"/>
      <c r="I379" s="277"/>
      <c r="J379" s="277"/>
      <c r="K379" s="281">
        <f t="shared" si="650"/>
        <v>15067397.539999999</v>
      </c>
      <c r="L379" s="277"/>
      <c r="M379" s="277"/>
      <c r="N379" s="277"/>
      <c r="O379" s="277"/>
      <c r="P379" s="277">
        <v>15067397.539999999</v>
      </c>
      <c r="Q379" s="277"/>
      <c r="R379" s="281">
        <f t="shared" si="675"/>
        <v>15067397.539999999</v>
      </c>
      <c r="S379" s="277"/>
      <c r="T379" s="277"/>
      <c r="U379" s="277"/>
      <c r="V379" s="277"/>
      <c r="W379" s="277"/>
      <c r="X379" s="277"/>
      <c r="Y379" s="277"/>
      <c r="Z379" s="277"/>
      <c r="AA379" s="281">
        <f t="shared" si="674"/>
        <v>0</v>
      </c>
      <c r="AB379" s="403">
        <f t="shared" si="655"/>
        <v>15067397.539999999</v>
      </c>
      <c r="AC379" s="326">
        <f t="shared" si="673"/>
        <v>1</v>
      </c>
    </row>
    <row r="380" spans="1:29" ht="38.25" hidden="1" x14ac:dyDescent="0.2">
      <c r="A380" s="424"/>
      <c r="B380" s="323" t="s">
        <v>1264</v>
      </c>
      <c r="C380" s="206" t="s">
        <v>1265</v>
      </c>
      <c r="D380" s="277"/>
      <c r="E380" s="325">
        <f>SUM('ADICIONES  2021'!C380:N380)</f>
        <v>67466552.810000002</v>
      </c>
      <c r="F380" s="277"/>
      <c r="G380" s="277"/>
      <c r="H380" s="277"/>
      <c r="I380" s="277"/>
      <c r="J380" s="277"/>
      <c r="K380" s="281">
        <f t="shared" si="650"/>
        <v>67466552.810000002</v>
      </c>
      <c r="L380" s="277"/>
      <c r="M380" s="277"/>
      <c r="N380" s="277"/>
      <c r="O380" s="277"/>
      <c r="P380" s="277">
        <v>67466552.810000002</v>
      </c>
      <c r="Q380" s="277"/>
      <c r="R380" s="281">
        <f t="shared" si="675"/>
        <v>67466552.810000002</v>
      </c>
      <c r="S380" s="277"/>
      <c r="T380" s="277"/>
      <c r="U380" s="277"/>
      <c r="V380" s="277"/>
      <c r="W380" s="277"/>
      <c r="X380" s="277"/>
      <c r="Y380" s="277"/>
      <c r="Z380" s="277"/>
      <c r="AA380" s="281">
        <f t="shared" si="674"/>
        <v>0</v>
      </c>
      <c r="AB380" s="403">
        <f t="shared" si="655"/>
        <v>67466552.810000002</v>
      </c>
      <c r="AC380" s="326">
        <f t="shared" si="673"/>
        <v>1</v>
      </c>
    </row>
    <row r="381" spans="1:29" ht="25.5" hidden="1" x14ac:dyDescent="0.2">
      <c r="A381" s="424"/>
      <c r="B381" s="323" t="s">
        <v>1830</v>
      </c>
      <c r="C381" s="206" t="s">
        <v>1263</v>
      </c>
      <c r="D381" s="277"/>
      <c r="E381" s="325">
        <f>SUM('ADICIONES  2021'!C381:N381)</f>
        <v>0</v>
      </c>
      <c r="F381" s="277"/>
      <c r="G381" s="277"/>
      <c r="H381" s="277"/>
      <c r="I381" s="277"/>
      <c r="J381" s="277"/>
      <c r="K381" s="281">
        <f t="shared" si="650"/>
        <v>0</v>
      </c>
      <c r="L381" s="277"/>
      <c r="M381" s="277"/>
      <c r="N381" s="277"/>
      <c r="O381" s="277"/>
      <c r="P381" s="277">
        <v>0</v>
      </c>
      <c r="Q381" s="277"/>
      <c r="R381" s="281">
        <f t="shared" si="675"/>
        <v>0</v>
      </c>
      <c r="S381" s="277"/>
      <c r="T381" s="277"/>
      <c r="U381" s="277"/>
      <c r="V381" s="277"/>
      <c r="W381" s="277"/>
      <c r="X381" s="277"/>
      <c r="Y381" s="277"/>
      <c r="Z381" s="277"/>
      <c r="AA381" s="281">
        <f t="shared" si="674"/>
        <v>0</v>
      </c>
      <c r="AB381" s="403">
        <f t="shared" si="655"/>
        <v>0</v>
      </c>
      <c r="AC381" s="326" t="e">
        <f t="shared" si="673"/>
        <v>#DIV/0!</v>
      </c>
    </row>
    <row r="382" spans="1:29" ht="25.5" hidden="1" x14ac:dyDescent="0.2">
      <c r="A382" s="424"/>
      <c r="B382" s="323" t="s">
        <v>1820</v>
      </c>
      <c r="C382" s="206" t="s">
        <v>1263</v>
      </c>
      <c r="D382" s="277"/>
      <c r="E382" s="325">
        <f>SUM('ADICIONES  2021'!C382:N382)</f>
        <v>56551936.780000001</v>
      </c>
      <c r="F382" s="277"/>
      <c r="G382" s="277"/>
      <c r="H382" s="277"/>
      <c r="I382" s="277"/>
      <c r="J382" s="277"/>
      <c r="K382" s="281">
        <f t="shared" si="650"/>
        <v>56551936.780000001</v>
      </c>
      <c r="L382" s="277"/>
      <c r="M382" s="277"/>
      <c r="N382" s="277"/>
      <c r="O382" s="277"/>
      <c r="P382" s="277">
        <v>56551936.780000001</v>
      </c>
      <c r="Q382" s="277"/>
      <c r="R382" s="281">
        <f t="shared" si="675"/>
        <v>56551936.780000001</v>
      </c>
      <c r="S382" s="277"/>
      <c r="T382" s="277"/>
      <c r="U382" s="277"/>
      <c r="V382" s="277"/>
      <c r="W382" s="277"/>
      <c r="X382" s="277"/>
      <c r="Y382" s="277"/>
      <c r="Z382" s="277"/>
      <c r="AA382" s="281">
        <f t="shared" si="674"/>
        <v>0</v>
      </c>
      <c r="AB382" s="403">
        <f t="shared" si="655"/>
        <v>56551936.780000001</v>
      </c>
      <c r="AC382" s="326">
        <f t="shared" si="673"/>
        <v>1</v>
      </c>
    </row>
    <row r="383" spans="1:29" ht="25.5" hidden="1" x14ac:dyDescent="0.2">
      <c r="A383" s="424"/>
      <c r="B383" s="323" t="s">
        <v>1266</v>
      </c>
      <c r="C383" s="206" t="s">
        <v>1267</v>
      </c>
      <c r="D383" s="277"/>
      <c r="E383" s="325">
        <f>SUM('ADICIONES  2021'!C383:N383)</f>
        <v>10991322</v>
      </c>
      <c r="F383" s="277"/>
      <c r="G383" s="277"/>
      <c r="H383" s="277"/>
      <c r="I383" s="277"/>
      <c r="J383" s="277"/>
      <c r="K383" s="281">
        <f t="shared" si="650"/>
        <v>10991322</v>
      </c>
      <c r="L383" s="277"/>
      <c r="M383" s="277"/>
      <c r="N383" s="277"/>
      <c r="O383" s="277"/>
      <c r="P383" s="277">
        <v>10991322</v>
      </c>
      <c r="Q383" s="277"/>
      <c r="R383" s="281">
        <f t="shared" si="675"/>
        <v>10991322</v>
      </c>
      <c r="S383" s="277"/>
      <c r="T383" s="277"/>
      <c r="U383" s="277"/>
      <c r="V383" s="277"/>
      <c r="W383" s="277"/>
      <c r="X383" s="277"/>
      <c r="Y383" s="277"/>
      <c r="Z383" s="277"/>
      <c r="AA383" s="281">
        <f t="shared" si="674"/>
        <v>0</v>
      </c>
      <c r="AB383" s="403">
        <f t="shared" si="655"/>
        <v>10991322</v>
      </c>
      <c r="AC383" s="326">
        <f t="shared" si="673"/>
        <v>1</v>
      </c>
    </row>
    <row r="384" spans="1:29" ht="14.25" hidden="1" x14ac:dyDescent="0.2">
      <c r="A384" s="424"/>
      <c r="B384" s="323" t="s">
        <v>1268</v>
      </c>
      <c r="C384" s="206" t="s">
        <v>1269</v>
      </c>
      <c r="D384" s="277"/>
      <c r="E384" s="325">
        <f>SUM('ADICIONES  2021'!C384:N384)</f>
        <v>9502617</v>
      </c>
      <c r="F384" s="277"/>
      <c r="G384" s="277"/>
      <c r="H384" s="277"/>
      <c r="I384" s="277"/>
      <c r="J384" s="277"/>
      <c r="K384" s="281">
        <f t="shared" si="650"/>
        <v>9502617</v>
      </c>
      <c r="L384" s="277"/>
      <c r="M384" s="277"/>
      <c r="N384" s="277"/>
      <c r="O384" s="277"/>
      <c r="P384" s="277">
        <v>9502617</v>
      </c>
      <c r="Q384" s="277"/>
      <c r="R384" s="281">
        <f t="shared" si="675"/>
        <v>9502617</v>
      </c>
      <c r="S384" s="277"/>
      <c r="T384" s="277"/>
      <c r="U384" s="277"/>
      <c r="V384" s="277"/>
      <c r="W384" s="277"/>
      <c r="X384" s="277"/>
      <c r="Y384" s="277"/>
      <c r="Z384" s="277"/>
      <c r="AA384" s="281">
        <f t="shared" si="674"/>
        <v>0</v>
      </c>
      <c r="AB384" s="403">
        <f t="shared" si="655"/>
        <v>9502617</v>
      </c>
      <c r="AC384" s="326">
        <f t="shared" si="673"/>
        <v>1</v>
      </c>
    </row>
    <row r="385" spans="1:29" ht="25.5" hidden="1" x14ac:dyDescent="0.2">
      <c r="A385" s="424"/>
      <c r="B385" s="323" t="s">
        <v>1270</v>
      </c>
      <c r="C385" s="206" t="s">
        <v>1271</v>
      </c>
      <c r="D385" s="277"/>
      <c r="E385" s="325">
        <f>SUM('ADICIONES  2021'!C385:N385)</f>
        <v>32953848.239999998</v>
      </c>
      <c r="F385" s="277"/>
      <c r="G385" s="277"/>
      <c r="H385" s="277"/>
      <c r="I385" s="277"/>
      <c r="J385" s="277"/>
      <c r="K385" s="281">
        <f t="shared" si="650"/>
        <v>32953848.239999998</v>
      </c>
      <c r="L385" s="277"/>
      <c r="M385" s="277"/>
      <c r="N385" s="277"/>
      <c r="O385" s="277"/>
      <c r="P385" s="277">
        <v>32953848.239999998</v>
      </c>
      <c r="Q385" s="277"/>
      <c r="R385" s="281">
        <f t="shared" si="675"/>
        <v>32953848.239999998</v>
      </c>
      <c r="S385" s="277"/>
      <c r="T385" s="277"/>
      <c r="U385" s="277"/>
      <c r="V385" s="277"/>
      <c r="W385" s="277"/>
      <c r="X385" s="277"/>
      <c r="Y385" s="277"/>
      <c r="Z385" s="277"/>
      <c r="AA385" s="281">
        <f t="shared" si="663"/>
        <v>0</v>
      </c>
      <c r="AB385" s="403">
        <f t="shared" si="655"/>
        <v>32953848.239999998</v>
      </c>
      <c r="AC385" s="326">
        <f t="shared" si="673"/>
        <v>1</v>
      </c>
    </row>
    <row r="386" spans="1:29" ht="25.5" hidden="1" x14ac:dyDescent="0.2">
      <c r="A386" s="424"/>
      <c r="B386" s="323" t="s">
        <v>1272</v>
      </c>
      <c r="C386" s="206" t="s">
        <v>1273</v>
      </c>
      <c r="D386" s="277"/>
      <c r="E386" s="325">
        <f>SUM('ADICIONES  2021'!C386:N386)</f>
        <v>69861319.959999993</v>
      </c>
      <c r="F386" s="277"/>
      <c r="G386" s="277"/>
      <c r="H386" s="277"/>
      <c r="I386" s="277"/>
      <c r="J386" s="277"/>
      <c r="K386" s="281">
        <f t="shared" si="650"/>
        <v>69861319.959999993</v>
      </c>
      <c r="L386" s="277"/>
      <c r="M386" s="277"/>
      <c r="N386" s="277"/>
      <c r="O386" s="277"/>
      <c r="P386" s="277">
        <v>69861319.959999993</v>
      </c>
      <c r="Q386" s="277"/>
      <c r="R386" s="281">
        <f t="shared" si="653"/>
        <v>69861319.959999993</v>
      </c>
      <c r="S386" s="277"/>
      <c r="T386" s="277"/>
      <c r="U386" s="277"/>
      <c r="V386" s="277"/>
      <c r="W386" s="277"/>
      <c r="X386" s="277"/>
      <c r="Y386" s="277"/>
      <c r="Z386" s="277"/>
      <c r="AA386" s="281">
        <f t="shared" si="663"/>
        <v>0</v>
      </c>
      <c r="AB386" s="403">
        <f t="shared" si="655"/>
        <v>69861319.959999993</v>
      </c>
      <c r="AC386" s="326">
        <f t="shared" si="673"/>
        <v>1</v>
      </c>
    </row>
    <row r="387" spans="1:29" ht="14.25" hidden="1" x14ac:dyDescent="0.2">
      <c r="A387" s="424"/>
      <c r="B387" s="323" t="s">
        <v>1274</v>
      </c>
      <c r="C387" s="206" t="s">
        <v>1275</v>
      </c>
      <c r="D387" s="277"/>
      <c r="E387" s="325">
        <f>SUM('ADICIONES  2021'!C387:N387)</f>
        <v>14891617.699999999</v>
      </c>
      <c r="F387" s="277"/>
      <c r="G387" s="277"/>
      <c r="H387" s="277"/>
      <c r="I387" s="277"/>
      <c r="J387" s="277"/>
      <c r="K387" s="281">
        <f t="shared" si="650"/>
        <v>14891617.699999999</v>
      </c>
      <c r="L387" s="277"/>
      <c r="M387" s="277"/>
      <c r="N387" s="277"/>
      <c r="O387" s="277"/>
      <c r="P387" s="277">
        <v>14891617.699999999</v>
      </c>
      <c r="Q387" s="277"/>
      <c r="R387" s="281">
        <f t="shared" si="653"/>
        <v>14891617.699999999</v>
      </c>
      <c r="S387" s="277"/>
      <c r="T387" s="277"/>
      <c r="U387" s="277"/>
      <c r="V387" s="277"/>
      <c r="W387" s="277"/>
      <c r="X387" s="277"/>
      <c r="Y387" s="277"/>
      <c r="Z387" s="277"/>
      <c r="AA387" s="281">
        <f t="shared" si="663"/>
        <v>0</v>
      </c>
      <c r="AB387" s="403">
        <f t="shared" si="655"/>
        <v>14891617.699999999</v>
      </c>
      <c r="AC387" s="326">
        <f t="shared" si="673"/>
        <v>1</v>
      </c>
    </row>
    <row r="388" spans="1:29" ht="25.5" hidden="1" x14ac:dyDescent="0.2">
      <c r="A388" s="424"/>
      <c r="B388" s="323" t="s">
        <v>1276</v>
      </c>
      <c r="C388" s="206" t="s">
        <v>1277</v>
      </c>
      <c r="D388" s="277"/>
      <c r="E388" s="325">
        <f>SUM('ADICIONES  2021'!C388:N388)</f>
        <v>5287463</v>
      </c>
      <c r="F388" s="277"/>
      <c r="G388" s="277"/>
      <c r="H388" s="277"/>
      <c r="I388" s="277"/>
      <c r="J388" s="277"/>
      <c r="K388" s="281">
        <f t="shared" si="650"/>
        <v>5287463</v>
      </c>
      <c r="L388" s="277"/>
      <c r="M388" s="277"/>
      <c r="N388" s="277"/>
      <c r="O388" s="277"/>
      <c r="P388" s="277">
        <v>5287463</v>
      </c>
      <c r="Q388" s="277"/>
      <c r="R388" s="281">
        <f t="shared" si="653"/>
        <v>5287463</v>
      </c>
      <c r="S388" s="277"/>
      <c r="T388" s="277"/>
      <c r="U388" s="277"/>
      <c r="V388" s="277"/>
      <c r="W388" s="277"/>
      <c r="X388" s="277"/>
      <c r="Y388" s="277"/>
      <c r="Z388" s="277"/>
      <c r="AA388" s="281">
        <f t="shared" si="663"/>
        <v>0</v>
      </c>
      <c r="AB388" s="403">
        <f t="shared" si="655"/>
        <v>5287463</v>
      </c>
      <c r="AC388" s="326">
        <f t="shared" si="673"/>
        <v>1</v>
      </c>
    </row>
    <row r="389" spans="1:29" ht="25.5" hidden="1" x14ac:dyDescent="0.2">
      <c r="A389" s="424"/>
      <c r="B389" s="323" t="s">
        <v>1278</v>
      </c>
      <c r="C389" s="206" t="s">
        <v>1279</v>
      </c>
      <c r="D389" s="277"/>
      <c r="E389" s="325">
        <f>SUM('ADICIONES  2021'!C389:N389)</f>
        <v>853831345</v>
      </c>
      <c r="F389" s="277"/>
      <c r="G389" s="277"/>
      <c r="H389" s="277"/>
      <c r="I389" s="277"/>
      <c r="J389" s="277"/>
      <c r="K389" s="281">
        <f t="shared" si="650"/>
        <v>853831345</v>
      </c>
      <c r="L389" s="277"/>
      <c r="M389" s="277"/>
      <c r="N389" s="277"/>
      <c r="O389" s="277"/>
      <c r="P389" s="277">
        <v>853831345</v>
      </c>
      <c r="Q389" s="277"/>
      <c r="R389" s="281">
        <f t="shared" si="653"/>
        <v>853831345</v>
      </c>
      <c r="S389" s="277"/>
      <c r="T389" s="277"/>
      <c r="U389" s="277"/>
      <c r="V389" s="277"/>
      <c r="W389" s="277"/>
      <c r="X389" s="277"/>
      <c r="Y389" s="277"/>
      <c r="Z389" s="277"/>
      <c r="AA389" s="281">
        <f t="shared" si="663"/>
        <v>0</v>
      </c>
      <c r="AB389" s="403">
        <f t="shared" si="655"/>
        <v>853831345</v>
      </c>
      <c r="AC389" s="326">
        <f t="shared" si="673"/>
        <v>1</v>
      </c>
    </row>
    <row r="390" spans="1:29" ht="38.25" hidden="1" x14ac:dyDescent="0.2">
      <c r="A390" s="424"/>
      <c r="B390" s="323" t="s">
        <v>1280</v>
      </c>
      <c r="C390" s="206" t="s">
        <v>1281</v>
      </c>
      <c r="D390" s="277"/>
      <c r="E390" s="325">
        <f>SUM('ADICIONES  2021'!C390:N390)</f>
        <v>20854350.050000001</v>
      </c>
      <c r="F390" s="277"/>
      <c r="G390" s="277"/>
      <c r="H390" s="277"/>
      <c r="I390" s="277"/>
      <c r="J390" s="277"/>
      <c r="K390" s="281">
        <f t="shared" si="650"/>
        <v>20854350.050000001</v>
      </c>
      <c r="L390" s="277"/>
      <c r="M390" s="277"/>
      <c r="N390" s="277"/>
      <c r="O390" s="277"/>
      <c r="P390" s="277">
        <v>20854350.050000001</v>
      </c>
      <c r="Q390" s="277"/>
      <c r="R390" s="281">
        <f t="shared" si="653"/>
        <v>20854350.050000001</v>
      </c>
      <c r="S390" s="277"/>
      <c r="T390" s="277"/>
      <c r="U390" s="277"/>
      <c r="V390" s="277"/>
      <c r="W390" s="277"/>
      <c r="X390" s="277"/>
      <c r="Y390" s="277"/>
      <c r="Z390" s="277"/>
      <c r="AA390" s="281">
        <f t="shared" si="663"/>
        <v>0</v>
      </c>
      <c r="AB390" s="403">
        <f t="shared" si="655"/>
        <v>20854350.050000001</v>
      </c>
      <c r="AC390" s="326">
        <f t="shared" si="673"/>
        <v>1</v>
      </c>
    </row>
    <row r="391" spans="1:29" ht="25.5" hidden="1" x14ac:dyDescent="0.2">
      <c r="A391" s="424"/>
      <c r="B391" s="323" t="s">
        <v>1282</v>
      </c>
      <c r="C391" s="206" t="s">
        <v>1283</v>
      </c>
      <c r="D391" s="277"/>
      <c r="E391" s="325">
        <f>SUM('ADICIONES  2021'!C391:N391)</f>
        <v>312401632.33999997</v>
      </c>
      <c r="F391" s="277"/>
      <c r="G391" s="277"/>
      <c r="H391" s="277"/>
      <c r="I391" s="277"/>
      <c r="J391" s="277"/>
      <c r="K391" s="281">
        <f t="shared" si="650"/>
        <v>312401632.33999997</v>
      </c>
      <c r="L391" s="277"/>
      <c r="M391" s="277"/>
      <c r="N391" s="277"/>
      <c r="O391" s="277"/>
      <c r="P391" s="277">
        <v>312401632.33999997</v>
      </c>
      <c r="Q391" s="277"/>
      <c r="R391" s="281">
        <f t="shared" si="653"/>
        <v>312401632.33999997</v>
      </c>
      <c r="S391" s="277"/>
      <c r="T391" s="277"/>
      <c r="U391" s="277"/>
      <c r="V391" s="277"/>
      <c r="W391" s="277"/>
      <c r="X391" s="277"/>
      <c r="Y391" s="277"/>
      <c r="Z391" s="277"/>
      <c r="AA391" s="281">
        <f t="shared" si="663"/>
        <v>0</v>
      </c>
      <c r="AB391" s="403">
        <f t="shared" si="655"/>
        <v>312401632.33999997</v>
      </c>
      <c r="AC391" s="326">
        <f t="shared" si="673"/>
        <v>1</v>
      </c>
    </row>
    <row r="392" spans="1:29" ht="14.25" hidden="1" x14ac:dyDescent="0.2">
      <c r="A392" s="424"/>
      <c r="B392" s="323" t="s">
        <v>1284</v>
      </c>
      <c r="C392" s="206" t="s">
        <v>1285</v>
      </c>
      <c r="D392" s="277"/>
      <c r="E392" s="325">
        <f>SUM('ADICIONES  2021'!C392:N392)</f>
        <v>415035594.76999998</v>
      </c>
      <c r="F392" s="277"/>
      <c r="G392" s="277"/>
      <c r="H392" s="277"/>
      <c r="I392" s="277"/>
      <c r="J392" s="277"/>
      <c r="K392" s="281">
        <f t="shared" si="650"/>
        <v>415035594.76999998</v>
      </c>
      <c r="L392" s="277"/>
      <c r="M392" s="277"/>
      <c r="N392" s="277"/>
      <c r="O392" s="277"/>
      <c r="P392" s="277">
        <v>415035594.76999998</v>
      </c>
      <c r="Q392" s="277"/>
      <c r="R392" s="281">
        <f t="shared" si="653"/>
        <v>415035594.76999998</v>
      </c>
      <c r="S392" s="277"/>
      <c r="T392" s="277"/>
      <c r="U392" s="277"/>
      <c r="V392" s="277"/>
      <c r="W392" s="277"/>
      <c r="X392" s="277"/>
      <c r="Y392" s="277"/>
      <c r="Z392" s="277"/>
      <c r="AA392" s="281">
        <f t="shared" si="663"/>
        <v>0</v>
      </c>
      <c r="AB392" s="403">
        <f t="shared" si="655"/>
        <v>415035594.76999998</v>
      </c>
      <c r="AC392" s="326">
        <f t="shared" si="673"/>
        <v>1</v>
      </c>
    </row>
    <row r="393" spans="1:29" ht="25.5" hidden="1" x14ac:dyDescent="0.2">
      <c r="A393" s="424"/>
      <c r="B393" s="323" t="s">
        <v>1286</v>
      </c>
      <c r="C393" s="206" t="s">
        <v>1287</v>
      </c>
      <c r="D393" s="277"/>
      <c r="E393" s="325">
        <f>SUM('ADICIONES  2021'!C393:N393)</f>
        <v>12023107.65</v>
      </c>
      <c r="F393" s="277"/>
      <c r="G393" s="277"/>
      <c r="H393" s="277"/>
      <c r="I393" s="277"/>
      <c r="J393" s="277"/>
      <c r="K393" s="281">
        <f t="shared" si="650"/>
        <v>12023107.65</v>
      </c>
      <c r="L393" s="277"/>
      <c r="M393" s="277"/>
      <c r="N393" s="277"/>
      <c r="O393" s="277"/>
      <c r="P393" s="277">
        <v>12023107.65</v>
      </c>
      <c r="Q393" s="277"/>
      <c r="R393" s="281">
        <f t="shared" si="653"/>
        <v>12023107.65</v>
      </c>
      <c r="S393" s="277"/>
      <c r="T393" s="277"/>
      <c r="U393" s="277"/>
      <c r="V393" s="277"/>
      <c r="W393" s="277"/>
      <c r="X393" s="277"/>
      <c r="Y393" s="277"/>
      <c r="Z393" s="277"/>
      <c r="AA393" s="281">
        <f t="shared" si="663"/>
        <v>0</v>
      </c>
      <c r="AB393" s="403">
        <f t="shared" si="655"/>
        <v>12023107.65</v>
      </c>
      <c r="AC393" s="326">
        <f t="shared" si="673"/>
        <v>1</v>
      </c>
    </row>
    <row r="394" spans="1:29" ht="14.25" hidden="1" x14ac:dyDescent="0.2">
      <c r="A394" s="424"/>
      <c r="B394" s="323" t="s">
        <v>1288</v>
      </c>
      <c r="C394" s="206" t="s">
        <v>1289</v>
      </c>
      <c r="D394" s="277"/>
      <c r="E394" s="325">
        <f>SUM('ADICIONES  2021'!C394:N394)</f>
        <v>72840664.370000005</v>
      </c>
      <c r="F394" s="277"/>
      <c r="G394" s="277"/>
      <c r="H394" s="277"/>
      <c r="I394" s="277"/>
      <c r="J394" s="277"/>
      <c r="K394" s="281">
        <f t="shared" si="650"/>
        <v>72840664.370000005</v>
      </c>
      <c r="L394" s="277"/>
      <c r="M394" s="277"/>
      <c r="N394" s="277"/>
      <c r="O394" s="277"/>
      <c r="P394" s="277">
        <v>72840664.370000005</v>
      </c>
      <c r="Q394" s="277"/>
      <c r="R394" s="281">
        <f t="shared" si="653"/>
        <v>72840664.370000005</v>
      </c>
      <c r="S394" s="277"/>
      <c r="T394" s="277"/>
      <c r="U394" s="277"/>
      <c r="V394" s="277"/>
      <c r="W394" s="277"/>
      <c r="X394" s="277"/>
      <c r="Y394" s="277"/>
      <c r="Z394" s="277"/>
      <c r="AA394" s="281">
        <f t="shared" si="663"/>
        <v>0</v>
      </c>
      <c r="AB394" s="403">
        <f t="shared" si="655"/>
        <v>72840664.370000005</v>
      </c>
      <c r="AC394" s="326">
        <f t="shared" si="673"/>
        <v>1</v>
      </c>
    </row>
    <row r="395" spans="1:29" ht="25.5" hidden="1" x14ac:dyDescent="0.2">
      <c r="A395" s="424"/>
      <c r="B395" s="323" t="s">
        <v>1290</v>
      </c>
      <c r="C395" s="206" t="s">
        <v>1291</v>
      </c>
      <c r="D395" s="277"/>
      <c r="E395" s="325">
        <f>SUM('ADICIONES  2021'!C395:N395)</f>
        <v>173605723</v>
      </c>
      <c r="F395" s="277"/>
      <c r="G395" s="277"/>
      <c r="H395" s="277"/>
      <c r="I395" s="277"/>
      <c r="J395" s="277"/>
      <c r="K395" s="281">
        <f t="shared" si="650"/>
        <v>173605723</v>
      </c>
      <c r="L395" s="277"/>
      <c r="M395" s="277"/>
      <c r="N395" s="277"/>
      <c r="O395" s="277"/>
      <c r="P395" s="277">
        <v>173605723</v>
      </c>
      <c r="Q395" s="277"/>
      <c r="R395" s="281">
        <f t="shared" si="653"/>
        <v>173605723</v>
      </c>
      <c r="S395" s="277"/>
      <c r="T395" s="277"/>
      <c r="U395" s="277"/>
      <c r="V395" s="277"/>
      <c r="W395" s="277"/>
      <c r="X395" s="277"/>
      <c r="Y395" s="277"/>
      <c r="Z395" s="277"/>
      <c r="AA395" s="281">
        <f t="shared" si="663"/>
        <v>0</v>
      </c>
      <c r="AB395" s="403">
        <f t="shared" si="655"/>
        <v>173605723</v>
      </c>
      <c r="AC395" s="326">
        <f t="shared" si="673"/>
        <v>1</v>
      </c>
    </row>
    <row r="396" spans="1:29" ht="25.5" hidden="1" x14ac:dyDescent="0.2">
      <c r="A396" s="424"/>
      <c r="B396" s="323" t="s">
        <v>1292</v>
      </c>
      <c r="C396" s="206" t="s">
        <v>1293</v>
      </c>
      <c r="D396" s="277"/>
      <c r="E396" s="325">
        <f>SUM('ADICIONES  2021'!C396:N396)</f>
        <v>462785030.63</v>
      </c>
      <c r="F396" s="277"/>
      <c r="G396" s="277"/>
      <c r="H396" s="277"/>
      <c r="I396" s="277"/>
      <c r="J396" s="277"/>
      <c r="K396" s="281">
        <f t="shared" si="650"/>
        <v>462785030.63</v>
      </c>
      <c r="L396" s="277"/>
      <c r="M396" s="277"/>
      <c r="N396" s="277"/>
      <c r="O396" s="277"/>
      <c r="P396" s="277">
        <v>462785030.63</v>
      </c>
      <c r="Q396" s="277"/>
      <c r="R396" s="281">
        <f t="shared" si="653"/>
        <v>462785030.63</v>
      </c>
      <c r="S396" s="277"/>
      <c r="T396" s="277"/>
      <c r="U396" s="277"/>
      <c r="V396" s="277"/>
      <c r="W396" s="277"/>
      <c r="X396" s="277"/>
      <c r="Y396" s="277"/>
      <c r="Z396" s="277"/>
      <c r="AA396" s="281">
        <f t="shared" si="663"/>
        <v>0</v>
      </c>
      <c r="AB396" s="403">
        <f t="shared" si="655"/>
        <v>462785030.63</v>
      </c>
      <c r="AC396" s="326">
        <f t="shared" si="673"/>
        <v>1</v>
      </c>
    </row>
    <row r="397" spans="1:29" ht="14.25" hidden="1" x14ac:dyDescent="0.2">
      <c r="A397" s="424"/>
      <c r="B397" s="323" t="s">
        <v>1294</v>
      </c>
      <c r="C397" s="206" t="s">
        <v>1295</v>
      </c>
      <c r="D397" s="277"/>
      <c r="E397" s="325">
        <f>SUM('ADICIONES  2021'!C397:N397)</f>
        <v>47055319</v>
      </c>
      <c r="F397" s="277"/>
      <c r="G397" s="277"/>
      <c r="H397" s="277"/>
      <c r="I397" s="277"/>
      <c r="J397" s="277"/>
      <c r="K397" s="281">
        <f t="shared" si="650"/>
        <v>47055319</v>
      </c>
      <c r="L397" s="277"/>
      <c r="M397" s="277"/>
      <c r="N397" s="277"/>
      <c r="O397" s="277"/>
      <c r="P397" s="277">
        <v>47055319</v>
      </c>
      <c r="Q397" s="277"/>
      <c r="R397" s="281">
        <f t="shared" si="653"/>
        <v>47055319</v>
      </c>
      <c r="S397" s="277"/>
      <c r="T397" s="277"/>
      <c r="U397" s="277"/>
      <c r="V397" s="277"/>
      <c r="W397" s="277"/>
      <c r="X397" s="277"/>
      <c r="Y397" s="277"/>
      <c r="Z397" s="277"/>
      <c r="AA397" s="281">
        <f t="shared" si="663"/>
        <v>0</v>
      </c>
      <c r="AB397" s="403">
        <f t="shared" si="655"/>
        <v>47055319</v>
      </c>
      <c r="AC397" s="326">
        <f t="shared" si="673"/>
        <v>1</v>
      </c>
    </row>
    <row r="398" spans="1:29" ht="14.25" hidden="1" x14ac:dyDescent="0.2">
      <c r="A398" s="424"/>
      <c r="B398" s="323" t="s">
        <v>1296</v>
      </c>
      <c r="C398" s="206" t="s">
        <v>1297</v>
      </c>
      <c r="D398" s="277"/>
      <c r="E398" s="325">
        <f>SUM('ADICIONES  2021'!C398:N398)</f>
        <v>130075777</v>
      </c>
      <c r="F398" s="277"/>
      <c r="G398" s="277"/>
      <c r="H398" s="277"/>
      <c r="I398" s="277"/>
      <c r="J398" s="277"/>
      <c r="K398" s="281">
        <f t="shared" si="650"/>
        <v>130075777</v>
      </c>
      <c r="L398" s="277"/>
      <c r="M398" s="277"/>
      <c r="N398" s="277"/>
      <c r="O398" s="277"/>
      <c r="P398" s="277">
        <v>130075777</v>
      </c>
      <c r="Q398" s="277"/>
      <c r="R398" s="281">
        <f t="shared" si="653"/>
        <v>130075777</v>
      </c>
      <c r="S398" s="277"/>
      <c r="T398" s="277"/>
      <c r="U398" s="277"/>
      <c r="V398" s="277"/>
      <c r="W398" s="277"/>
      <c r="X398" s="277"/>
      <c r="Y398" s="277"/>
      <c r="Z398" s="277"/>
      <c r="AA398" s="281">
        <f t="shared" si="663"/>
        <v>0</v>
      </c>
      <c r="AB398" s="403">
        <f t="shared" si="655"/>
        <v>130075777</v>
      </c>
      <c r="AC398" s="326">
        <f t="shared" si="673"/>
        <v>1</v>
      </c>
    </row>
    <row r="399" spans="1:29" ht="14.25" hidden="1" x14ac:dyDescent="0.2">
      <c r="A399" s="424"/>
      <c r="B399" s="323" t="s">
        <v>1298</v>
      </c>
      <c r="C399" s="206" t="s">
        <v>1299</v>
      </c>
      <c r="D399" s="277"/>
      <c r="E399" s="325">
        <f>SUM('ADICIONES  2021'!C399:N399)</f>
        <v>268763643.69999999</v>
      </c>
      <c r="F399" s="277"/>
      <c r="G399" s="277"/>
      <c r="H399" s="277"/>
      <c r="I399" s="277"/>
      <c r="J399" s="277"/>
      <c r="K399" s="281">
        <f t="shared" si="650"/>
        <v>268763643.69999999</v>
      </c>
      <c r="L399" s="277"/>
      <c r="M399" s="277"/>
      <c r="N399" s="277"/>
      <c r="O399" s="277"/>
      <c r="P399" s="277">
        <v>268763643.69999999</v>
      </c>
      <c r="Q399" s="277"/>
      <c r="R399" s="281">
        <f t="shared" si="653"/>
        <v>268763643.69999999</v>
      </c>
      <c r="S399" s="277"/>
      <c r="T399" s="277"/>
      <c r="U399" s="277"/>
      <c r="V399" s="277"/>
      <c r="W399" s="277"/>
      <c r="X399" s="277"/>
      <c r="Y399" s="277"/>
      <c r="Z399" s="277"/>
      <c r="AA399" s="281">
        <f t="shared" si="663"/>
        <v>0</v>
      </c>
      <c r="AB399" s="403">
        <f t="shared" si="655"/>
        <v>268763643.69999999</v>
      </c>
      <c r="AC399" s="326">
        <f t="shared" si="673"/>
        <v>1</v>
      </c>
    </row>
    <row r="400" spans="1:29" ht="25.5" hidden="1" x14ac:dyDescent="0.2">
      <c r="A400" s="424"/>
      <c r="B400" s="323" t="s">
        <v>1300</v>
      </c>
      <c r="C400" s="206" t="s">
        <v>1301</v>
      </c>
      <c r="D400" s="277"/>
      <c r="E400" s="325">
        <f>SUM('ADICIONES  2021'!C400:N400)</f>
        <v>40305269</v>
      </c>
      <c r="F400" s="277"/>
      <c r="G400" s="277"/>
      <c r="H400" s="277"/>
      <c r="I400" s="277"/>
      <c r="J400" s="277"/>
      <c r="K400" s="281">
        <f t="shared" si="650"/>
        <v>40305269</v>
      </c>
      <c r="L400" s="277"/>
      <c r="M400" s="277"/>
      <c r="N400" s="277"/>
      <c r="O400" s="277"/>
      <c r="P400" s="277">
        <v>40305269</v>
      </c>
      <c r="Q400" s="277"/>
      <c r="R400" s="281">
        <f t="shared" si="653"/>
        <v>40305269</v>
      </c>
      <c r="S400" s="277"/>
      <c r="T400" s="277"/>
      <c r="U400" s="277"/>
      <c r="V400" s="277"/>
      <c r="W400" s="277"/>
      <c r="X400" s="277"/>
      <c r="Y400" s="277"/>
      <c r="Z400" s="277"/>
      <c r="AA400" s="281">
        <f t="shared" si="663"/>
        <v>0</v>
      </c>
      <c r="AB400" s="403">
        <f t="shared" si="655"/>
        <v>40305269</v>
      </c>
      <c r="AC400" s="326">
        <f t="shared" si="673"/>
        <v>1</v>
      </c>
    </row>
    <row r="401" spans="1:29" ht="25.5" hidden="1" x14ac:dyDescent="0.2">
      <c r="A401" s="424"/>
      <c r="B401" s="323" t="s">
        <v>1302</v>
      </c>
      <c r="C401" s="206" t="s">
        <v>1303</v>
      </c>
      <c r="D401" s="277"/>
      <c r="E401" s="325">
        <f>SUM('ADICIONES  2021'!C401:N401)</f>
        <v>58229838</v>
      </c>
      <c r="F401" s="277"/>
      <c r="G401" s="277"/>
      <c r="H401" s="277"/>
      <c r="I401" s="277"/>
      <c r="J401" s="277"/>
      <c r="K401" s="281">
        <f t="shared" si="650"/>
        <v>58229838</v>
      </c>
      <c r="L401" s="277"/>
      <c r="M401" s="277"/>
      <c r="N401" s="277"/>
      <c r="O401" s="277"/>
      <c r="P401" s="277">
        <v>58229838</v>
      </c>
      <c r="Q401" s="277"/>
      <c r="R401" s="281">
        <f t="shared" si="653"/>
        <v>58229838</v>
      </c>
      <c r="S401" s="277"/>
      <c r="T401" s="277"/>
      <c r="U401" s="277"/>
      <c r="V401" s="277"/>
      <c r="W401" s="277"/>
      <c r="X401" s="277"/>
      <c r="Y401" s="277"/>
      <c r="Z401" s="277"/>
      <c r="AA401" s="281">
        <f t="shared" si="663"/>
        <v>0</v>
      </c>
      <c r="AB401" s="403">
        <f t="shared" si="655"/>
        <v>58229838</v>
      </c>
      <c r="AC401" s="326">
        <f t="shared" si="673"/>
        <v>1</v>
      </c>
    </row>
    <row r="402" spans="1:29" ht="25.5" hidden="1" x14ac:dyDescent="0.2">
      <c r="A402" s="424"/>
      <c r="B402" s="323" t="s">
        <v>1304</v>
      </c>
      <c r="C402" s="206" t="s">
        <v>1305</v>
      </c>
      <c r="D402" s="277"/>
      <c r="E402" s="325">
        <f>SUM('ADICIONES  2021'!C402:N402)</f>
        <v>444246350.97000003</v>
      </c>
      <c r="F402" s="277"/>
      <c r="G402" s="277"/>
      <c r="H402" s="277"/>
      <c r="I402" s="277"/>
      <c r="J402" s="277"/>
      <c r="K402" s="281">
        <f t="shared" si="650"/>
        <v>444246350.97000003</v>
      </c>
      <c r="L402" s="277"/>
      <c r="M402" s="277"/>
      <c r="N402" s="277"/>
      <c r="O402" s="277"/>
      <c r="P402" s="277">
        <v>444246350.97000003</v>
      </c>
      <c r="Q402" s="277"/>
      <c r="R402" s="281">
        <f t="shared" si="653"/>
        <v>444246350.97000003</v>
      </c>
      <c r="S402" s="277"/>
      <c r="T402" s="277"/>
      <c r="U402" s="277"/>
      <c r="V402" s="277"/>
      <c r="W402" s="277"/>
      <c r="X402" s="277"/>
      <c r="Y402" s="277"/>
      <c r="Z402" s="277"/>
      <c r="AA402" s="281">
        <f t="shared" si="663"/>
        <v>0</v>
      </c>
      <c r="AB402" s="403">
        <f t="shared" si="655"/>
        <v>444246350.97000003</v>
      </c>
      <c r="AC402" s="326">
        <f t="shared" si="673"/>
        <v>1</v>
      </c>
    </row>
    <row r="403" spans="1:29" ht="14.25" hidden="1" x14ac:dyDescent="0.2">
      <c r="A403" s="424"/>
      <c r="B403" s="323" t="s">
        <v>1306</v>
      </c>
      <c r="C403" s="206" t="s">
        <v>1307</v>
      </c>
      <c r="D403" s="277"/>
      <c r="E403" s="325">
        <f>SUM('ADICIONES  2021'!C403:N403)</f>
        <v>32415997.789999999</v>
      </c>
      <c r="F403" s="277"/>
      <c r="G403" s="277"/>
      <c r="H403" s="277"/>
      <c r="I403" s="277"/>
      <c r="J403" s="277"/>
      <c r="K403" s="281">
        <f t="shared" si="650"/>
        <v>32415997.789999999</v>
      </c>
      <c r="L403" s="277"/>
      <c r="M403" s="277"/>
      <c r="N403" s="277"/>
      <c r="O403" s="277"/>
      <c r="P403" s="277">
        <v>32415997.789999999</v>
      </c>
      <c r="Q403" s="277"/>
      <c r="R403" s="281">
        <f t="shared" si="653"/>
        <v>32415997.789999999</v>
      </c>
      <c r="S403" s="277"/>
      <c r="T403" s="277"/>
      <c r="U403" s="277"/>
      <c r="V403" s="277"/>
      <c r="W403" s="277"/>
      <c r="X403" s="277"/>
      <c r="Y403" s="277"/>
      <c r="Z403" s="277"/>
      <c r="AA403" s="281">
        <f t="shared" si="663"/>
        <v>0</v>
      </c>
      <c r="AB403" s="403">
        <f t="shared" si="655"/>
        <v>32415997.789999999</v>
      </c>
      <c r="AC403" s="326">
        <f t="shared" si="673"/>
        <v>1</v>
      </c>
    </row>
    <row r="404" spans="1:29" ht="14.25" hidden="1" x14ac:dyDescent="0.2">
      <c r="A404" s="424"/>
      <c r="B404" s="323" t="s">
        <v>1308</v>
      </c>
      <c r="C404" s="206" t="s">
        <v>1309</v>
      </c>
      <c r="D404" s="277"/>
      <c r="E404" s="325">
        <f>SUM('ADICIONES  2021'!C404:N404)</f>
        <v>44617201.549999997</v>
      </c>
      <c r="F404" s="277"/>
      <c r="G404" s="277"/>
      <c r="H404" s="277"/>
      <c r="I404" s="277"/>
      <c r="J404" s="277"/>
      <c r="K404" s="281">
        <f t="shared" si="650"/>
        <v>44617201.549999997</v>
      </c>
      <c r="L404" s="277"/>
      <c r="M404" s="277"/>
      <c r="N404" s="277"/>
      <c r="O404" s="277"/>
      <c r="P404" s="277">
        <v>44617201.549999997</v>
      </c>
      <c r="Q404" s="277"/>
      <c r="R404" s="281">
        <f t="shared" si="653"/>
        <v>44617201.549999997</v>
      </c>
      <c r="S404" s="277"/>
      <c r="T404" s="277"/>
      <c r="U404" s="277"/>
      <c r="V404" s="277"/>
      <c r="W404" s="277"/>
      <c r="X404" s="277"/>
      <c r="Y404" s="277"/>
      <c r="Z404" s="277"/>
      <c r="AA404" s="281">
        <f t="shared" si="663"/>
        <v>0</v>
      </c>
      <c r="AB404" s="403">
        <f t="shared" si="655"/>
        <v>44617201.549999997</v>
      </c>
      <c r="AC404" s="326">
        <f t="shared" si="673"/>
        <v>1</v>
      </c>
    </row>
    <row r="405" spans="1:29" ht="25.5" hidden="1" x14ac:dyDescent="0.2">
      <c r="A405" s="424"/>
      <c r="B405" s="323" t="s">
        <v>1310</v>
      </c>
      <c r="C405" s="206" t="s">
        <v>1311</v>
      </c>
      <c r="D405" s="277"/>
      <c r="E405" s="325">
        <f>SUM('ADICIONES  2021'!C405:N405)</f>
        <v>36269653.659999996</v>
      </c>
      <c r="F405" s="277"/>
      <c r="G405" s="277"/>
      <c r="H405" s="277"/>
      <c r="I405" s="277"/>
      <c r="J405" s="277"/>
      <c r="K405" s="281">
        <f t="shared" si="650"/>
        <v>36269653.659999996</v>
      </c>
      <c r="L405" s="277"/>
      <c r="M405" s="277"/>
      <c r="N405" s="277"/>
      <c r="O405" s="277"/>
      <c r="P405" s="277">
        <v>36269653.659999996</v>
      </c>
      <c r="Q405" s="277"/>
      <c r="R405" s="281">
        <f t="shared" si="653"/>
        <v>36269653.659999996</v>
      </c>
      <c r="S405" s="277"/>
      <c r="T405" s="277"/>
      <c r="U405" s="277"/>
      <c r="V405" s="277"/>
      <c r="W405" s="277"/>
      <c r="X405" s="277"/>
      <c r="Y405" s="277"/>
      <c r="Z405" s="277"/>
      <c r="AA405" s="281">
        <f t="shared" si="663"/>
        <v>0</v>
      </c>
      <c r="AB405" s="403">
        <f t="shared" si="655"/>
        <v>36269653.659999996</v>
      </c>
      <c r="AC405" s="326">
        <f t="shared" si="673"/>
        <v>1</v>
      </c>
    </row>
    <row r="406" spans="1:29" ht="25.5" hidden="1" x14ac:dyDescent="0.2">
      <c r="A406" s="424"/>
      <c r="B406" s="323" t="s">
        <v>1312</v>
      </c>
      <c r="C406" s="206" t="s">
        <v>1313</v>
      </c>
      <c r="D406" s="277"/>
      <c r="E406" s="325">
        <f>SUM('ADICIONES  2021'!C406:N406)</f>
        <v>14895643.09</v>
      </c>
      <c r="F406" s="277"/>
      <c r="G406" s="277"/>
      <c r="H406" s="277"/>
      <c r="I406" s="277"/>
      <c r="J406" s="277"/>
      <c r="K406" s="281">
        <f t="shared" si="650"/>
        <v>14895643.09</v>
      </c>
      <c r="L406" s="277"/>
      <c r="M406" s="277"/>
      <c r="N406" s="277"/>
      <c r="O406" s="277"/>
      <c r="P406" s="277">
        <v>14895643.09</v>
      </c>
      <c r="Q406" s="277"/>
      <c r="R406" s="281">
        <f t="shared" si="653"/>
        <v>14895643.09</v>
      </c>
      <c r="S406" s="277"/>
      <c r="T406" s="277"/>
      <c r="U406" s="277"/>
      <c r="V406" s="277"/>
      <c r="W406" s="277"/>
      <c r="X406" s="277"/>
      <c r="Y406" s="277"/>
      <c r="Z406" s="277"/>
      <c r="AA406" s="281">
        <f t="shared" si="663"/>
        <v>0</v>
      </c>
      <c r="AB406" s="403">
        <f t="shared" si="655"/>
        <v>14895643.09</v>
      </c>
      <c r="AC406" s="326">
        <f t="shared" si="673"/>
        <v>1</v>
      </c>
    </row>
    <row r="407" spans="1:29" ht="25.5" hidden="1" x14ac:dyDescent="0.2">
      <c r="A407" s="424"/>
      <c r="B407" s="323" t="s">
        <v>1312</v>
      </c>
      <c r="C407" s="206" t="s">
        <v>1313</v>
      </c>
      <c r="D407" s="277"/>
      <c r="E407" s="325">
        <f>SUM('ADICIONES  2021'!C407:N407)</f>
        <v>3105.03</v>
      </c>
      <c r="F407" s="277"/>
      <c r="G407" s="277"/>
      <c r="H407" s="277"/>
      <c r="I407" s="277"/>
      <c r="J407" s="277"/>
      <c r="K407" s="281">
        <f t="shared" si="650"/>
        <v>3105.03</v>
      </c>
      <c r="L407" s="277"/>
      <c r="M407" s="277"/>
      <c r="N407" s="277"/>
      <c r="O407" s="277"/>
      <c r="P407" s="277"/>
      <c r="Q407" s="277"/>
      <c r="R407" s="281">
        <f t="shared" ref="R407:R410" si="676">SUM(L407:Q407)</f>
        <v>0</v>
      </c>
      <c r="S407" s="277"/>
      <c r="T407" s="277"/>
      <c r="U407" s="277"/>
      <c r="V407" s="277"/>
      <c r="W407" s="277">
        <v>3105.03</v>
      </c>
      <c r="X407" s="277"/>
      <c r="Y407" s="277"/>
      <c r="Z407" s="277"/>
      <c r="AA407" s="281">
        <f t="shared" si="663"/>
        <v>3105.03</v>
      </c>
      <c r="AB407" s="403">
        <f t="shared" si="655"/>
        <v>3105.03</v>
      </c>
      <c r="AC407" s="326">
        <f t="shared" si="673"/>
        <v>1</v>
      </c>
    </row>
    <row r="408" spans="1:29" ht="25.5" hidden="1" x14ac:dyDescent="0.2">
      <c r="A408" s="424"/>
      <c r="B408" s="323" t="s">
        <v>1314</v>
      </c>
      <c r="C408" s="206" t="s">
        <v>1315</v>
      </c>
      <c r="D408" s="277"/>
      <c r="E408" s="325">
        <f>SUM('ADICIONES  2021'!C408:N408)</f>
        <v>25901939.120000001</v>
      </c>
      <c r="F408" s="277"/>
      <c r="G408" s="277"/>
      <c r="H408" s="277"/>
      <c r="I408" s="277"/>
      <c r="J408" s="277"/>
      <c r="K408" s="281">
        <f t="shared" si="650"/>
        <v>25901939.120000001</v>
      </c>
      <c r="L408" s="277"/>
      <c r="M408" s="277"/>
      <c r="N408" s="277"/>
      <c r="O408" s="277"/>
      <c r="P408" s="277">
        <v>25901939.120000001</v>
      </c>
      <c r="Q408" s="277"/>
      <c r="R408" s="281">
        <f t="shared" si="676"/>
        <v>25901939.120000001</v>
      </c>
      <c r="S408" s="277"/>
      <c r="T408" s="277"/>
      <c r="U408" s="277">
        <v>60752</v>
      </c>
      <c r="V408" s="277"/>
      <c r="W408" s="277"/>
      <c r="X408" s="277">
        <v>-60752</v>
      </c>
      <c r="Y408" s="277"/>
      <c r="Z408" s="277"/>
      <c r="AA408" s="281">
        <f t="shared" si="663"/>
        <v>0</v>
      </c>
      <c r="AB408" s="403">
        <f t="shared" si="655"/>
        <v>25901939.120000001</v>
      </c>
      <c r="AC408" s="326">
        <f t="shared" si="673"/>
        <v>1</v>
      </c>
    </row>
    <row r="409" spans="1:29" ht="25.5" hidden="1" x14ac:dyDescent="0.2">
      <c r="A409" s="424"/>
      <c r="B409" s="323" t="s">
        <v>1314</v>
      </c>
      <c r="C409" s="206" t="s">
        <v>1315</v>
      </c>
      <c r="D409" s="277"/>
      <c r="E409" s="325">
        <f>SUM('ADICIONES  2021'!C409:N409)</f>
        <v>1253.08</v>
      </c>
      <c r="F409" s="277"/>
      <c r="G409" s="277"/>
      <c r="H409" s="277"/>
      <c r="I409" s="277"/>
      <c r="J409" s="277"/>
      <c r="K409" s="281">
        <f t="shared" si="650"/>
        <v>1253.08</v>
      </c>
      <c r="L409" s="277"/>
      <c r="M409" s="277"/>
      <c r="N409" s="277"/>
      <c r="O409" s="277"/>
      <c r="P409" s="277"/>
      <c r="Q409" s="277"/>
      <c r="R409" s="281">
        <f t="shared" si="676"/>
        <v>0</v>
      </c>
      <c r="S409" s="277"/>
      <c r="T409" s="277"/>
      <c r="U409" s="277"/>
      <c r="V409" s="277"/>
      <c r="W409" s="277">
        <v>1253.08</v>
      </c>
      <c r="X409" s="277"/>
      <c r="Y409" s="277"/>
      <c r="Z409" s="277"/>
      <c r="AA409" s="281">
        <f t="shared" si="663"/>
        <v>1253.08</v>
      </c>
      <c r="AB409" s="403">
        <f t="shared" si="655"/>
        <v>1253.08</v>
      </c>
      <c r="AC409" s="326">
        <f t="shared" si="673"/>
        <v>1</v>
      </c>
    </row>
    <row r="410" spans="1:29" ht="25.5" hidden="1" x14ac:dyDescent="0.2">
      <c r="A410" s="424"/>
      <c r="B410" s="323" t="s">
        <v>1316</v>
      </c>
      <c r="C410" s="206" t="s">
        <v>1317</v>
      </c>
      <c r="D410" s="277"/>
      <c r="E410" s="325">
        <f>SUM('ADICIONES  2021'!C410:N410)</f>
        <v>18769435.469999999</v>
      </c>
      <c r="F410" s="277"/>
      <c r="G410" s="277"/>
      <c r="H410" s="277"/>
      <c r="I410" s="277"/>
      <c r="J410" s="277"/>
      <c r="K410" s="281">
        <f t="shared" si="650"/>
        <v>18769435.469999999</v>
      </c>
      <c r="L410" s="277"/>
      <c r="M410" s="277"/>
      <c r="N410" s="277"/>
      <c r="O410" s="277"/>
      <c r="P410" s="277">
        <v>18769435.469999999</v>
      </c>
      <c r="Q410" s="277"/>
      <c r="R410" s="281">
        <f t="shared" si="676"/>
        <v>18769435.469999999</v>
      </c>
      <c r="S410" s="277"/>
      <c r="T410" s="277"/>
      <c r="U410" s="277"/>
      <c r="V410" s="277"/>
      <c r="W410" s="277"/>
      <c r="X410" s="277"/>
      <c r="Y410" s="277"/>
      <c r="Z410" s="277"/>
      <c r="AA410" s="281">
        <f t="shared" si="663"/>
        <v>0</v>
      </c>
      <c r="AB410" s="403">
        <f t="shared" si="655"/>
        <v>18769435.469999999</v>
      </c>
      <c r="AC410" s="326">
        <f t="shared" si="673"/>
        <v>1</v>
      </c>
    </row>
    <row r="411" spans="1:29" ht="25.5" hidden="1" x14ac:dyDescent="0.2">
      <c r="A411" s="424"/>
      <c r="B411" s="323" t="s">
        <v>1852</v>
      </c>
      <c r="C411" s="206" t="s">
        <v>1853</v>
      </c>
      <c r="D411" s="277"/>
      <c r="E411" s="325">
        <f>SUM('ADICIONES  2021'!C411:N411)</f>
        <v>86303116</v>
      </c>
      <c r="F411" s="277"/>
      <c r="G411" s="277"/>
      <c r="H411" s="277"/>
      <c r="I411" s="277"/>
      <c r="J411" s="277"/>
      <c r="K411" s="281">
        <f t="shared" si="650"/>
        <v>86303116</v>
      </c>
      <c r="L411" s="277"/>
      <c r="M411" s="277"/>
      <c r="N411" s="277"/>
      <c r="O411" s="277"/>
      <c r="P411" s="277"/>
      <c r="Q411" s="277"/>
      <c r="R411" s="281">
        <f t="shared" si="653"/>
        <v>0</v>
      </c>
      <c r="S411" s="277"/>
      <c r="T411" s="277">
        <v>86303116</v>
      </c>
      <c r="U411" s="277"/>
      <c r="V411" s="277"/>
      <c r="W411" s="277"/>
      <c r="X411" s="277"/>
      <c r="Y411" s="277"/>
      <c r="Z411" s="277"/>
      <c r="AA411" s="281">
        <f t="shared" si="663"/>
        <v>86303116</v>
      </c>
      <c r="AB411" s="403">
        <f t="shared" si="655"/>
        <v>86303116</v>
      </c>
      <c r="AC411" s="326">
        <f t="shared" si="673"/>
        <v>1</v>
      </c>
    </row>
    <row r="412" spans="1:29" ht="25.5" hidden="1" x14ac:dyDescent="0.2">
      <c r="A412" s="424"/>
      <c r="B412" s="323" t="s">
        <v>1854</v>
      </c>
      <c r="C412" s="206" t="s">
        <v>1855</v>
      </c>
      <c r="D412" s="277"/>
      <c r="E412" s="325">
        <f>SUM('ADICIONES  2021'!C412:N412)</f>
        <v>7562</v>
      </c>
      <c r="F412" s="277"/>
      <c r="G412" s="277"/>
      <c r="H412" s="277"/>
      <c r="I412" s="277"/>
      <c r="J412" s="277"/>
      <c r="K412" s="281">
        <f t="shared" si="650"/>
        <v>7562</v>
      </c>
      <c r="L412" s="277"/>
      <c r="M412" s="277"/>
      <c r="N412" s="277"/>
      <c r="O412" s="277"/>
      <c r="P412" s="277"/>
      <c r="Q412" s="277"/>
      <c r="R412" s="281">
        <f t="shared" si="653"/>
        <v>0</v>
      </c>
      <c r="S412" s="277"/>
      <c r="T412" s="277"/>
      <c r="U412" s="277"/>
      <c r="V412" s="277"/>
      <c r="W412" s="277">
        <v>7562</v>
      </c>
      <c r="X412" s="277"/>
      <c r="Y412" s="277"/>
      <c r="Z412" s="277"/>
      <c r="AA412" s="281">
        <f t="shared" ref="AA412:AA414" si="677">SUM(S412:Z412)</f>
        <v>7562</v>
      </c>
      <c r="AB412" s="403">
        <f t="shared" si="655"/>
        <v>7562</v>
      </c>
      <c r="AC412" s="326">
        <f t="shared" si="673"/>
        <v>1</v>
      </c>
    </row>
    <row r="413" spans="1:29" ht="25.5" hidden="1" x14ac:dyDescent="0.2">
      <c r="A413" s="424"/>
      <c r="B413" s="323" t="s">
        <v>1856</v>
      </c>
      <c r="C413" s="206" t="s">
        <v>1857</v>
      </c>
      <c r="D413" s="277"/>
      <c r="E413" s="325">
        <f>SUM('ADICIONES  2021'!C413:N413)</f>
        <v>70534.259999999995</v>
      </c>
      <c r="F413" s="277"/>
      <c r="G413" s="277"/>
      <c r="H413" s="277"/>
      <c r="I413" s="277"/>
      <c r="J413" s="277"/>
      <c r="K413" s="281">
        <f t="shared" si="650"/>
        <v>70534.259999999995</v>
      </c>
      <c r="L413" s="277"/>
      <c r="M413" s="277"/>
      <c r="N413" s="277"/>
      <c r="O413" s="277"/>
      <c r="P413" s="277"/>
      <c r="Q413" s="277"/>
      <c r="R413" s="281">
        <f t="shared" si="653"/>
        <v>0</v>
      </c>
      <c r="S413" s="277"/>
      <c r="T413" s="277"/>
      <c r="U413" s="277"/>
      <c r="V413" s="277"/>
      <c r="W413" s="277">
        <v>70534.259999999995</v>
      </c>
      <c r="X413" s="277"/>
      <c r="Y413" s="277"/>
      <c r="Z413" s="277"/>
      <c r="AA413" s="281">
        <f t="shared" si="677"/>
        <v>70534.259999999995</v>
      </c>
      <c r="AB413" s="403">
        <f t="shared" si="655"/>
        <v>70534.259999999995</v>
      </c>
      <c r="AC413" s="326">
        <f t="shared" si="673"/>
        <v>1</v>
      </c>
    </row>
    <row r="414" spans="1:29" ht="25.5" hidden="1" x14ac:dyDescent="0.2">
      <c r="A414" s="424"/>
      <c r="B414" s="323" t="s">
        <v>1856</v>
      </c>
      <c r="C414" s="206" t="s">
        <v>1857</v>
      </c>
      <c r="D414" s="277"/>
      <c r="E414" s="325">
        <f>SUM('ADICIONES  2021'!C414:N414)</f>
        <v>0</v>
      </c>
      <c r="F414" s="277"/>
      <c r="G414" s="277"/>
      <c r="H414" s="277"/>
      <c r="I414" s="277"/>
      <c r="J414" s="277"/>
      <c r="K414" s="281">
        <f t="shared" si="650"/>
        <v>0</v>
      </c>
      <c r="L414" s="277"/>
      <c r="M414" s="277"/>
      <c r="N414" s="277"/>
      <c r="O414" s="277"/>
      <c r="P414" s="277"/>
      <c r="Q414" s="277"/>
      <c r="R414" s="281">
        <f t="shared" si="653"/>
        <v>0</v>
      </c>
      <c r="S414" s="277"/>
      <c r="T414" s="277"/>
      <c r="U414" s="277"/>
      <c r="V414" s="277"/>
      <c r="W414" s="277"/>
      <c r="X414" s="277"/>
      <c r="Y414" s="277"/>
      <c r="Z414" s="277"/>
      <c r="AA414" s="281">
        <f t="shared" si="677"/>
        <v>0</v>
      </c>
      <c r="AB414" s="403">
        <f t="shared" si="655"/>
        <v>0</v>
      </c>
      <c r="AC414" s="326" t="e">
        <f t="shared" si="673"/>
        <v>#DIV/0!</v>
      </c>
    </row>
    <row r="415" spans="1:29" ht="14.25" hidden="1" x14ac:dyDescent="0.2">
      <c r="A415" s="424"/>
      <c r="B415" s="318" t="s">
        <v>1178</v>
      </c>
      <c r="C415" s="319" t="s">
        <v>1179</v>
      </c>
      <c r="D415" s="276">
        <f>SUM(D416:D418)</f>
        <v>0</v>
      </c>
      <c r="E415" s="322">
        <f>SUM('ADICIONES  2021'!C415:N415)</f>
        <v>43768114096.309998</v>
      </c>
      <c r="F415" s="276">
        <f t="shared" ref="F415:J415" si="678">SUM(F416:F418)</f>
        <v>0</v>
      </c>
      <c r="G415" s="276">
        <f t="shared" si="678"/>
        <v>0</v>
      </c>
      <c r="H415" s="276">
        <f t="shared" si="678"/>
        <v>3129206267</v>
      </c>
      <c r="I415" s="276">
        <f t="shared" si="678"/>
        <v>0</v>
      </c>
      <c r="J415" s="276">
        <f t="shared" si="678"/>
        <v>0</v>
      </c>
      <c r="K415" s="276">
        <f t="shared" si="650"/>
        <v>40638907829.309998</v>
      </c>
      <c r="L415" s="276">
        <f t="shared" ref="L415:Q415" si="679">SUM(L416:L418)</f>
        <v>0</v>
      </c>
      <c r="M415" s="276">
        <f t="shared" si="679"/>
        <v>0</v>
      </c>
      <c r="N415" s="276">
        <f t="shared" si="679"/>
        <v>0</v>
      </c>
      <c r="O415" s="276">
        <f t="shared" si="679"/>
        <v>0</v>
      </c>
      <c r="P415" s="276">
        <f t="shared" si="679"/>
        <v>41585805014.779999</v>
      </c>
      <c r="Q415" s="276">
        <f t="shared" si="679"/>
        <v>0</v>
      </c>
      <c r="R415" s="276">
        <f t="shared" si="653"/>
        <v>41585805014.779999</v>
      </c>
      <c r="S415" s="276">
        <f t="shared" ref="S415:Y415" si="680">SUM(S416:S418)</f>
        <v>0</v>
      </c>
      <c r="T415" s="276">
        <f t="shared" si="680"/>
        <v>1101210837</v>
      </c>
      <c r="U415" s="276">
        <f t="shared" si="680"/>
        <v>0</v>
      </c>
      <c r="V415" s="276">
        <f t="shared" si="680"/>
        <v>0</v>
      </c>
      <c r="W415" s="276">
        <f t="shared" si="680"/>
        <v>-2048108022.47</v>
      </c>
      <c r="X415" s="276">
        <f t="shared" si="680"/>
        <v>0</v>
      </c>
      <c r="Y415" s="276">
        <f t="shared" si="680"/>
        <v>0</v>
      </c>
      <c r="Z415" s="276">
        <f>SUM(Z416:Z418)</f>
        <v>0</v>
      </c>
      <c r="AA415" s="276">
        <f t="shared" si="663"/>
        <v>-946897185.47000003</v>
      </c>
      <c r="AB415" s="402">
        <f t="shared" si="655"/>
        <v>40638907829.309998</v>
      </c>
      <c r="AC415" s="321">
        <f t="shared" si="673"/>
        <v>1</v>
      </c>
    </row>
    <row r="416" spans="1:29" ht="14.25" hidden="1" x14ac:dyDescent="0.2">
      <c r="A416" s="424"/>
      <c r="B416" s="323" t="s">
        <v>1180</v>
      </c>
      <c r="C416" s="206" t="s">
        <v>1179</v>
      </c>
      <c r="D416" s="276"/>
      <c r="E416" s="325">
        <f>SUM('ADICIONES  2021'!C416:N416)</f>
        <v>41585805014.779999</v>
      </c>
      <c r="F416" s="276"/>
      <c r="G416" s="276"/>
      <c r="H416" s="281">
        <f>2742000000+58000000</f>
        <v>2800000000</v>
      </c>
      <c r="I416" s="276"/>
      <c r="J416" s="276"/>
      <c r="K416" s="281">
        <f t="shared" si="650"/>
        <v>38785805014.779999</v>
      </c>
      <c r="L416" s="276"/>
      <c r="M416" s="276"/>
      <c r="N416" s="276"/>
      <c r="O416" s="276"/>
      <c r="P416" s="281">
        <v>41585805014.779999</v>
      </c>
      <c r="Q416" s="276"/>
      <c r="R416" s="281">
        <f t="shared" si="653"/>
        <v>41585805014.779999</v>
      </c>
      <c r="S416" s="276"/>
      <c r="T416" s="276">
        <v>0</v>
      </c>
      <c r="U416" s="276"/>
      <c r="V416" s="276"/>
      <c r="W416" s="403">
        <v>-2800000000</v>
      </c>
      <c r="X416" s="276"/>
      <c r="Y416" s="276"/>
      <c r="Z416" s="276"/>
      <c r="AA416" s="281">
        <f t="shared" ref="AA416" si="681">SUM(S416:Z416)</f>
        <v>-2800000000</v>
      </c>
      <c r="AB416" s="403">
        <f t="shared" si="655"/>
        <v>38785805014.779999</v>
      </c>
      <c r="AC416" s="326">
        <f t="shared" si="673"/>
        <v>1</v>
      </c>
    </row>
    <row r="417" spans="1:29" ht="14.25" hidden="1" x14ac:dyDescent="0.2">
      <c r="A417" s="424"/>
      <c r="B417" s="323" t="s">
        <v>1180</v>
      </c>
      <c r="C417" s="206" t="s">
        <v>1179</v>
      </c>
      <c r="D417" s="277"/>
      <c r="E417" s="325">
        <f>SUM('ADICIONES  2021'!C417:N417)</f>
        <v>1101210837</v>
      </c>
      <c r="F417" s="277"/>
      <c r="G417" s="277"/>
      <c r="H417" s="277">
        <v>329206267</v>
      </c>
      <c r="I417" s="277"/>
      <c r="J417" s="277"/>
      <c r="K417" s="281">
        <f t="shared" si="650"/>
        <v>772004570</v>
      </c>
      <c r="L417" s="277"/>
      <c r="M417" s="277"/>
      <c r="N417" s="277"/>
      <c r="O417" s="277"/>
      <c r="P417" s="277">
        <v>0</v>
      </c>
      <c r="Q417" s="277"/>
      <c r="R417" s="281">
        <f t="shared" si="653"/>
        <v>0</v>
      </c>
      <c r="S417" s="277"/>
      <c r="T417" s="277">
        <v>1101210837</v>
      </c>
      <c r="U417" s="277"/>
      <c r="V417" s="277"/>
      <c r="W417" s="403">
        <v>-329206267</v>
      </c>
      <c r="X417" s="277"/>
      <c r="Y417" s="277"/>
      <c r="Z417" s="277"/>
      <c r="AA417" s="281">
        <f t="shared" si="663"/>
        <v>772004570</v>
      </c>
      <c r="AB417" s="403">
        <f t="shared" si="655"/>
        <v>772004570</v>
      </c>
      <c r="AC417" s="326">
        <f t="shared" si="673"/>
        <v>1</v>
      </c>
    </row>
    <row r="418" spans="1:29" ht="14.25" hidden="1" x14ac:dyDescent="0.2">
      <c r="A418" s="424"/>
      <c r="B418" s="323" t="s">
        <v>1180</v>
      </c>
      <c r="C418" s="206" t="s">
        <v>1179</v>
      </c>
      <c r="D418" s="277"/>
      <c r="E418" s="325">
        <f>SUM('ADICIONES  2021'!C418:N418)</f>
        <v>1081098244.53</v>
      </c>
      <c r="F418" s="277"/>
      <c r="G418" s="277"/>
      <c r="H418" s="277"/>
      <c r="I418" s="277"/>
      <c r="J418" s="277"/>
      <c r="K418" s="281">
        <f t="shared" si="650"/>
        <v>1081098244.53</v>
      </c>
      <c r="L418" s="277"/>
      <c r="M418" s="277"/>
      <c r="N418" s="277"/>
      <c r="O418" s="277"/>
      <c r="P418" s="277"/>
      <c r="Q418" s="277"/>
      <c r="R418" s="281">
        <f t="shared" ref="R418" si="682">SUM(L418:Q418)</f>
        <v>0</v>
      </c>
      <c r="S418" s="277"/>
      <c r="T418" s="277"/>
      <c r="U418" s="277"/>
      <c r="V418" s="277"/>
      <c r="W418" s="277">
        <v>1081098244.53</v>
      </c>
      <c r="X418" s="277"/>
      <c r="Y418" s="277"/>
      <c r="Z418" s="277"/>
      <c r="AA418" s="281">
        <f t="shared" si="663"/>
        <v>1081098244.53</v>
      </c>
      <c r="AB418" s="403">
        <f t="shared" si="655"/>
        <v>1081098244.53</v>
      </c>
      <c r="AC418" s="326">
        <f t="shared" si="673"/>
        <v>1</v>
      </c>
    </row>
    <row r="419" spans="1:29" ht="14.25" hidden="1" x14ac:dyDescent="0.2">
      <c r="A419" s="424"/>
      <c r="B419" s="318" t="s">
        <v>1181</v>
      </c>
      <c r="C419" s="319" t="s">
        <v>1182</v>
      </c>
      <c r="D419" s="276">
        <f>SUM(D420:D422)</f>
        <v>0</v>
      </c>
      <c r="E419" s="322">
        <f>SUM('ADICIONES  2021'!C419:N419)</f>
        <v>2882880852.6799998</v>
      </c>
      <c r="F419" s="276">
        <f t="shared" ref="F419:J419" si="683">SUM(F420:F422)</f>
        <v>0</v>
      </c>
      <c r="G419" s="276">
        <f t="shared" si="683"/>
        <v>0</v>
      </c>
      <c r="H419" s="276">
        <f t="shared" si="683"/>
        <v>0</v>
      </c>
      <c r="I419" s="276">
        <f t="shared" si="683"/>
        <v>0</v>
      </c>
      <c r="J419" s="276">
        <f t="shared" si="683"/>
        <v>0</v>
      </c>
      <c r="K419" s="276">
        <f t="shared" si="650"/>
        <v>2882880852.6799998</v>
      </c>
      <c r="L419" s="276">
        <f t="shared" ref="L419:Q419" si="684">SUM(L420:L422)</f>
        <v>0</v>
      </c>
      <c r="M419" s="276">
        <f t="shared" si="684"/>
        <v>0</v>
      </c>
      <c r="N419" s="276">
        <f t="shared" si="684"/>
        <v>0</v>
      </c>
      <c r="O419" s="276">
        <f t="shared" si="684"/>
        <v>0</v>
      </c>
      <c r="P419" s="276">
        <f t="shared" si="684"/>
        <v>997499585.67999995</v>
      </c>
      <c r="Q419" s="276">
        <f t="shared" si="684"/>
        <v>0</v>
      </c>
      <c r="R419" s="276">
        <f t="shared" si="653"/>
        <v>997499585.67999995</v>
      </c>
      <c r="S419" s="276">
        <f t="shared" ref="S419:Z419" si="685">SUM(S420:S422)</f>
        <v>0</v>
      </c>
      <c r="T419" s="276">
        <f t="shared" si="685"/>
        <v>1716442500</v>
      </c>
      <c r="U419" s="276">
        <f t="shared" si="685"/>
        <v>0</v>
      </c>
      <c r="V419" s="276">
        <f t="shared" si="685"/>
        <v>0</v>
      </c>
      <c r="W419" s="276">
        <f t="shared" si="685"/>
        <v>168938767</v>
      </c>
      <c r="X419" s="276">
        <f t="shared" si="685"/>
        <v>0</v>
      </c>
      <c r="Y419" s="276">
        <f t="shared" si="685"/>
        <v>0</v>
      </c>
      <c r="Z419" s="276">
        <f t="shared" si="685"/>
        <v>0</v>
      </c>
      <c r="AA419" s="276">
        <f t="shared" si="663"/>
        <v>1885381267</v>
      </c>
      <c r="AB419" s="402">
        <f t="shared" si="655"/>
        <v>2882880852.6799998</v>
      </c>
      <c r="AC419" s="321">
        <f t="shared" si="673"/>
        <v>1</v>
      </c>
    </row>
    <row r="420" spans="1:29" ht="14.25" hidden="1" x14ac:dyDescent="0.2">
      <c r="A420" s="424"/>
      <c r="B420" s="323" t="s">
        <v>1183</v>
      </c>
      <c r="C420" s="206" t="s">
        <v>1182</v>
      </c>
      <c r="D420" s="281"/>
      <c r="E420" s="325">
        <f>SUM('ADICIONES  2021'!C420:N420)</f>
        <v>997499585.67999995</v>
      </c>
      <c r="F420" s="281"/>
      <c r="G420" s="281"/>
      <c r="H420" s="281"/>
      <c r="I420" s="281"/>
      <c r="J420" s="281"/>
      <c r="K420" s="281">
        <f t="shared" si="650"/>
        <v>997499585.67999995</v>
      </c>
      <c r="L420" s="281"/>
      <c r="M420" s="281"/>
      <c r="N420" s="281"/>
      <c r="O420" s="281"/>
      <c r="P420" s="281">
        <v>997499585.67999995</v>
      </c>
      <c r="Q420" s="281"/>
      <c r="R420" s="281">
        <f t="shared" si="653"/>
        <v>997499585.67999995</v>
      </c>
      <c r="S420" s="281"/>
      <c r="T420" s="281">
        <v>0</v>
      </c>
      <c r="U420" s="281"/>
      <c r="V420" s="281"/>
      <c r="W420" s="281">
        <v>0</v>
      </c>
      <c r="X420" s="281"/>
      <c r="Y420" s="281"/>
      <c r="Z420" s="281"/>
      <c r="AA420" s="281">
        <f t="shared" ref="AA420" si="686">SUM(S420:Z420)</f>
        <v>0</v>
      </c>
      <c r="AB420" s="403">
        <f t="shared" si="655"/>
        <v>997499585.67999995</v>
      </c>
      <c r="AC420" s="326">
        <f t="shared" si="673"/>
        <v>1</v>
      </c>
    </row>
    <row r="421" spans="1:29" ht="14.25" hidden="1" x14ac:dyDescent="0.2">
      <c r="A421" s="424"/>
      <c r="B421" s="323" t="s">
        <v>1183</v>
      </c>
      <c r="C421" s="206" t="s">
        <v>1182</v>
      </c>
      <c r="D421" s="277"/>
      <c r="E421" s="325">
        <f>SUM('ADICIONES  2021'!C421:N421)</f>
        <v>1716442500</v>
      </c>
      <c r="F421" s="277"/>
      <c r="G421" s="277"/>
      <c r="H421" s="277"/>
      <c r="I421" s="277"/>
      <c r="J421" s="277"/>
      <c r="K421" s="281">
        <f t="shared" si="650"/>
        <v>1716442500</v>
      </c>
      <c r="L421" s="277"/>
      <c r="M421" s="277"/>
      <c r="N421" s="277"/>
      <c r="O421" s="277"/>
      <c r="P421" s="277">
        <v>0</v>
      </c>
      <c r="Q421" s="277"/>
      <c r="R421" s="281">
        <f t="shared" si="653"/>
        <v>0</v>
      </c>
      <c r="S421" s="277"/>
      <c r="T421" s="277">
        <v>1716442500</v>
      </c>
      <c r="U421" s="277"/>
      <c r="V421" s="277"/>
      <c r="W421" s="277">
        <v>0</v>
      </c>
      <c r="X421" s="277"/>
      <c r="Y421" s="277"/>
      <c r="Z421" s="277"/>
      <c r="AA421" s="281">
        <f t="shared" si="663"/>
        <v>1716442500</v>
      </c>
      <c r="AB421" s="403">
        <f t="shared" si="655"/>
        <v>1716442500</v>
      </c>
      <c r="AC421" s="326">
        <f t="shared" si="673"/>
        <v>1</v>
      </c>
    </row>
    <row r="422" spans="1:29" ht="14.25" hidden="1" x14ac:dyDescent="0.2">
      <c r="A422" s="424"/>
      <c r="B422" s="323" t="s">
        <v>1183</v>
      </c>
      <c r="C422" s="206" t="s">
        <v>1182</v>
      </c>
      <c r="D422" s="277"/>
      <c r="E422" s="325">
        <f>SUM('ADICIONES  2021'!C422:N422)</f>
        <v>168938767</v>
      </c>
      <c r="F422" s="277"/>
      <c r="G422" s="277"/>
      <c r="H422" s="277"/>
      <c r="I422" s="277"/>
      <c r="J422" s="277"/>
      <c r="K422" s="281">
        <f t="shared" si="650"/>
        <v>168938767</v>
      </c>
      <c r="L422" s="277"/>
      <c r="M422" s="277"/>
      <c r="N422" s="277"/>
      <c r="O422" s="277"/>
      <c r="P422" s="277"/>
      <c r="Q422" s="277"/>
      <c r="R422" s="281">
        <f t="shared" ref="R422" si="687">SUM(L422:Q422)</f>
        <v>0</v>
      </c>
      <c r="S422" s="277"/>
      <c r="T422" s="277"/>
      <c r="U422" s="277"/>
      <c r="V422" s="277"/>
      <c r="W422" s="277">
        <v>168938767</v>
      </c>
      <c r="X422" s="277"/>
      <c r="Y422" s="277"/>
      <c r="Z422" s="277"/>
      <c r="AA422" s="281">
        <f t="shared" si="663"/>
        <v>168938767</v>
      </c>
      <c r="AB422" s="403">
        <f t="shared" si="655"/>
        <v>168938767</v>
      </c>
      <c r="AC422" s="326">
        <f t="shared" si="673"/>
        <v>1</v>
      </c>
    </row>
    <row r="423" spans="1:29" ht="25.5" hidden="1" x14ac:dyDescent="0.2">
      <c r="A423" s="424"/>
      <c r="B423" s="318" t="s">
        <v>1184</v>
      </c>
      <c r="C423" s="319" t="s">
        <v>1185</v>
      </c>
      <c r="D423" s="285">
        <f>SUM(D424:D431)</f>
        <v>0</v>
      </c>
      <c r="E423" s="322">
        <f>SUM('ADICIONES  2021'!C423:N423)</f>
        <v>10008858404.349998</v>
      </c>
      <c r="F423" s="285">
        <f t="shared" ref="F423:J423" si="688">SUM(F424:F431)</f>
        <v>0</v>
      </c>
      <c r="G423" s="285">
        <f t="shared" si="688"/>
        <v>0</v>
      </c>
      <c r="H423" s="285">
        <f t="shared" si="688"/>
        <v>0</v>
      </c>
      <c r="I423" s="285">
        <f t="shared" si="688"/>
        <v>0</v>
      </c>
      <c r="J423" s="285">
        <f t="shared" si="688"/>
        <v>0</v>
      </c>
      <c r="K423" s="276">
        <f t="shared" si="650"/>
        <v>10008858404.349998</v>
      </c>
      <c r="L423" s="285">
        <f t="shared" ref="L423:Q423" si="689">SUM(L424:L431)</f>
        <v>0</v>
      </c>
      <c r="M423" s="285">
        <f t="shared" si="689"/>
        <v>0</v>
      </c>
      <c r="N423" s="285">
        <f t="shared" si="689"/>
        <v>0</v>
      </c>
      <c r="O423" s="285">
        <f t="shared" si="689"/>
        <v>0</v>
      </c>
      <c r="P423" s="285">
        <f t="shared" si="689"/>
        <v>7293701458.1300001</v>
      </c>
      <c r="Q423" s="285">
        <f t="shared" si="689"/>
        <v>0</v>
      </c>
      <c r="R423" s="276">
        <f t="shared" si="653"/>
        <v>7293701458.1300001</v>
      </c>
      <c r="S423" s="285">
        <f>SUM(S424:S431)</f>
        <v>0</v>
      </c>
      <c r="T423" s="285">
        <f>SUM(T424:T431)</f>
        <v>2715154060.6700001</v>
      </c>
      <c r="U423" s="285">
        <f t="shared" ref="U423:Z423" si="690">SUM(U424:U431)</f>
        <v>0</v>
      </c>
      <c r="V423" s="285">
        <f t="shared" si="690"/>
        <v>0</v>
      </c>
      <c r="W423" s="285">
        <f t="shared" si="690"/>
        <v>2885.55</v>
      </c>
      <c r="X423" s="285">
        <f t="shared" si="690"/>
        <v>0</v>
      </c>
      <c r="Y423" s="285">
        <f t="shared" si="690"/>
        <v>0</v>
      </c>
      <c r="Z423" s="285">
        <f t="shared" si="690"/>
        <v>0</v>
      </c>
      <c r="AA423" s="276">
        <f t="shared" si="663"/>
        <v>2715156946.2200003</v>
      </c>
      <c r="AB423" s="402">
        <f t="shared" si="655"/>
        <v>10008858404.35</v>
      </c>
      <c r="AC423" s="321">
        <f t="shared" si="673"/>
        <v>1.0000000000000002</v>
      </c>
    </row>
    <row r="424" spans="1:29" ht="25.5" hidden="1" x14ac:dyDescent="0.2">
      <c r="A424" s="424"/>
      <c r="B424" s="323" t="s">
        <v>1186</v>
      </c>
      <c r="C424" s="206" t="s">
        <v>1187</v>
      </c>
      <c r="D424" s="277"/>
      <c r="E424" s="325">
        <f>SUM('ADICIONES  2021'!C424:N424)</f>
        <v>627750443.66999996</v>
      </c>
      <c r="F424" s="277"/>
      <c r="G424" s="277"/>
      <c r="H424" s="277"/>
      <c r="I424" s="277"/>
      <c r="J424" s="277"/>
      <c r="K424" s="281">
        <f t="shared" si="650"/>
        <v>627750443.66999996</v>
      </c>
      <c r="L424" s="277"/>
      <c r="M424" s="277"/>
      <c r="N424" s="277"/>
      <c r="O424" s="277"/>
      <c r="P424" s="277">
        <v>0</v>
      </c>
      <c r="Q424" s="277"/>
      <c r="R424" s="281">
        <f t="shared" si="653"/>
        <v>0</v>
      </c>
      <c r="S424" s="277"/>
      <c r="T424" s="277">
        <v>627750443.66999996</v>
      </c>
      <c r="U424" s="277"/>
      <c r="V424" s="277"/>
      <c r="W424" s="277"/>
      <c r="X424" s="277"/>
      <c r="Y424" s="277"/>
      <c r="Z424" s="277"/>
      <c r="AA424" s="281">
        <f t="shared" si="663"/>
        <v>627750443.66999996</v>
      </c>
      <c r="AB424" s="403">
        <f t="shared" si="655"/>
        <v>627750443.66999996</v>
      </c>
      <c r="AC424" s="326">
        <f t="shared" si="673"/>
        <v>1</v>
      </c>
    </row>
    <row r="425" spans="1:29" ht="25.5" hidden="1" x14ac:dyDescent="0.2">
      <c r="A425" s="424"/>
      <c r="B425" s="323" t="s">
        <v>1188</v>
      </c>
      <c r="C425" s="206" t="s">
        <v>1189</v>
      </c>
      <c r="D425" s="277"/>
      <c r="E425" s="325">
        <f>SUM('ADICIONES  2021'!C425:N425)</f>
        <v>373443000</v>
      </c>
      <c r="F425" s="277"/>
      <c r="G425" s="277"/>
      <c r="H425" s="277"/>
      <c r="I425" s="277"/>
      <c r="J425" s="277"/>
      <c r="K425" s="281">
        <f t="shared" si="650"/>
        <v>373443000</v>
      </c>
      <c r="L425" s="277"/>
      <c r="M425" s="277"/>
      <c r="N425" s="277"/>
      <c r="O425" s="277"/>
      <c r="P425" s="277">
        <v>0</v>
      </c>
      <c r="Q425" s="277"/>
      <c r="R425" s="281">
        <f t="shared" si="653"/>
        <v>0</v>
      </c>
      <c r="S425" s="277"/>
      <c r="T425" s="277">
        <v>373443000</v>
      </c>
      <c r="U425" s="277"/>
      <c r="V425" s="277"/>
      <c r="W425" s="277"/>
      <c r="X425" s="277"/>
      <c r="Y425" s="277"/>
      <c r="Z425" s="277"/>
      <c r="AA425" s="281">
        <f t="shared" si="663"/>
        <v>373443000</v>
      </c>
      <c r="AB425" s="403">
        <f t="shared" si="655"/>
        <v>373443000</v>
      </c>
      <c r="AC425" s="326">
        <f t="shared" si="673"/>
        <v>1</v>
      </c>
    </row>
    <row r="426" spans="1:29" ht="25.5" hidden="1" x14ac:dyDescent="0.2">
      <c r="A426" s="424"/>
      <c r="B426" s="323" t="s">
        <v>1188</v>
      </c>
      <c r="C426" s="206" t="s">
        <v>1189</v>
      </c>
      <c r="D426" s="277"/>
      <c r="E426" s="325">
        <f>SUM('ADICIONES  2021'!C426:N426)</f>
        <v>2885.55</v>
      </c>
      <c r="F426" s="277"/>
      <c r="G426" s="277"/>
      <c r="H426" s="277"/>
      <c r="I426" s="277"/>
      <c r="J426" s="277"/>
      <c r="K426" s="281">
        <f t="shared" si="650"/>
        <v>2885.55</v>
      </c>
      <c r="L426" s="277"/>
      <c r="M426" s="277"/>
      <c r="N426" s="277"/>
      <c r="O426" s="277"/>
      <c r="P426" s="277"/>
      <c r="Q426" s="277"/>
      <c r="R426" s="281">
        <f t="shared" si="653"/>
        <v>0</v>
      </c>
      <c r="S426" s="277"/>
      <c r="T426" s="277"/>
      <c r="U426" s="277"/>
      <c r="V426" s="277"/>
      <c r="W426" s="277">
        <v>2885.55</v>
      </c>
      <c r="X426" s="277"/>
      <c r="Y426" s="277"/>
      <c r="Z426" s="277"/>
      <c r="AA426" s="281">
        <f t="shared" ref="AA426" si="691">SUM(S426:Z426)</f>
        <v>2885.55</v>
      </c>
      <c r="AB426" s="403">
        <f t="shared" si="655"/>
        <v>2885.55</v>
      </c>
      <c r="AC426" s="326">
        <f t="shared" si="673"/>
        <v>1</v>
      </c>
    </row>
    <row r="427" spans="1:29" ht="25.5" hidden="1" x14ac:dyDescent="0.2">
      <c r="A427" s="424"/>
      <c r="B427" s="323" t="s">
        <v>1190</v>
      </c>
      <c r="C427" s="206" t="s">
        <v>1191</v>
      </c>
      <c r="D427" s="277"/>
      <c r="E427" s="325">
        <f>SUM('ADICIONES  2021'!C427:N427)</f>
        <v>626557000</v>
      </c>
      <c r="F427" s="277"/>
      <c r="G427" s="277"/>
      <c r="H427" s="277"/>
      <c r="I427" s="277"/>
      <c r="J427" s="277"/>
      <c r="K427" s="281">
        <f t="shared" si="650"/>
        <v>626557000</v>
      </c>
      <c r="L427" s="277"/>
      <c r="M427" s="277"/>
      <c r="N427" s="277"/>
      <c r="O427" s="277"/>
      <c r="P427" s="277">
        <v>0</v>
      </c>
      <c r="Q427" s="277"/>
      <c r="R427" s="281">
        <f t="shared" si="653"/>
        <v>0</v>
      </c>
      <c r="S427" s="277"/>
      <c r="T427" s="277">
        <v>626557000</v>
      </c>
      <c r="U427" s="277"/>
      <c r="V427" s="277"/>
      <c r="W427" s="277"/>
      <c r="X427" s="277"/>
      <c r="Y427" s="277"/>
      <c r="Z427" s="277"/>
      <c r="AA427" s="281">
        <f t="shared" si="663"/>
        <v>626557000</v>
      </c>
      <c r="AB427" s="403">
        <f t="shared" si="655"/>
        <v>626557000</v>
      </c>
      <c r="AC427" s="326">
        <f t="shared" si="673"/>
        <v>1</v>
      </c>
    </row>
    <row r="428" spans="1:29" ht="25.5" hidden="1" x14ac:dyDescent="0.2">
      <c r="A428" s="424"/>
      <c r="B428" s="323" t="s">
        <v>1192</v>
      </c>
      <c r="C428" s="206" t="s">
        <v>1193</v>
      </c>
      <c r="D428" s="277"/>
      <c r="E428" s="325">
        <f>SUM('ADICIONES  2021'!C428:N428)</f>
        <v>322809000</v>
      </c>
      <c r="F428" s="277"/>
      <c r="G428" s="277"/>
      <c r="H428" s="277"/>
      <c r="I428" s="277"/>
      <c r="J428" s="277"/>
      <c r="K428" s="281">
        <f t="shared" si="650"/>
        <v>322809000</v>
      </c>
      <c r="L428" s="277"/>
      <c r="M428" s="277"/>
      <c r="N428" s="277"/>
      <c r="O428" s="277"/>
      <c r="P428" s="277">
        <v>0</v>
      </c>
      <c r="Q428" s="277"/>
      <c r="R428" s="281">
        <f t="shared" si="653"/>
        <v>0</v>
      </c>
      <c r="S428" s="277"/>
      <c r="T428" s="277">
        <v>322809000</v>
      </c>
      <c r="U428" s="277"/>
      <c r="V428" s="277"/>
      <c r="W428" s="277"/>
      <c r="X428" s="277"/>
      <c r="Y428" s="277"/>
      <c r="Z428" s="277"/>
      <c r="AA428" s="281">
        <f t="shared" si="663"/>
        <v>322809000</v>
      </c>
      <c r="AB428" s="403">
        <f t="shared" si="655"/>
        <v>322809000</v>
      </c>
      <c r="AC428" s="326">
        <f t="shared" si="673"/>
        <v>1</v>
      </c>
    </row>
    <row r="429" spans="1:29" ht="25.5" hidden="1" x14ac:dyDescent="0.2">
      <c r="A429" s="424"/>
      <c r="B429" s="323" t="s">
        <v>1194</v>
      </c>
      <c r="C429" s="206" t="s">
        <v>1195</v>
      </c>
      <c r="D429" s="277"/>
      <c r="E429" s="325">
        <f>SUM('ADICIONES  2021'!C429:N429)</f>
        <v>270394617</v>
      </c>
      <c r="F429" s="277"/>
      <c r="G429" s="277"/>
      <c r="H429" s="277"/>
      <c r="I429" s="277"/>
      <c r="J429" s="277"/>
      <c r="K429" s="281">
        <f t="shared" si="650"/>
        <v>270394617</v>
      </c>
      <c r="L429" s="277"/>
      <c r="M429" s="277"/>
      <c r="N429" s="277"/>
      <c r="O429" s="277"/>
      <c r="P429" s="277">
        <v>0</v>
      </c>
      <c r="Q429" s="277"/>
      <c r="R429" s="281">
        <f t="shared" si="653"/>
        <v>0</v>
      </c>
      <c r="S429" s="277"/>
      <c r="T429" s="277">
        <v>270394617</v>
      </c>
      <c r="U429" s="277"/>
      <c r="V429" s="277"/>
      <c r="W429" s="277"/>
      <c r="X429" s="277"/>
      <c r="Y429" s="277"/>
      <c r="Z429" s="277"/>
      <c r="AA429" s="281">
        <f t="shared" si="663"/>
        <v>270394617</v>
      </c>
      <c r="AB429" s="403">
        <f t="shared" si="655"/>
        <v>270394617</v>
      </c>
      <c r="AC429" s="326">
        <f t="shared" si="673"/>
        <v>1</v>
      </c>
    </row>
    <row r="430" spans="1:29" ht="25.5" hidden="1" x14ac:dyDescent="0.2">
      <c r="A430" s="424"/>
      <c r="B430" s="323" t="s">
        <v>1196</v>
      </c>
      <c r="C430" s="206" t="s">
        <v>1197</v>
      </c>
      <c r="D430" s="277"/>
      <c r="E430" s="325">
        <f>SUM('ADICIONES  2021'!C430:N430)</f>
        <v>494200000</v>
      </c>
      <c r="F430" s="277"/>
      <c r="G430" s="277"/>
      <c r="H430" s="277"/>
      <c r="I430" s="277"/>
      <c r="J430" s="277"/>
      <c r="K430" s="281">
        <f t="shared" si="650"/>
        <v>494200000</v>
      </c>
      <c r="L430" s="277"/>
      <c r="M430" s="277"/>
      <c r="N430" s="277"/>
      <c r="O430" s="277"/>
      <c r="P430" s="277">
        <v>0</v>
      </c>
      <c r="Q430" s="277"/>
      <c r="R430" s="281">
        <f t="shared" si="653"/>
        <v>0</v>
      </c>
      <c r="S430" s="277"/>
      <c r="T430" s="277">
        <v>494200000</v>
      </c>
      <c r="U430" s="277"/>
      <c r="V430" s="277"/>
      <c r="W430" s="277"/>
      <c r="X430" s="277"/>
      <c r="Y430" s="277"/>
      <c r="Z430" s="277"/>
      <c r="AA430" s="281">
        <f t="shared" si="663"/>
        <v>494200000</v>
      </c>
      <c r="AB430" s="403">
        <f t="shared" si="655"/>
        <v>494200000</v>
      </c>
      <c r="AC430" s="326">
        <f t="shared" si="673"/>
        <v>1</v>
      </c>
    </row>
    <row r="431" spans="1:29" ht="14.25" hidden="1" x14ac:dyDescent="0.2">
      <c r="A431" s="424"/>
      <c r="B431" s="323" t="s">
        <v>1318</v>
      </c>
      <c r="C431" s="206" t="s">
        <v>1319</v>
      </c>
      <c r="D431" s="277"/>
      <c r="E431" s="325">
        <f>SUM('ADICIONES  2021'!C431:N431)</f>
        <v>7293701458.1300001</v>
      </c>
      <c r="F431" s="277"/>
      <c r="G431" s="277"/>
      <c r="H431" s="277"/>
      <c r="I431" s="277"/>
      <c r="J431" s="277"/>
      <c r="K431" s="281">
        <f t="shared" si="650"/>
        <v>7293701458.1300001</v>
      </c>
      <c r="L431" s="277"/>
      <c r="M431" s="277"/>
      <c r="N431" s="277"/>
      <c r="O431" s="277"/>
      <c r="P431" s="277">
        <v>7293701458.1300001</v>
      </c>
      <c r="Q431" s="277"/>
      <c r="R431" s="281">
        <f t="shared" si="653"/>
        <v>7293701458.1300001</v>
      </c>
      <c r="S431" s="277"/>
      <c r="T431" s="277">
        <v>0</v>
      </c>
      <c r="U431" s="277"/>
      <c r="V431" s="277"/>
      <c r="W431" s="277"/>
      <c r="X431" s="277"/>
      <c r="Y431" s="277"/>
      <c r="Z431" s="277"/>
      <c r="AA431" s="281">
        <f t="shared" ref="AA431" si="692">SUM(S431:Z431)</f>
        <v>0</v>
      </c>
      <c r="AB431" s="403">
        <f t="shared" si="655"/>
        <v>7293701458.1300001</v>
      </c>
      <c r="AC431" s="326">
        <f t="shared" si="673"/>
        <v>1</v>
      </c>
    </row>
    <row r="432" spans="1:29" hidden="1" x14ac:dyDescent="0.2">
      <c r="A432" s="424"/>
      <c r="B432" s="318" t="s">
        <v>1198</v>
      </c>
      <c r="C432" s="319" t="s">
        <v>1199</v>
      </c>
      <c r="D432" s="285">
        <f>SUM(D433:D472)</f>
        <v>0</v>
      </c>
      <c r="E432" s="322">
        <f>SUM('ADICIONES  2021'!C432:N432)</f>
        <v>16378541905.35</v>
      </c>
      <c r="F432" s="285">
        <f>SUM(F433:F472)</f>
        <v>0</v>
      </c>
      <c r="G432" s="285">
        <f>SUM(G433:G472)</f>
        <v>0</v>
      </c>
      <c r="H432" s="285">
        <f>SUM(H433:H472)</f>
        <v>0</v>
      </c>
      <c r="I432" s="285">
        <f>SUM(I433:I472)</f>
        <v>0</v>
      </c>
      <c r="J432" s="285">
        <f>SUM(J433:J472)</f>
        <v>0</v>
      </c>
      <c r="K432" s="276">
        <f t="shared" si="650"/>
        <v>16378541905.35</v>
      </c>
      <c r="L432" s="285">
        <f t="shared" ref="L432:Q432" si="693">SUM(L433:L472)</f>
        <v>0</v>
      </c>
      <c r="M432" s="285">
        <f t="shared" si="693"/>
        <v>0</v>
      </c>
      <c r="N432" s="285">
        <f t="shared" si="693"/>
        <v>0</v>
      </c>
      <c r="O432" s="285">
        <f t="shared" si="693"/>
        <v>0</v>
      </c>
      <c r="P432" s="285">
        <f t="shared" si="693"/>
        <v>3212038162.3699999</v>
      </c>
      <c r="Q432" s="285">
        <f t="shared" si="693"/>
        <v>0.01</v>
      </c>
      <c r="R432" s="276">
        <f t="shared" si="653"/>
        <v>3212038162.3800001</v>
      </c>
      <c r="S432" s="285">
        <f t="shared" ref="S432:Z432" si="694">SUM(S433:S472)</f>
        <v>0</v>
      </c>
      <c r="T432" s="285">
        <f t="shared" si="694"/>
        <v>0</v>
      </c>
      <c r="U432" s="285">
        <f t="shared" si="694"/>
        <v>0</v>
      </c>
      <c r="V432" s="285">
        <f t="shared" si="694"/>
        <v>0</v>
      </c>
      <c r="W432" s="285">
        <f t="shared" si="694"/>
        <v>0</v>
      </c>
      <c r="X432" s="285">
        <f t="shared" si="694"/>
        <v>-476599217.54999995</v>
      </c>
      <c r="Y432" s="285">
        <f t="shared" si="694"/>
        <v>0</v>
      </c>
      <c r="Z432" s="285">
        <f t="shared" si="694"/>
        <v>0</v>
      </c>
      <c r="AA432" s="276">
        <f t="shared" si="663"/>
        <v>-476599217.54999995</v>
      </c>
      <c r="AB432" s="402">
        <f t="shared" si="655"/>
        <v>2735438944.8299999</v>
      </c>
      <c r="AC432" s="321">
        <f t="shared" si="673"/>
        <v>0.16701358158973095</v>
      </c>
    </row>
    <row r="433" spans="1:29" ht="25.5" hidden="1" x14ac:dyDescent="0.2">
      <c r="A433" s="424"/>
      <c r="B433" s="323" t="s">
        <v>1200</v>
      </c>
      <c r="C433" s="206" t="s">
        <v>1201</v>
      </c>
      <c r="D433" s="277"/>
      <c r="E433" s="325">
        <f>SUM('ADICIONES  2021'!C433:N433)</f>
        <v>13381639410.690001</v>
      </c>
      <c r="F433" s="277"/>
      <c r="G433" s="277"/>
      <c r="H433" s="277"/>
      <c r="I433" s="277"/>
      <c r="J433" s="277"/>
      <c r="K433" s="281">
        <f t="shared" si="650"/>
        <v>13381639410.690001</v>
      </c>
      <c r="L433" s="277"/>
      <c r="M433" s="277"/>
      <c r="N433" s="277"/>
      <c r="O433" s="277"/>
      <c r="P433" s="277">
        <v>0</v>
      </c>
      <c r="Q433" s="277"/>
      <c r="R433" s="281">
        <f t="shared" si="653"/>
        <v>0</v>
      </c>
      <c r="S433" s="277"/>
      <c r="T433" s="277"/>
      <c r="U433" s="277"/>
      <c r="V433" s="277"/>
      <c r="W433" s="277"/>
      <c r="X433" s="277"/>
      <c r="Y433" s="277"/>
      <c r="Z433" s="277"/>
      <c r="AA433" s="281">
        <f t="shared" si="663"/>
        <v>0</v>
      </c>
      <c r="AB433" s="403">
        <f t="shared" si="655"/>
        <v>0</v>
      </c>
      <c r="AC433" s="326">
        <f t="shared" si="673"/>
        <v>0</v>
      </c>
    </row>
    <row r="434" spans="1:29" ht="51" hidden="1" x14ac:dyDescent="0.2">
      <c r="A434" s="424"/>
      <c r="B434" s="323" t="s">
        <v>1320</v>
      </c>
      <c r="C434" s="206" t="s">
        <v>1321</v>
      </c>
      <c r="D434" s="277"/>
      <c r="E434" s="325">
        <f>SUM('ADICIONES  2021'!C434:N434)</f>
        <v>33000646.48</v>
      </c>
      <c r="F434" s="277"/>
      <c r="G434" s="277"/>
      <c r="H434" s="277"/>
      <c r="I434" s="277"/>
      <c r="J434" s="277"/>
      <c r="K434" s="281">
        <f t="shared" si="650"/>
        <v>33000646.48</v>
      </c>
      <c r="L434" s="277"/>
      <c r="M434" s="277"/>
      <c r="N434" s="277"/>
      <c r="O434" s="277"/>
      <c r="P434" s="277">
        <v>0</v>
      </c>
      <c r="Q434" s="277"/>
      <c r="R434" s="281">
        <f t="shared" si="653"/>
        <v>0</v>
      </c>
      <c r="S434" s="277"/>
      <c r="T434" s="277"/>
      <c r="U434" s="277"/>
      <c r="V434" s="277"/>
      <c r="W434" s="277"/>
      <c r="X434" s="277"/>
      <c r="Y434" s="277"/>
      <c r="Z434" s="277"/>
      <c r="AA434" s="281">
        <f t="shared" ref="AA434:AA498" si="695">SUM(S434:Z434)</f>
        <v>0</v>
      </c>
      <c r="AB434" s="403">
        <f t="shared" si="655"/>
        <v>0</v>
      </c>
      <c r="AC434" s="326">
        <f t="shared" si="673"/>
        <v>0</v>
      </c>
    </row>
    <row r="435" spans="1:29" ht="25.5" hidden="1" x14ac:dyDescent="0.2">
      <c r="A435" s="424"/>
      <c r="B435" s="323" t="s">
        <v>1322</v>
      </c>
      <c r="C435" s="206" t="s">
        <v>1323</v>
      </c>
      <c r="D435" s="277"/>
      <c r="E435" s="325">
        <f>SUM('ADICIONES  2021'!C435:N435)</f>
        <v>58614890.990000002</v>
      </c>
      <c r="F435" s="277"/>
      <c r="G435" s="277"/>
      <c r="H435" s="277"/>
      <c r="I435" s="277"/>
      <c r="J435" s="277"/>
      <c r="K435" s="281">
        <f t="shared" si="650"/>
        <v>58614890.990000002</v>
      </c>
      <c r="L435" s="277"/>
      <c r="M435" s="277"/>
      <c r="N435" s="277"/>
      <c r="O435" s="277"/>
      <c r="P435" s="277">
        <v>641385109</v>
      </c>
      <c r="Q435" s="277">
        <v>0.01</v>
      </c>
      <c r="R435" s="281">
        <f t="shared" si="653"/>
        <v>641385109.00999999</v>
      </c>
      <c r="S435" s="277"/>
      <c r="T435" s="277"/>
      <c r="U435" s="277"/>
      <c r="V435" s="277"/>
      <c r="W435" s="277"/>
      <c r="X435" s="277">
        <v>-582770218.01999998</v>
      </c>
      <c r="Y435" s="277"/>
      <c r="Z435" s="277"/>
      <c r="AA435" s="281">
        <f t="shared" si="695"/>
        <v>-582770218.01999998</v>
      </c>
      <c r="AB435" s="403">
        <f t="shared" si="655"/>
        <v>58614890.99000001</v>
      </c>
      <c r="AC435" s="326">
        <f t="shared" si="673"/>
        <v>1.0000000000000002</v>
      </c>
    </row>
    <row r="436" spans="1:29" ht="25.5" hidden="1" x14ac:dyDescent="0.2">
      <c r="A436" s="424"/>
      <c r="B436" s="323" t="s">
        <v>1324</v>
      </c>
      <c r="C436" s="206" t="s">
        <v>1325</v>
      </c>
      <c r="D436" s="277"/>
      <c r="E436" s="325">
        <f>SUM('ADICIONES  2021'!C436:N436)</f>
        <v>904400</v>
      </c>
      <c r="F436" s="277"/>
      <c r="G436" s="277"/>
      <c r="H436" s="277"/>
      <c r="I436" s="277"/>
      <c r="J436" s="277"/>
      <c r="K436" s="281">
        <f t="shared" si="650"/>
        <v>904400</v>
      </c>
      <c r="L436" s="277"/>
      <c r="M436" s="277"/>
      <c r="N436" s="277"/>
      <c r="O436" s="277"/>
      <c r="P436" s="277">
        <v>904400</v>
      </c>
      <c r="Q436" s="277"/>
      <c r="R436" s="281">
        <f t="shared" si="653"/>
        <v>904400</v>
      </c>
      <c r="S436" s="277"/>
      <c r="T436" s="277"/>
      <c r="U436" s="277"/>
      <c r="V436" s="277"/>
      <c r="W436" s="277"/>
      <c r="X436" s="277"/>
      <c r="Y436" s="277"/>
      <c r="Z436" s="277"/>
      <c r="AA436" s="281">
        <f t="shared" si="695"/>
        <v>0</v>
      </c>
      <c r="AB436" s="403">
        <f t="shared" si="655"/>
        <v>904400</v>
      </c>
      <c r="AC436" s="326">
        <f t="shared" si="673"/>
        <v>1</v>
      </c>
    </row>
    <row r="437" spans="1:29" ht="51" hidden="1" x14ac:dyDescent="0.2">
      <c r="A437" s="424"/>
      <c r="B437" s="323" t="s">
        <v>1326</v>
      </c>
      <c r="C437" s="206" t="s">
        <v>1327</v>
      </c>
      <c r="D437" s="277"/>
      <c r="E437" s="325">
        <f>SUM('ADICIONES  2021'!C437:N437)</f>
        <v>61823651.520000003</v>
      </c>
      <c r="F437" s="277"/>
      <c r="G437" s="277"/>
      <c r="H437" s="277"/>
      <c r="I437" s="277"/>
      <c r="J437" s="277"/>
      <c r="K437" s="281">
        <f t="shared" si="650"/>
        <v>61823651.520000003</v>
      </c>
      <c r="L437" s="277"/>
      <c r="M437" s="277"/>
      <c r="N437" s="277"/>
      <c r="O437" s="277"/>
      <c r="P437" s="277">
        <v>61823651.520000003</v>
      </c>
      <c r="Q437" s="277"/>
      <c r="R437" s="281">
        <f t="shared" si="653"/>
        <v>61823651.520000003</v>
      </c>
      <c r="S437" s="277"/>
      <c r="T437" s="277"/>
      <c r="U437" s="277"/>
      <c r="V437" s="277"/>
      <c r="W437" s="277"/>
      <c r="X437" s="277"/>
      <c r="Y437" s="277"/>
      <c r="Z437" s="277"/>
      <c r="AA437" s="281">
        <f t="shared" si="695"/>
        <v>0</v>
      </c>
      <c r="AB437" s="403">
        <f t="shared" si="655"/>
        <v>61823651.520000003</v>
      </c>
      <c r="AC437" s="326">
        <f t="shared" si="673"/>
        <v>1</v>
      </c>
    </row>
    <row r="438" spans="1:29" ht="51" hidden="1" x14ac:dyDescent="0.2">
      <c r="A438" s="424"/>
      <c r="B438" s="323" t="s">
        <v>1328</v>
      </c>
      <c r="C438" s="206" t="s">
        <v>1329</v>
      </c>
      <c r="D438" s="277"/>
      <c r="E438" s="325">
        <f>SUM('ADICIONES  2021'!C438:N438)</f>
        <v>30584154.91</v>
      </c>
      <c r="F438" s="277"/>
      <c r="G438" s="277"/>
      <c r="H438" s="277"/>
      <c r="I438" s="277"/>
      <c r="J438" s="277"/>
      <c r="K438" s="281">
        <f t="shared" si="650"/>
        <v>30584154.91</v>
      </c>
      <c r="L438" s="277"/>
      <c r="M438" s="277"/>
      <c r="N438" s="277"/>
      <c r="O438" s="277"/>
      <c r="P438" s="277">
        <v>30584154.91</v>
      </c>
      <c r="Q438" s="277"/>
      <c r="R438" s="281">
        <f t="shared" si="653"/>
        <v>30584154.91</v>
      </c>
      <c r="S438" s="277"/>
      <c r="T438" s="277"/>
      <c r="U438" s="277"/>
      <c r="V438" s="277"/>
      <c r="W438" s="277"/>
      <c r="X438" s="277"/>
      <c r="Y438" s="277"/>
      <c r="Z438" s="277"/>
      <c r="AA438" s="281">
        <f t="shared" si="695"/>
        <v>0</v>
      </c>
      <c r="AB438" s="403">
        <f t="shared" si="655"/>
        <v>30584154.91</v>
      </c>
      <c r="AC438" s="326">
        <f t="shared" si="673"/>
        <v>1</v>
      </c>
    </row>
    <row r="439" spans="1:29" ht="51" hidden="1" x14ac:dyDescent="0.2">
      <c r="A439" s="424"/>
      <c r="B439" s="323" t="s">
        <v>1330</v>
      </c>
      <c r="C439" s="206" t="s">
        <v>1331</v>
      </c>
      <c r="D439" s="277"/>
      <c r="E439" s="325">
        <f>SUM('ADICIONES  2021'!C439:N439)</f>
        <v>33558609</v>
      </c>
      <c r="F439" s="277"/>
      <c r="G439" s="277"/>
      <c r="H439" s="277"/>
      <c r="I439" s="277"/>
      <c r="J439" s="277"/>
      <c r="K439" s="281">
        <f t="shared" si="650"/>
        <v>33558609</v>
      </c>
      <c r="L439" s="277"/>
      <c r="M439" s="277"/>
      <c r="N439" s="277"/>
      <c r="O439" s="277"/>
      <c r="P439" s="277">
        <v>33558609</v>
      </c>
      <c r="Q439" s="277"/>
      <c r="R439" s="281">
        <f t="shared" si="653"/>
        <v>33558609</v>
      </c>
      <c r="S439" s="277"/>
      <c r="T439" s="277"/>
      <c r="U439" s="277"/>
      <c r="V439" s="277"/>
      <c r="W439" s="277"/>
      <c r="X439" s="277"/>
      <c r="Y439" s="277"/>
      <c r="Z439" s="277"/>
      <c r="AA439" s="281">
        <f t="shared" si="695"/>
        <v>0</v>
      </c>
      <c r="AB439" s="403">
        <f t="shared" si="655"/>
        <v>33558609</v>
      </c>
      <c r="AC439" s="326">
        <f t="shared" si="673"/>
        <v>1</v>
      </c>
    </row>
    <row r="440" spans="1:29" ht="51" hidden="1" x14ac:dyDescent="0.2">
      <c r="A440" s="424"/>
      <c r="B440" s="323" t="s">
        <v>1332</v>
      </c>
      <c r="C440" s="206" t="s">
        <v>1333</v>
      </c>
      <c r="D440" s="277"/>
      <c r="E440" s="325">
        <f>SUM('ADICIONES  2021'!C440:N440)</f>
        <v>22027527.539999999</v>
      </c>
      <c r="F440" s="277"/>
      <c r="G440" s="277"/>
      <c r="H440" s="277"/>
      <c r="I440" s="277"/>
      <c r="J440" s="277"/>
      <c r="K440" s="281">
        <f t="shared" si="650"/>
        <v>22027527.539999999</v>
      </c>
      <c r="L440" s="277"/>
      <c r="M440" s="277"/>
      <c r="N440" s="277"/>
      <c r="O440" s="277"/>
      <c r="P440" s="277">
        <v>22027527.539999999</v>
      </c>
      <c r="Q440" s="277"/>
      <c r="R440" s="281">
        <f t="shared" si="653"/>
        <v>22027527.539999999</v>
      </c>
      <c r="S440" s="277"/>
      <c r="T440" s="277"/>
      <c r="U440" s="277"/>
      <c r="V440" s="277"/>
      <c r="W440" s="277"/>
      <c r="X440" s="277"/>
      <c r="Y440" s="277"/>
      <c r="Z440" s="277"/>
      <c r="AA440" s="281">
        <f t="shared" si="695"/>
        <v>0</v>
      </c>
      <c r="AB440" s="403">
        <f t="shared" si="655"/>
        <v>22027527.539999999</v>
      </c>
      <c r="AC440" s="326">
        <f t="shared" si="673"/>
        <v>1</v>
      </c>
    </row>
    <row r="441" spans="1:29" ht="38.25" hidden="1" x14ac:dyDescent="0.2">
      <c r="A441" s="424"/>
      <c r="B441" s="323" t="s">
        <v>1334</v>
      </c>
      <c r="C441" s="206" t="s">
        <v>1335</v>
      </c>
      <c r="D441" s="277"/>
      <c r="E441" s="325">
        <f>SUM('ADICIONES  2021'!C441:N441)</f>
        <v>1000000</v>
      </c>
      <c r="F441" s="277"/>
      <c r="G441" s="277"/>
      <c r="H441" s="277"/>
      <c r="I441" s="277"/>
      <c r="J441" s="277"/>
      <c r="K441" s="281">
        <f t="shared" si="650"/>
        <v>1000000</v>
      </c>
      <c r="L441" s="277"/>
      <c r="M441" s="277"/>
      <c r="N441" s="277"/>
      <c r="O441" s="277"/>
      <c r="P441" s="277">
        <v>0</v>
      </c>
      <c r="Q441" s="277"/>
      <c r="R441" s="281">
        <f t="shared" si="653"/>
        <v>0</v>
      </c>
      <c r="S441" s="277"/>
      <c r="T441" s="277"/>
      <c r="U441" s="277"/>
      <c r="V441" s="277"/>
      <c r="W441" s="277"/>
      <c r="X441" s="277"/>
      <c r="Y441" s="277"/>
      <c r="Z441" s="277"/>
      <c r="AA441" s="281">
        <f t="shared" si="695"/>
        <v>0</v>
      </c>
      <c r="AB441" s="403">
        <f t="shared" si="655"/>
        <v>0</v>
      </c>
      <c r="AC441" s="326">
        <f t="shared" si="673"/>
        <v>0</v>
      </c>
    </row>
    <row r="442" spans="1:29" ht="25.5" hidden="1" x14ac:dyDescent="0.2">
      <c r="A442" s="424"/>
      <c r="B442" s="323" t="s">
        <v>1336</v>
      </c>
      <c r="C442" s="206" t="s">
        <v>1337</v>
      </c>
      <c r="D442" s="277"/>
      <c r="E442" s="325">
        <f>SUM('ADICIONES  2021'!C442:N442)</f>
        <v>39345</v>
      </c>
      <c r="F442" s="277"/>
      <c r="G442" s="277"/>
      <c r="H442" s="277"/>
      <c r="I442" s="277"/>
      <c r="J442" s="277"/>
      <c r="K442" s="281">
        <f t="shared" si="650"/>
        <v>39345</v>
      </c>
      <c r="L442" s="277"/>
      <c r="M442" s="277"/>
      <c r="N442" s="277"/>
      <c r="O442" s="277"/>
      <c r="P442" s="277">
        <v>0</v>
      </c>
      <c r="Q442" s="277"/>
      <c r="R442" s="281">
        <f t="shared" si="653"/>
        <v>0</v>
      </c>
      <c r="S442" s="277"/>
      <c r="T442" s="277"/>
      <c r="U442" s="277"/>
      <c r="V442" s="277"/>
      <c r="W442" s="277"/>
      <c r="X442" s="277"/>
      <c r="Y442" s="277"/>
      <c r="Z442" s="277"/>
      <c r="AA442" s="281">
        <f t="shared" si="695"/>
        <v>0</v>
      </c>
      <c r="AB442" s="403">
        <f t="shared" si="655"/>
        <v>0</v>
      </c>
      <c r="AC442" s="326">
        <f t="shared" si="673"/>
        <v>0</v>
      </c>
    </row>
    <row r="443" spans="1:29" ht="38.25" hidden="1" x14ac:dyDescent="0.2">
      <c r="A443" s="424"/>
      <c r="B443" s="323" t="s">
        <v>1338</v>
      </c>
      <c r="C443" s="206" t="s">
        <v>1339</v>
      </c>
      <c r="D443" s="277"/>
      <c r="E443" s="325">
        <f>SUM('ADICIONES  2021'!C443:N443)</f>
        <v>5000000</v>
      </c>
      <c r="F443" s="277"/>
      <c r="G443" s="277"/>
      <c r="H443" s="277"/>
      <c r="I443" s="277"/>
      <c r="J443" s="277"/>
      <c r="K443" s="281">
        <f t="shared" si="650"/>
        <v>5000000</v>
      </c>
      <c r="L443" s="277"/>
      <c r="M443" s="277"/>
      <c r="N443" s="277"/>
      <c r="O443" s="277"/>
      <c r="P443" s="277">
        <v>0</v>
      </c>
      <c r="Q443" s="277"/>
      <c r="R443" s="281">
        <f t="shared" si="653"/>
        <v>0</v>
      </c>
      <c r="S443" s="277"/>
      <c r="T443" s="277"/>
      <c r="U443" s="277"/>
      <c r="V443" s="277"/>
      <c r="W443" s="277"/>
      <c r="X443" s="277"/>
      <c r="Y443" s="277"/>
      <c r="Z443" s="277"/>
      <c r="AA443" s="281">
        <f t="shared" si="695"/>
        <v>0</v>
      </c>
      <c r="AB443" s="403">
        <f t="shared" si="655"/>
        <v>0</v>
      </c>
      <c r="AC443" s="326">
        <f t="shared" si="673"/>
        <v>0</v>
      </c>
    </row>
    <row r="444" spans="1:29" ht="38.25" hidden="1" x14ac:dyDescent="0.2">
      <c r="A444" s="424"/>
      <c r="B444" s="323" t="s">
        <v>1340</v>
      </c>
      <c r="C444" s="206" t="s">
        <v>1341</v>
      </c>
      <c r="D444" s="277"/>
      <c r="E444" s="325">
        <f>SUM('ADICIONES  2021'!C444:N444)</f>
        <v>73806183.269999996</v>
      </c>
      <c r="F444" s="277"/>
      <c r="G444" s="277"/>
      <c r="H444" s="277"/>
      <c r="I444" s="277"/>
      <c r="J444" s="277"/>
      <c r="K444" s="281">
        <f t="shared" si="650"/>
        <v>73806183.269999996</v>
      </c>
      <c r="L444" s="277"/>
      <c r="M444" s="277"/>
      <c r="N444" s="277"/>
      <c r="O444" s="277"/>
      <c r="P444" s="277">
        <v>73806183.269999996</v>
      </c>
      <c r="Q444" s="277"/>
      <c r="R444" s="281">
        <f t="shared" si="653"/>
        <v>73806183.269999996</v>
      </c>
      <c r="S444" s="277"/>
      <c r="T444" s="277"/>
      <c r="U444" s="277"/>
      <c r="V444" s="277"/>
      <c r="W444" s="277"/>
      <c r="X444" s="277"/>
      <c r="Y444" s="277"/>
      <c r="Z444" s="277"/>
      <c r="AA444" s="281">
        <f t="shared" si="695"/>
        <v>0</v>
      </c>
      <c r="AB444" s="403">
        <f t="shared" si="655"/>
        <v>73806183.269999996</v>
      </c>
      <c r="AC444" s="326">
        <f t="shared" si="673"/>
        <v>1</v>
      </c>
    </row>
    <row r="445" spans="1:29" ht="38.25" hidden="1" x14ac:dyDescent="0.2">
      <c r="A445" s="424"/>
      <c r="B445" s="323" t="s">
        <v>1342</v>
      </c>
      <c r="C445" s="206" t="s">
        <v>1343</v>
      </c>
      <c r="D445" s="277"/>
      <c r="E445" s="325">
        <f>SUM('ADICIONES  2021'!C445:N445)</f>
        <v>71598144.590000004</v>
      </c>
      <c r="F445" s="277"/>
      <c r="G445" s="277"/>
      <c r="H445" s="277"/>
      <c r="I445" s="277"/>
      <c r="J445" s="277"/>
      <c r="K445" s="281">
        <f t="shared" si="650"/>
        <v>71598144.590000004</v>
      </c>
      <c r="L445" s="277"/>
      <c r="M445" s="277"/>
      <c r="N445" s="277"/>
      <c r="O445" s="277"/>
      <c r="P445" s="277">
        <v>71598144.590000004</v>
      </c>
      <c r="Q445" s="277"/>
      <c r="R445" s="281">
        <f t="shared" si="653"/>
        <v>71598144.590000004</v>
      </c>
      <c r="S445" s="277"/>
      <c r="T445" s="277"/>
      <c r="U445" s="277"/>
      <c r="V445" s="277"/>
      <c r="W445" s="277"/>
      <c r="X445" s="277"/>
      <c r="Y445" s="277"/>
      <c r="Z445" s="277"/>
      <c r="AA445" s="281">
        <f t="shared" si="695"/>
        <v>0</v>
      </c>
      <c r="AB445" s="403">
        <f t="shared" si="655"/>
        <v>71598144.590000004</v>
      </c>
      <c r="AC445" s="326">
        <f t="shared" si="673"/>
        <v>1</v>
      </c>
    </row>
    <row r="446" spans="1:29" ht="38.25" hidden="1" x14ac:dyDescent="0.2">
      <c r="A446" s="424"/>
      <c r="B446" s="323" t="s">
        <v>1344</v>
      </c>
      <c r="C446" s="206" t="s">
        <v>1345</v>
      </c>
      <c r="D446" s="277"/>
      <c r="E446" s="325">
        <f>SUM('ADICIONES  2021'!C446:N446)</f>
        <v>189005952.12</v>
      </c>
      <c r="F446" s="277"/>
      <c r="G446" s="277"/>
      <c r="H446" s="277"/>
      <c r="I446" s="277"/>
      <c r="J446" s="277"/>
      <c r="K446" s="281">
        <f t="shared" si="650"/>
        <v>189005952.12</v>
      </c>
      <c r="L446" s="277"/>
      <c r="M446" s="277"/>
      <c r="N446" s="277"/>
      <c r="O446" s="277"/>
      <c r="P446" s="277">
        <v>189005952.12</v>
      </c>
      <c r="Q446" s="277"/>
      <c r="R446" s="281">
        <f t="shared" si="653"/>
        <v>189005952.12</v>
      </c>
      <c r="S446" s="277"/>
      <c r="T446" s="277"/>
      <c r="U446" s="277"/>
      <c r="V446" s="277"/>
      <c r="W446" s="277"/>
      <c r="X446" s="277"/>
      <c r="Y446" s="277"/>
      <c r="Z446" s="277"/>
      <c r="AA446" s="281">
        <f t="shared" si="695"/>
        <v>0</v>
      </c>
      <c r="AB446" s="403">
        <f t="shared" si="655"/>
        <v>189005952.12</v>
      </c>
      <c r="AC446" s="326">
        <f t="shared" si="673"/>
        <v>1</v>
      </c>
    </row>
    <row r="447" spans="1:29" ht="38.25" hidden="1" x14ac:dyDescent="0.2">
      <c r="A447" s="424"/>
      <c r="B447" s="323" t="s">
        <v>1346</v>
      </c>
      <c r="C447" s="206" t="s">
        <v>1347</v>
      </c>
      <c r="D447" s="277"/>
      <c r="E447" s="325">
        <f>SUM('ADICIONES  2021'!C447:N447)</f>
        <v>34422031.479999997</v>
      </c>
      <c r="F447" s="277"/>
      <c r="G447" s="277"/>
      <c r="H447" s="277"/>
      <c r="I447" s="277"/>
      <c r="J447" s="277"/>
      <c r="K447" s="281">
        <f t="shared" si="650"/>
        <v>34422031.479999997</v>
      </c>
      <c r="L447" s="277"/>
      <c r="M447" s="277"/>
      <c r="N447" s="277"/>
      <c r="O447" s="277"/>
      <c r="P447" s="277">
        <v>34422031.479999997</v>
      </c>
      <c r="Q447" s="277"/>
      <c r="R447" s="281">
        <f t="shared" si="653"/>
        <v>34422031.479999997</v>
      </c>
      <c r="S447" s="277"/>
      <c r="T447" s="277"/>
      <c r="U447" s="277"/>
      <c r="V447" s="277"/>
      <c r="W447" s="277"/>
      <c r="X447" s="277"/>
      <c r="Y447" s="277"/>
      <c r="Z447" s="277"/>
      <c r="AA447" s="281">
        <f t="shared" si="695"/>
        <v>0</v>
      </c>
      <c r="AB447" s="403">
        <f t="shared" si="655"/>
        <v>34422031.479999997</v>
      </c>
      <c r="AC447" s="326">
        <f t="shared" si="673"/>
        <v>1</v>
      </c>
    </row>
    <row r="448" spans="1:29" ht="38.25" hidden="1" x14ac:dyDescent="0.2">
      <c r="A448" s="424"/>
      <c r="B448" s="323" t="s">
        <v>1348</v>
      </c>
      <c r="C448" s="206" t="s">
        <v>1349</v>
      </c>
      <c r="D448" s="277"/>
      <c r="E448" s="325">
        <f>SUM('ADICIONES  2021'!C448:N448)</f>
        <v>72427111</v>
      </c>
      <c r="F448" s="277"/>
      <c r="G448" s="277"/>
      <c r="H448" s="277"/>
      <c r="I448" s="277"/>
      <c r="J448" s="277"/>
      <c r="K448" s="281">
        <f t="shared" si="650"/>
        <v>72427111</v>
      </c>
      <c r="L448" s="277"/>
      <c r="M448" s="277"/>
      <c r="N448" s="277"/>
      <c r="O448" s="277"/>
      <c r="P448" s="277">
        <v>72427111</v>
      </c>
      <c r="Q448" s="277"/>
      <c r="R448" s="281">
        <f t="shared" si="653"/>
        <v>72427111</v>
      </c>
      <c r="S448" s="277"/>
      <c r="T448" s="277"/>
      <c r="U448" s="277"/>
      <c r="V448" s="277"/>
      <c r="W448" s="277"/>
      <c r="X448" s="277"/>
      <c r="Y448" s="277"/>
      <c r="Z448" s="277"/>
      <c r="AA448" s="281">
        <f t="shared" si="695"/>
        <v>0</v>
      </c>
      <c r="AB448" s="403">
        <f t="shared" si="655"/>
        <v>72427111</v>
      </c>
      <c r="AC448" s="326">
        <f t="shared" si="673"/>
        <v>1</v>
      </c>
    </row>
    <row r="449" spans="1:29" ht="38.25" hidden="1" x14ac:dyDescent="0.2">
      <c r="A449" s="424"/>
      <c r="B449" s="323" t="s">
        <v>1350</v>
      </c>
      <c r="C449" s="206" t="s">
        <v>1351</v>
      </c>
      <c r="D449" s="277"/>
      <c r="E449" s="325">
        <f>SUM('ADICIONES  2021'!C449:N449)</f>
        <v>32342202.43</v>
      </c>
      <c r="F449" s="277"/>
      <c r="G449" s="277"/>
      <c r="H449" s="277"/>
      <c r="I449" s="277"/>
      <c r="J449" s="277"/>
      <c r="K449" s="281">
        <f t="shared" si="650"/>
        <v>32342202.43</v>
      </c>
      <c r="L449" s="277"/>
      <c r="M449" s="277"/>
      <c r="N449" s="277"/>
      <c r="O449" s="277"/>
      <c r="P449" s="277">
        <v>32342202.43</v>
      </c>
      <c r="Q449" s="277"/>
      <c r="R449" s="281">
        <f t="shared" si="653"/>
        <v>32342202.43</v>
      </c>
      <c r="S449" s="277"/>
      <c r="T449" s="277"/>
      <c r="U449" s="277"/>
      <c r="V449" s="277"/>
      <c r="W449" s="277"/>
      <c r="X449" s="277"/>
      <c r="Y449" s="277"/>
      <c r="Z449" s="277"/>
      <c r="AA449" s="281">
        <f t="shared" si="695"/>
        <v>0</v>
      </c>
      <c r="AB449" s="403">
        <f t="shared" si="655"/>
        <v>32342202.43</v>
      </c>
      <c r="AC449" s="326">
        <f t="shared" si="673"/>
        <v>1</v>
      </c>
    </row>
    <row r="450" spans="1:29" ht="38.25" hidden="1" x14ac:dyDescent="0.2">
      <c r="A450" s="424"/>
      <c r="B450" s="323" t="s">
        <v>1352</v>
      </c>
      <c r="C450" s="206" t="s">
        <v>1353</v>
      </c>
      <c r="D450" s="277"/>
      <c r="E450" s="325">
        <f>SUM('ADICIONES  2021'!C450:N450)</f>
        <v>33527630.84</v>
      </c>
      <c r="F450" s="277"/>
      <c r="G450" s="277"/>
      <c r="H450" s="277"/>
      <c r="I450" s="277"/>
      <c r="J450" s="277"/>
      <c r="K450" s="281">
        <f t="shared" si="650"/>
        <v>33527630.84</v>
      </c>
      <c r="L450" s="277"/>
      <c r="M450" s="277"/>
      <c r="N450" s="277"/>
      <c r="O450" s="277"/>
      <c r="P450" s="277">
        <v>33527630.84</v>
      </c>
      <c r="Q450" s="277"/>
      <c r="R450" s="281">
        <f t="shared" si="653"/>
        <v>33527630.84</v>
      </c>
      <c r="S450" s="277"/>
      <c r="T450" s="277"/>
      <c r="U450" s="277"/>
      <c r="V450" s="277"/>
      <c r="W450" s="277"/>
      <c r="X450" s="277"/>
      <c r="Y450" s="277"/>
      <c r="Z450" s="277"/>
      <c r="AA450" s="281">
        <f t="shared" si="695"/>
        <v>0</v>
      </c>
      <c r="AB450" s="403">
        <f t="shared" si="655"/>
        <v>33527630.84</v>
      </c>
      <c r="AC450" s="326">
        <f t="shared" si="673"/>
        <v>1</v>
      </c>
    </row>
    <row r="451" spans="1:29" ht="38.25" hidden="1" x14ac:dyDescent="0.2">
      <c r="A451" s="424"/>
      <c r="B451" s="323" t="s">
        <v>1354</v>
      </c>
      <c r="C451" s="206" t="s">
        <v>1355</v>
      </c>
      <c r="D451" s="277"/>
      <c r="E451" s="325">
        <f>SUM('ADICIONES  2021'!C451:N451)</f>
        <v>17525824</v>
      </c>
      <c r="F451" s="277"/>
      <c r="G451" s="277"/>
      <c r="H451" s="277"/>
      <c r="I451" s="277"/>
      <c r="J451" s="277"/>
      <c r="K451" s="281">
        <f t="shared" si="650"/>
        <v>17525824</v>
      </c>
      <c r="L451" s="277"/>
      <c r="M451" s="277"/>
      <c r="N451" s="277"/>
      <c r="O451" s="277"/>
      <c r="P451" s="277">
        <v>17525824</v>
      </c>
      <c r="Q451" s="277"/>
      <c r="R451" s="281">
        <f t="shared" si="653"/>
        <v>17525824</v>
      </c>
      <c r="S451" s="277"/>
      <c r="T451" s="277"/>
      <c r="U451" s="277"/>
      <c r="V451" s="277"/>
      <c r="W451" s="277"/>
      <c r="X451" s="277"/>
      <c r="Y451" s="277"/>
      <c r="Z451" s="277"/>
      <c r="AA451" s="281">
        <f t="shared" si="695"/>
        <v>0</v>
      </c>
      <c r="AB451" s="403">
        <f t="shared" si="655"/>
        <v>17525824</v>
      </c>
      <c r="AC451" s="326">
        <f t="shared" si="673"/>
        <v>1</v>
      </c>
    </row>
    <row r="452" spans="1:29" ht="38.25" hidden="1" x14ac:dyDescent="0.2">
      <c r="A452" s="424"/>
      <c r="B452" s="323" t="s">
        <v>1356</v>
      </c>
      <c r="C452" s="206" t="s">
        <v>1357</v>
      </c>
      <c r="D452" s="277"/>
      <c r="E452" s="325">
        <f>SUM('ADICIONES  2021'!C452:N452)</f>
        <v>85052927</v>
      </c>
      <c r="F452" s="277"/>
      <c r="G452" s="277"/>
      <c r="H452" s="277"/>
      <c r="I452" s="277"/>
      <c r="J452" s="277"/>
      <c r="K452" s="281">
        <f t="shared" si="650"/>
        <v>85052927</v>
      </c>
      <c r="L452" s="277"/>
      <c r="M452" s="277"/>
      <c r="N452" s="277"/>
      <c r="O452" s="277"/>
      <c r="P452" s="277">
        <v>85052927</v>
      </c>
      <c r="Q452" s="277"/>
      <c r="R452" s="281">
        <f t="shared" si="653"/>
        <v>85052927</v>
      </c>
      <c r="S452" s="277"/>
      <c r="T452" s="277"/>
      <c r="U452" s="277"/>
      <c r="V452" s="277"/>
      <c r="W452" s="277"/>
      <c r="X452" s="277"/>
      <c r="Y452" s="277"/>
      <c r="Z452" s="277"/>
      <c r="AA452" s="281">
        <f t="shared" si="695"/>
        <v>0</v>
      </c>
      <c r="AB452" s="403">
        <f t="shared" si="655"/>
        <v>85052927</v>
      </c>
      <c r="AC452" s="326">
        <f t="shared" si="673"/>
        <v>1</v>
      </c>
    </row>
    <row r="453" spans="1:29" ht="38.25" hidden="1" x14ac:dyDescent="0.2">
      <c r="A453" s="424"/>
      <c r="B453" s="323" t="s">
        <v>1358</v>
      </c>
      <c r="C453" s="206" t="s">
        <v>1359</v>
      </c>
      <c r="D453" s="277"/>
      <c r="E453" s="325">
        <f>SUM('ADICIONES  2021'!C453:N453)</f>
        <v>94636419.859999999</v>
      </c>
      <c r="F453" s="277"/>
      <c r="G453" s="277"/>
      <c r="H453" s="277"/>
      <c r="I453" s="277"/>
      <c r="J453" s="277"/>
      <c r="K453" s="281">
        <f t="shared" si="650"/>
        <v>94636419.859999999</v>
      </c>
      <c r="L453" s="277"/>
      <c r="M453" s="277"/>
      <c r="N453" s="277"/>
      <c r="O453" s="277"/>
      <c r="P453" s="277">
        <v>94636419.859999999</v>
      </c>
      <c r="Q453" s="277"/>
      <c r="R453" s="281">
        <f t="shared" si="653"/>
        <v>94636419.859999999</v>
      </c>
      <c r="S453" s="277"/>
      <c r="T453" s="277"/>
      <c r="U453" s="277"/>
      <c r="V453" s="277"/>
      <c r="W453" s="277"/>
      <c r="X453" s="277"/>
      <c r="Y453" s="277"/>
      <c r="Z453" s="277"/>
      <c r="AA453" s="281">
        <f t="shared" si="695"/>
        <v>0</v>
      </c>
      <c r="AB453" s="403">
        <f t="shared" si="655"/>
        <v>94636419.859999999</v>
      </c>
      <c r="AC453" s="326">
        <f t="shared" si="673"/>
        <v>1</v>
      </c>
    </row>
    <row r="454" spans="1:29" ht="38.25" hidden="1" x14ac:dyDescent="0.2">
      <c r="A454" s="424"/>
      <c r="B454" s="323" t="s">
        <v>1360</v>
      </c>
      <c r="C454" s="206" t="s">
        <v>1361</v>
      </c>
      <c r="D454" s="277"/>
      <c r="E454" s="325">
        <f>SUM('ADICIONES  2021'!C454:N454)</f>
        <v>25528495</v>
      </c>
      <c r="F454" s="277"/>
      <c r="G454" s="277"/>
      <c r="H454" s="277"/>
      <c r="I454" s="277"/>
      <c r="J454" s="277"/>
      <c r="K454" s="281">
        <f t="shared" si="650"/>
        <v>25528495</v>
      </c>
      <c r="L454" s="277"/>
      <c r="M454" s="277"/>
      <c r="N454" s="277"/>
      <c r="O454" s="277"/>
      <c r="P454" s="277">
        <v>25528495</v>
      </c>
      <c r="Q454" s="277"/>
      <c r="R454" s="281">
        <f t="shared" si="653"/>
        <v>25528495</v>
      </c>
      <c r="S454" s="277"/>
      <c r="T454" s="277"/>
      <c r="U454" s="277"/>
      <c r="V454" s="277"/>
      <c r="W454" s="277"/>
      <c r="X454" s="277"/>
      <c r="Y454" s="277"/>
      <c r="Z454" s="277"/>
      <c r="AA454" s="281">
        <f t="shared" si="695"/>
        <v>0</v>
      </c>
      <c r="AB454" s="403">
        <f t="shared" si="655"/>
        <v>25528495</v>
      </c>
      <c r="AC454" s="326">
        <f t="shared" si="673"/>
        <v>1</v>
      </c>
    </row>
    <row r="455" spans="1:29" ht="38.25" hidden="1" x14ac:dyDescent="0.2">
      <c r="A455" s="424"/>
      <c r="B455" s="323" t="s">
        <v>1362</v>
      </c>
      <c r="C455" s="206" t="s">
        <v>1363</v>
      </c>
      <c r="D455" s="277"/>
      <c r="E455" s="325">
        <f>SUM('ADICIONES  2021'!C455:N455)</f>
        <v>41780393.460000001</v>
      </c>
      <c r="F455" s="277"/>
      <c r="G455" s="277"/>
      <c r="H455" s="277"/>
      <c r="I455" s="277"/>
      <c r="J455" s="277"/>
      <c r="K455" s="281">
        <f t="shared" si="650"/>
        <v>41780393.460000001</v>
      </c>
      <c r="L455" s="277"/>
      <c r="M455" s="277"/>
      <c r="N455" s="277"/>
      <c r="O455" s="277"/>
      <c r="P455" s="277">
        <v>41780393.460000001</v>
      </c>
      <c r="Q455" s="277"/>
      <c r="R455" s="281">
        <f t="shared" si="653"/>
        <v>41780393.460000001</v>
      </c>
      <c r="S455" s="277"/>
      <c r="T455" s="277"/>
      <c r="U455" s="277"/>
      <c r="V455" s="277"/>
      <c r="W455" s="277"/>
      <c r="X455" s="277"/>
      <c r="Y455" s="277"/>
      <c r="Z455" s="277"/>
      <c r="AA455" s="281">
        <f t="shared" si="695"/>
        <v>0</v>
      </c>
      <c r="AB455" s="403">
        <f t="shared" si="655"/>
        <v>41780393.460000001</v>
      </c>
      <c r="AC455" s="326">
        <f t="shared" si="673"/>
        <v>1</v>
      </c>
    </row>
    <row r="456" spans="1:29" ht="38.25" hidden="1" x14ac:dyDescent="0.2">
      <c r="A456" s="424"/>
      <c r="B456" s="323" t="s">
        <v>1364</v>
      </c>
      <c r="C456" s="206" t="s">
        <v>1365</v>
      </c>
      <c r="D456" s="277"/>
      <c r="E456" s="325">
        <f>SUM('ADICIONES  2021'!C456:N456)</f>
        <v>85319865.069999993</v>
      </c>
      <c r="F456" s="277"/>
      <c r="G456" s="277"/>
      <c r="H456" s="277"/>
      <c r="I456" s="277"/>
      <c r="J456" s="277"/>
      <c r="K456" s="281">
        <f t="shared" si="650"/>
        <v>85319865.069999993</v>
      </c>
      <c r="L456" s="277"/>
      <c r="M456" s="277"/>
      <c r="N456" s="277"/>
      <c r="O456" s="277"/>
      <c r="P456" s="277">
        <v>85319865.069999993</v>
      </c>
      <c r="Q456" s="277"/>
      <c r="R456" s="281">
        <f t="shared" si="653"/>
        <v>85319865.069999993</v>
      </c>
      <c r="S456" s="277"/>
      <c r="T456" s="277"/>
      <c r="U456" s="277"/>
      <c r="V456" s="277"/>
      <c r="W456" s="277"/>
      <c r="X456" s="277"/>
      <c r="Y456" s="277"/>
      <c r="Z456" s="277"/>
      <c r="AA456" s="281">
        <f t="shared" si="695"/>
        <v>0</v>
      </c>
      <c r="AB456" s="403">
        <f t="shared" si="655"/>
        <v>85319865.069999993</v>
      </c>
      <c r="AC456" s="326">
        <f t="shared" si="673"/>
        <v>1</v>
      </c>
    </row>
    <row r="457" spans="1:29" ht="38.25" hidden="1" x14ac:dyDescent="0.2">
      <c r="A457" s="424"/>
      <c r="B457" s="323" t="s">
        <v>1366</v>
      </c>
      <c r="C457" s="206" t="s">
        <v>1367</v>
      </c>
      <c r="D457" s="277"/>
      <c r="E457" s="325">
        <f>SUM('ADICIONES  2021'!C457:N457)</f>
        <v>60300003.909999996</v>
      </c>
      <c r="F457" s="277"/>
      <c r="G457" s="277"/>
      <c r="H457" s="277"/>
      <c r="I457" s="277"/>
      <c r="J457" s="277"/>
      <c r="K457" s="281">
        <f t="shared" si="650"/>
        <v>60300003.909999996</v>
      </c>
      <c r="L457" s="277"/>
      <c r="M457" s="277"/>
      <c r="N457" s="277"/>
      <c r="O457" s="277"/>
      <c r="P457" s="277">
        <v>60300003.909999996</v>
      </c>
      <c r="Q457" s="277"/>
      <c r="R457" s="281">
        <f t="shared" si="653"/>
        <v>60300003.909999996</v>
      </c>
      <c r="S457" s="277"/>
      <c r="T457" s="277"/>
      <c r="U457" s="277"/>
      <c r="V457" s="277"/>
      <c r="W457" s="277"/>
      <c r="X457" s="277"/>
      <c r="Y457" s="277"/>
      <c r="Z457" s="277"/>
      <c r="AA457" s="281">
        <f t="shared" si="695"/>
        <v>0</v>
      </c>
      <c r="AB457" s="403">
        <f t="shared" si="655"/>
        <v>60300003.909999996</v>
      </c>
      <c r="AC457" s="326">
        <f t="shared" si="673"/>
        <v>1</v>
      </c>
    </row>
    <row r="458" spans="1:29" ht="38.25" hidden="1" x14ac:dyDescent="0.2">
      <c r="A458" s="424"/>
      <c r="B458" s="323" t="s">
        <v>1368</v>
      </c>
      <c r="C458" s="206" t="s">
        <v>1369</v>
      </c>
      <c r="D458" s="277"/>
      <c r="E458" s="325">
        <f>SUM('ADICIONES  2021'!C458:N458)</f>
        <v>301199556.44</v>
      </c>
      <c r="F458" s="277"/>
      <c r="G458" s="277"/>
      <c r="H458" s="277"/>
      <c r="I458" s="277"/>
      <c r="J458" s="277"/>
      <c r="K458" s="281">
        <f t="shared" si="650"/>
        <v>301199556.44</v>
      </c>
      <c r="L458" s="277"/>
      <c r="M458" s="277"/>
      <c r="N458" s="277"/>
      <c r="O458" s="277"/>
      <c r="P458" s="277">
        <v>241932662.97</v>
      </c>
      <c r="Q458" s="277"/>
      <c r="R458" s="281">
        <f t="shared" si="653"/>
        <v>241932662.97</v>
      </c>
      <c r="S458" s="277"/>
      <c r="T458" s="277"/>
      <c r="U458" s="277"/>
      <c r="V458" s="277"/>
      <c r="W458" s="277"/>
      <c r="X458" s="277">
        <v>59266893.469999999</v>
      </c>
      <c r="Y458" s="277"/>
      <c r="Z458" s="277"/>
      <c r="AA458" s="281">
        <f t="shared" si="695"/>
        <v>59266893.469999999</v>
      </c>
      <c r="AB458" s="403">
        <f t="shared" si="655"/>
        <v>301199556.44</v>
      </c>
      <c r="AC458" s="326">
        <f t="shared" si="673"/>
        <v>1</v>
      </c>
    </row>
    <row r="459" spans="1:29" ht="25.5" hidden="1" x14ac:dyDescent="0.2">
      <c r="A459" s="424"/>
      <c r="B459" s="323" t="s">
        <v>1370</v>
      </c>
      <c r="C459" s="206" t="s">
        <v>1371</v>
      </c>
      <c r="D459" s="277"/>
      <c r="E459" s="325">
        <f>SUM('ADICIONES  2021'!C459:N459)</f>
        <v>3657.3</v>
      </c>
      <c r="F459" s="277"/>
      <c r="G459" s="277"/>
      <c r="H459" s="277"/>
      <c r="I459" s="277"/>
      <c r="J459" s="277"/>
      <c r="K459" s="281">
        <f t="shared" si="650"/>
        <v>3657.3</v>
      </c>
      <c r="L459" s="277"/>
      <c r="M459" s="277"/>
      <c r="N459" s="277"/>
      <c r="O459" s="277"/>
      <c r="P459" s="277">
        <v>3657.3</v>
      </c>
      <c r="Q459" s="277"/>
      <c r="R459" s="281">
        <f t="shared" si="653"/>
        <v>3657.3</v>
      </c>
      <c r="S459" s="277"/>
      <c r="T459" s="277"/>
      <c r="U459" s="277"/>
      <c r="V459" s="277"/>
      <c r="W459" s="277"/>
      <c r="X459" s="277"/>
      <c r="Y459" s="277"/>
      <c r="Z459" s="277"/>
      <c r="AA459" s="281">
        <f t="shared" si="695"/>
        <v>0</v>
      </c>
      <c r="AB459" s="403">
        <f t="shared" si="655"/>
        <v>3657.3</v>
      </c>
      <c r="AC459" s="326">
        <f t="shared" si="673"/>
        <v>1</v>
      </c>
    </row>
    <row r="460" spans="1:29" ht="25.5" hidden="1" x14ac:dyDescent="0.2">
      <c r="A460" s="424"/>
      <c r="B460" s="323" t="s">
        <v>1372</v>
      </c>
      <c r="C460" s="206" t="s">
        <v>1373</v>
      </c>
      <c r="D460" s="277"/>
      <c r="E460" s="325">
        <f>SUM('ADICIONES  2021'!C460:N460)</f>
        <v>12903.3</v>
      </c>
      <c r="F460" s="277"/>
      <c r="G460" s="277"/>
      <c r="H460" s="277"/>
      <c r="I460" s="277"/>
      <c r="J460" s="277"/>
      <c r="K460" s="281">
        <f t="shared" si="650"/>
        <v>12903.3</v>
      </c>
      <c r="L460" s="277"/>
      <c r="M460" s="277"/>
      <c r="N460" s="277"/>
      <c r="O460" s="277"/>
      <c r="P460" s="277">
        <v>12903.3</v>
      </c>
      <c r="Q460" s="277"/>
      <c r="R460" s="281">
        <f t="shared" si="653"/>
        <v>12903.3</v>
      </c>
      <c r="S460" s="277"/>
      <c r="T460" s="277"/>
      <c r="U460" s="277"/>
      <c r="V460" s="277"/>
      <c r="W460" s="277"/>
      <c r="X460" s="277"/>
      <c r="Y460" s="277"/>
      <c r="Z460" s="277"/>
      <c r="AA460" s="281">
        <f t="shared" si="695"/>
        <v>0</v>
      </c>
      <c r="AB460" s="403">
        <f t="shared" si="655"/>
        <v>12903.3</v>
      </c>
      <c r="AC460" s="326">
        <f t="shared" si="673"/>
        <v>1</v>
      </c>
    </row>
    <row r="461" spans="1:29" ht="38.25" hidden="1" x14ac:dyDescent="0.2">
      <c r="A461" s="424"/>
      <c r="B461" s="323" t="s">
        <v>1374</v>
      </c>
      <c r="C461" s="206" t="s">
        <v>1375</v>
      </c>
      <c r="D461" s="277"/>
      <c r="E461" s="325">
        <f>SUM('ADICIONES  2021'!C461:N461)</f>
        <v>22717903.440000001</v>
      </c>
      <c r="F461" s="277"/>
      <c r="G461" s="277"/>
      <c r="H461" s="277"/>
      <c r="I461" s="277"/>
      <c r="J461" s="277"/>
      <c r="K461" s="281">
        <f t="shared" si="650"/>
        <v>22717903.440000001</v>
      </c>
      <c r="L461" s="277"/>
      <c r="M461" s="277"/>
      <c r="N461" s="277"/>
      <c r="O461" s="277"/>
      <c r="P461" s="277">
        <v>22717903.440000001</v>
      </c>
      <c r="Q461" s="277"/>
      <c r="R461" s="281">
        <f t="shared" si="653"/>
        <v>22717903.440000001</v>
      </c>
      <c r="S461" s="277"/>
      <c r="T461" s="277"/>
      <c r="U461" s="277"/>
      <c r="V461" s="277"/>
      <c r="W461" s="277"/>
      <c r="X461" s="277"/>
      <c r="Y461" s="277"/>
      <c r="Z461" s="277"/>
      <c r="AA461" s="281">
        <f t="shared" si="695"/>
        <v>0</v>
      </c>
      <c r="AB461" s="403">
        <f t="shared" si="655"/>
        <v>22717903.440000001</v>
      </c>
      <c r="AC461" s="326">
        <f t="shared" si="673"/>
        <v>1</v>
      </c>
    </row>
    <row r="462" spans="1:29" ht="25.5" hidden="1" x14ac:dyDescent="0.2">
      <c r="A462" s="424"/>
      <c r="B462" s="323" t="s">
        <v>1376</v>
      </c>
      <c r="C462" s="206" t="s">
        <v>1377</v>
      </c>
      <c r="D462" s="277"/>
      <c r="E462" s="325">
        <f>SUM('ADICIONES  2021'!C462:N462)</f>
        <v>16455472</v>
      </c>
      <c r="F462" s="277"/>
      <c r="G462" s="277"/>
      <c r="H462" s="277"/>
      <c r="I462" s="277"/>
      <c r="J462" s="277"/>
      <c r="K462" s="281">
        <f t="shared" si="650"/>
        <v>16455472</v>
      </c>
      <c r="L462" s="277"/>
      <c r="M462" s="277"/>
      <c r="N462" s="277"/>
      <c r="O462" s="277"/>
      <c r="P462" s="277">
        <v>0</v>
      </c>
      <c r="Q462" s="277"/>
      <c r="R462" s="281">
        <f t="shared" si="653"/>
        <v>0</v>
      </c>
      <c r="S462" s="277"/>
      <c r="T462" s="277"/>
      <c r="U462" s="277"/>
      <c r="V462" s="277"/>
      <c r="W462" s="277"/>
      <c r="X462" s="277">
        <v>16455472</v>
      </c>
      <c r="Y462" s="277"/>
      <c r="Z462" s="277"/>
      <c r="AA462" s="281">
        <f t="shared" si="695"/>
        <v>16455472</v>
      </c>
      <c r="AB462" s="403">
        <f t="shared" si="655"/>
        <v>16455472</v>
      </c>
      <c r="AC462" s="326">
        <f t="shared" si="673"/>
        <v>1</v>
      </c>
    </row>
    <row r="463" spans="1:29" ht="25.5" hidden="1" x14ac:dyDescent="0.2">
      <c r="A463" s="424"/>
      <c r="B463" s="323" t="s">
        <v>1378</v>
      </c>
      <c r="C463" s="206" t="s">
        <v>1379</v>
      </c>
      <c r="D463" s="277"/>
      <c r="E463" s="325">
        <f>SUM('ADICIONES  2021'!C463:N463)</f>
        <v>47459103.359999999</v>
      </c>
      <c r="F463" s="277"/>
      <c r="G463" s="277"/>
      <c r="H463" s="277"/>
      <c r="I463" s="277"/>
      <c r="J463" s="277"/>
      <c r="K463" s="281">
        <f t="shared" si="650"/>
        <v>47459103.359999999</v>
      </c>
      <c r="L463" s="277"/>
      <c r="M463" s="277"/>
      <c r="N463" s="277"/>
      <c r="O463" s="277"/>
      <c r="P463" s="277">
        <v>47459103.359999999</v>
      </c>
      <c r="Q463" s="277"/>
      <c r="R463" s="281">
        <f t="shared" si="653"/>
        <v>47459103.359999999</v>
      </c>
      <c r="S463" s="277"/>
      <c r="T463" s="277"/>
      <c r="U463" s="277"/>
      <c r="V463" s="277"/>
      <c r="W463" s="277"/>
      <c r="X463" s="277"/>
      <c r="Y463" s="277"/>
      <c r="Z463" s="277"/>
      <c r="AA463" s="281">
        <f t="shared" si="695"/>
        <v>0</v>
      </c>
      <c r="AB463" s="403">
        <f t="shared" si="655"/>
        <v>47459103.359999999</v>
      </c>
      <c r="AC463" s="326">
        <f t="shared" si="673"/>
        <v>1</v>
      </c>
    </row>
    <row r="464" spans="1:29" ht="14.25" hidden="1" x14ac:dyDescent="0.2">
      <c r="A464" s="424"/>
      <c r="B464" s="323" t="s">
        <v>1380</v>
      </c>
      <c r="C464" s="206" t="s">
        <v>1381</v>
      </c>
      <c r="D464" s="277"/>
      <c r="E464" s="325">
        <f>SUM('ADICIONES  2021'!C464:N464)</f>
        <v>6022349.8899999997</v>
      </c>
      <c r="F464" s="277"/>
      <c r="G464" s="277"/>
      <c r="H464" s="277"/>
      <c r="I464" s="277"/>
      <c r="J464" s="277"/>
      <c r="K464" s="281">
        <f t="shared" si="650"/>
        <v>6022349.8899999997</v>
      </c>
      <c r="L464" s="277"/>
      <c r="M464" s="277"/>
      <c r="N464" s="277"/>
      <c r="O464" s="277"/>
      <c r="P464" s="277">
        <v>6022349.8899999997</v>
      </c>
      <c r="Q464" s="277"/>
      <c r="R464" s="281">
        <f t="shared" si="653"/>
        <v>6022349.8899999997</v>
      </c>
      <c r="S464" s="277"/>
      <c r="T464" s="277"/>
      <c r="U464" s="277"/>
      <c r="V464" s="277"/>
      <c r="W464" s="277"/>
      <c r="X464" s="277"/>
      <c r="Y464" s="277"/>
      <c r="Z464" s="277"/>
      <c r="AA464" s="281">
        <f t="shared" si="695"/>
        <v>0</v>
      </c>
      <c r="AB464" s="403">
        <f t="shared" si="655"/>
        <v>6022349.8899999997</v>
      </c>
      <c r="AC464" s="326">
        <f t="shared" si="673"/>
        <v>1</v>
      </c>
    </row>
    <row r="465" spans="1:29" ht="25.5" hidden="1" x14ac:dyDescent="0.2">
      <c r="A465" s="424"/>
      <c r="B465" s="323" t="s">
        <v>1382</v>
      </c>
      <c r="C465" s="206" t="s">
        <v>1383</v>
      </c>
      <c r="D465" s="277"/>
      <c r="E465" s="325">
        <f>SUM('ADICIONES  2021'!C465:N465)</f>
        <v>57681818</v>
      </c>
      <c r="F465" s="277"/>
      <c r="G465" s="277"/>
      <c r="H465" s="277"/>
      <c r="I465" s="277"/>
      <c r="J465" s="277"/>
      <c r="K465" s="281">
        <f t="shared" si="650"/>
        <v>57681818</v>
      </c>
      <c r="L465" s="277"/>
      <c r="M465" s="277"/>
      <c r="N465" s="277"/>
      <c r="O465" s="277"/>
      <c r="P465" s="277">
        <v>57681818</v>
      </c>
      <c r="Q465" s="277"/>
      <c r="R465" s="281">
        <f t="shared" si="653"/>
        <v>57681818</v>
      </c>
      <c r="S465" s="277"/>
      <c r="T465" s="277"/>
      <c r="U465" s="277"/>
      <c r="V465" s="277"/>
      <c r="W465" s="277"/>
      <c r="X465" s="277"/>
      <c r="Y465" s="277"/>
      <c r="Z465" s="277"/>
      <c r="AA465" s="281">
        <f t="shared" si="695"/>
        <v>0</v>
      </c>
      <c r="AB465" s="403">
        <f t="shared" si="655"/>
        <v>57681818</v>
      </c>
      <c r="AC465" s="326">
        <f t="shared" si="673"/>
        <v>1</v>
      </c>
    </row>
    <row r="466" spans="1:29" ht="25.5" hidden="1" x14ac:dyDescent="0.2">
      <c r="A466" s="424"/>
      <c r="B466" s="323" t="s">
        <v>1384</v>
      </c>
      <c r="C466" s="206" t="s">
        <v>1385</v>
      </c>
      <c r="D466" s="277"/>
      <c r="E466" s="325">
        <f>SUM('ADICIONES  2021'!C466:N466)</f>
        <v>30448635</v>
      </c>
      <c r="F466" s="277"/>
      <c r="G466" s="277"/>
      <c r="H466" s="277"/>
      <c r="I466" s="277"/>
      <c r="J466" s="277"/>
      <c r="K466" s="281">
        <f t="shared" si="650"/>
        <v>30448635</v>
      </c>
      <c r="L466" s="277"/>
      <c r="M466" s="277"/>
      <c r="N466" s="277"/>
      <c r="O466" s="277"/>
      <c r="P466" s="277">
        <v>0</v>
      </c>
      <c r="Q466" s="277"/>
      <c r="R466" s="281">
        <f t="shared" si="653"/>
        <v>0</v>
      </c>
      <c r="S466" s="277"/>
      <c r="T466" s="277"/>
      <c r="U466" s="277"/>
      <c r="V466" s="277"/>
      <c r="W466" s="277"/>
      <c r="X466" s="277">
        <v>30448635</v>
      </c>
      <c r="Y466" s="277"/>
      <c r="Z466" s="277"/>
      <c r="AA466" s="281">
        <f t="shared" si="695"/>
        <v>30448635</v>
      </c>
      <c r="AB466" s="403">
        <f t="shared" si="655"/>
        <v>30448635</v>
      </c>
      <c r="AC466" s="326">
        <f t="shared" si="673"/>
        <v>1</v>
      </c>
    </row>
    <row r="467" spans="1:29" ht="38.25" hidden="1" x14ac:dyDescent="0.2">
      <c r="A467" s="424"/>
      <c r="B467" s="323" t="s">
        <v>1386</v>
      </c>
      <c r="C467" s="206" t="s">
        <v>1387</v>
      </c>
      <c r="D467" s="277"/>
      <c r="E467" s="325">
        <f>SUM('ADICIONES  2021'!C467:N467)</f>
        <v>222423558.34999999</v>
      </c>
      <c r="F467" s="277"/>
      <c r="G467" s="277"/>
      <c r="H467" s="277"/>
      <c r="I467" s="277"/>
      <c r="J467" s="277"/>
      <c r="K467" s="281">
        <f t="shared" si="650"/>
        <v>222423558.34999999</v>
      </c>
      <c r="L467" s="277"/>
      <c r="M467" s="277"/>
      <c r="N467" s="277"/>
      <c r="O467" s="277"/>
      <c r="P467" s="277">
        <v>0</v>
      </c>
      <c r="Q467" s="277"/>
      <c r="R467" s="281">
        <f t="shared" si="653"/>
        <v>0</v>
      </c>
      <c r="S467" s="277"/>
      <c r="T467" s="277"/>
      <c r="U467" s="277"/>
      <c r="V467" s="277"/>
      <c r="W467" s="277"/>
      <c r="X467" s="277"/>
      <c r="Y467" s="277"/>
      <c r="Z467" s="277"/>
      <c r="AA467" s="281">
        <f t="shared" si="695"/>
        <v>0</v>
      </c>
      <c r="AB467" s="403">
        <f t="shared" si="655"/>
        <v>0</v>
      </c>
      <c r="AC467" s="326">
        <f t="shared" si="673"/>
        <v>0</v>
      </c>
    </row>
    <row r="468" spans="1:29" ht="51" hidden="1" x14ac:dyDescent="0.2">
      <c r="A468" s="424"/>
      <c r="B468" s="323" t="s">
        <v>1388</v>
      </c>
      <c r="C468" s="206" t="s">
        <v>1389</v>
      </c>
      <c r="D468" s="277"/>
      <c r="E468" s="325">
        <f>SUM('ADICIONES  2021'!C468:N468)</f>
        <v>12286772.68</v>
      </c>
      <c r="F468" s="277"/>
      <c r="G468" s="277"/>
      <c r="H468" s="277"/>
      <c r="I468" s="277"/>
      <c r="J468" s="277"/>
      <c r="K468" s="281">
        <f t="shared" si="650"/>
        <v>12286772.68</v>
      </c>
      <c r="L468" s="277"/>
      <c r="M468" s="277"/>
      <c r="N468" s="277"/>
      <c r="O468" s="277"/>
      <c r="P468" s="277">
        <v>12286772.68</v>
      </c>
      <c r="Q468" s="277"/>
      <c r="R468" s="281">
        <f t="shared" si="653"/>
        <v>12286772.68</v>
      </c>
      <c r="S468" s="277"/>
      <c r="T468" s="277"/>
      <c r="U468" s="277"/>
      <c r="V468" s="277"/>
      <c r="W468" s="277"/>
      <c r="X468" s="277"/>
      <c r="Y468" s="277"/>
      <c r="Z468" s="277"/>
      <c r="AA468" s="281">
        <f t="shared" si="695"/>
        <v>0</v>
      </c>
      <c r="AB468" s="403">
        <f t="shared" si="655"/>
        <v>12286772.68</v>
      </c>
      <c r="AC468" s="326">
        <f t="shared" si="673"/>
        <v>1</v>
      </c>
    </row>
    <row r="469" spans="1:29" ht="25.5" hidden="1" x14ac:dyDescent="0.2">
      <c r="A469" s="424"/>
      <c r="B469" s="323" t="s">
        <v>1390</v>
      </c>
      <c r="C469" s="206" t="s">
        <v>1391</v>
      </c>
      <c r="D469" s="277"/>
      <c r="E469" s="325">
        <f>SUM('ADICIONES  2021'!C469:N469)</f>
        <v>37760753.93</v>
      </c>
      <c r="F469" s="277"/>
      <c r="G469" s="277"/>
      <c r="H469" s="277"/>
      <c r="I469" s="277"/>
      <c r="J469" s="277"/>
      <c r="K469" s="281">
        <f t="shared" si="650"/>
        <v>37760753.93</v>
      </c>
      <c r="L469" s="277"/>
      <c r="M469" s="277"/>
      <c r="N469" s="277"/>
      <c r="O469" s="277"/>
      <c r="P469" s="277">
        <v>37760753.93</v>
      </c>
      <c r="Q469" s="277"/>
      <c r="R469" s="281">
        <f t="shared" si="653"/>
        <v>37760753.93</v>
      </c>
      <c r="S469" s="277"/>
      <c r="T469" s="277"/>
      <c r="U469" s="277"/>
      <c r="V469" s="277"/>
      <c r="W469" s="277"/>
      <c r="X469" s="277"/>
      <c r="Y469" s="277"/>
      <c r="Z469" s="277"/>
      <c r="AA469" s="281">
        <f t="shared" si="695"/>
        <v>0</v>
      </c>
      <c r="AB469" s="403">
        <f t="shared" si="655"/>
        <v>37760753.93</v>
      </c>
      <c r="AC469" s="326">
        <f t="shared" si="673"/>
        <v>1</v>
      </c>
    </row>
    <row r="470" spans="1:29" ht="25.5" hidden="1" x14ac:dyDescent="0.2">
      <c r="A470" s="424"/>
      <c r="B470" s="323" t="s">
        <v>1392</v>
      </c>
      <c r="C470" s="206" t="s">
        <v>1393</v>
      </c>
      <c r="D470" s="277"/>
      <c r="E470" s="325">
        <f>SUM('ADICIONES  2021'!C470:N470)</f>
        <v>352624209.5</v>
      </c>
      <c r="F470" s="277"/>
      <c r="G470" s="277"/>
      <c r="H470" s="277"/>
      <c r="I470" s="277"/>
      <c r="J470" s="277"/>
      <c r="K470" s="281">
        <f t="shared" si="650"/>
        <v>352624209.5</v>
      </c>
      <c r="L470" s="277"/>
      <c r="M470" s="277"/>
      <c r="N470" s="277"/>
      <c r="O470" s="277"/>
      <c r="P470" s="277">
        <v>352624209.5</v>
      </c>
      <c r="Q470" s="277"/>
      <c r="R470" s="281">
        <f t="shared" si="653"/>
        <v>352624209.5</v>
      </c>
      <c r="S470" s="277"/>
      <c r="T470" s="277"/>
      <c r="U470" s="277"/>
      <c r="V470" s="277"/>
      <c r="W470" s="277"/>
      <c r="X470" s="277"/>
      <c r="Y470" s="277"/>
      <c r="Z470" s="277"/>
      <c r="AA470" s="281">
        <f t="shared" si="695"/>
        <v>0</v>
      </c>
      <c r="AB470" s="403">
        <f t="shared" si="655"/>
        <v>352624209.5</v>
      </c>
      <c r="AC470" s="326">
        <f t="shared" si="673"/>
        <v>1</v>
      </c>
    </row>
    <row r="471" spans="1:29" ht="25.5" hidden="1" x14ac:dyDescent="0.2">
      <c r="A471" s="424"/>
      <c r="B471" s="323" t="s">
        <v>1394</v>
      </c>
      <c r="C471" s="206" t="s">
        <v>1395</v>
      </c>
      <c r="D471" s="277"/>
      <c r="E471" s="325">
        <f>SUM('ADICIONES  2021'!C471:N471)</f>
        <v>698000000</v>
      </c>
      <c r="F471" s="277"/>
      <c r="G471" s="277"/>
      <c r="H471" s="277"/>
      <c r="I471" s="277"/>
      <c r="J471" s="277"/>
      <c r="K471" s="281">
        <f t="shared" si="650"/>
        <v>698000000</v>
      </c>
      <c r="L471" s="277"/>
      <c r="M471" s="277"/>
      <c r="N471" s="277"/>
      <c r="O471" s="277"/>
      <c r="P471" s="277">
        <v>698000000</v>
      </c>
      <c r="Q471" s="277"/>
      <c r="R471" s="281">
        <f t="shared" si="653"/>
        <v>698000000</v>
      </c>
      <c r="S471" s="277"/>
      <c r="T471" s="277"/>
      <c r="U471" s="277"/>
      <c r="V471" s="277"/>
      <c r="W471" s="277"/>
      <c r="X471" s="277"/>
      <c r="Y471" s="277"/>
      <c r="Z471" s="277"/>
      <c r="AA471" s="281">
        <f t="shared" si="695"/>
        <v>0</v>
      </c>
      <c r="AB471" s="403">
        <f t="shared" si="655"/>
        <v>698000000</v>
      </c>
      <c r="AC471" s="326">
        <f t="shared" si="673"/>
        <v>1</v>
      </c>
    </row>
    <row r="472" spans="1:29" ht="25.5" hidden="1" x14ac:dyDescent="0.2">
      <c r="A472" s="424"/>
      <c r="B472" s="323" t="s">
        <v>1396</v>
      </c>
      <c r="C472" s="206" t="s">
        <v>1397</v>
      </c>
      <c r="D472" s="277"/>
      <c r="E472" s="325">
        <f>SUM('ADICIONES  2021'!C472:N472)</f>
        <v>27979392</v>
      </c>
      <c r="F472" s="277"/>
      <c r="G472" s="277"/>
      <c r="H472" s="277"/>
      <c r="I472" s="277"/>
      <c r="J472" s="277"/>
      <c r="K472" s="281">
        <f t="shared" si="650"/>
        <v>27979392</v>
      </c>
      <c r="L472" s="277"/>
      <c r="M472" s="277"/>
      <c r="N472" s="277"/>
      <c r="O472" s="277"/>
      <c r="P472" s="277">
        <v>27979392</v>
      </c>
      <c r="Q472" s="277"/>
      <c r="R472" s="281">
        <f t="shared" si="653"/>
        <v>27979392</v>
      </c>
      <c r="S472" s="277"/>
      <c r="T472" s="277"/>
      <c r="U472" s="277"/>
      <c r="V472" s="277"/>
      <c r="W472" s="277"/>
      <c r="X472" s="277"/>
      <c r="Y472" s="277"/>
      <c r="Z472" s="277"/>
      <c r="AA472" s="281">
        <f t="shared" si="695"/>
        <v>0</v>
      </c>
      <c r="AB472" s="403">
        <f t="shared" si="655"/>
        <v>27979392</v>
      </c>
      <c r="AC472" s="326">
        <f t="shared" si="673"/>
        <v>1</v>
      </c>
    </row>
    <row r="473" spans="1:29" s="5" customFormat="1" hidden="1" x14ac:dyDescent="0.2">
      <c r="A473" s="96"/>
      <c r="B473" s="318" t="s">
        <v>1398</v>
      </c>
      <c r="C473" s="319" t="s">
        <v>1399</v>
      </c>
      <c r="D473" s="279">
        <f>SUM(D474:D479)</f>
        <v>0</v>
      </c>
      <c r="E473" s="322">
        <f>SUM('ADICIONES  2021'!C473:N473)</f>
        <v>6445106.1399999997</v>
      </c>
      <c r="F473" s="279">
        <f>SUM(F474:F479)</f>
        <v>0</v>
      </c>
      <c r="G473" s="279">
        <f>SUM(G474:G479)</f>
        <v>0</v>
      </c>
      <c r="H473" s="279">
        <f>SUM(H474:H479)</f>
        <v>0</v>
      </c>
      <c r="I473" s="279">
        <f>SUM(I474:I479)</f>
        <v>0</v>
      </c>
      <c r="J473" s="279">
        <f>SUM(J474:J479)</f>
        <v>0</v>
      </c>
      <c r="K473" s="276">
        <f t="shared" si="650"/>
        <v>6445106.1399999997</v>
      </c>
      <c r="L473" s="279">
        <f t="shared" ref="L473:Q473" si="696">SUM(L474:L479)</f>
        <v>0</v>
      </c>
      <c r="M473" s="279">
        <f t="shared" si="696"/>
        <v>0</v>
      </c>
      <c r="N473" s="279">
        <f t="shared" si="696"/>
        <v>0</v>
      </c>
      <c r="O473" s="279">
        <f t="shared" si="696"/>
        <v>0</v>
      </c>
      <c r="P473" s="279">
        <f t="shared" si="696"/>
        <v>6442499.1399999997</v>
      </c>
      <c r="Q473" s="279">
        <f t="shared" si="696"/>
        <v>0</v>
      </c>
      <c r="R473" s="276">
        <f t="shared" si="653"/>
        <v>6442499.1399999997</v>
      </c>
      <c r="S473" s="279">
        <f t="shared" ref="S473:Z473" si="697">SUM(S474:S479)</f>
        <v>0</v>
      </c>
      <c r="T473" s="279">
        <f t="shared" si="697"/>
        <v>0</v>
      </c>
      <c r="U473" s="279">
        <f t="shared" si="697"/>
        <v>0</v>
      </c>
      <c r="V473" s="279">
        <f t="shared" si="697"/>
        <v>0</v>
      </c>
      <c r="W473" s="279">
        <f t="shared" si="697"/>
        <v>2607</v>
      </c>
      <c r="X473" s="279">
        <f t="shared" si="697"/>
        <v>0</v>
      </c>
      <c r="Y473" s="279">
        <f t="shared" si="697"/>
        <v>0</v>
      </c>
      <c r="Z473" s="279">
        <f t="shared" si="697"/>
        <v>0</v>
      </c>
      <c r="AA473" s="276">
        <f t="shared" si="695"/>
        <v>2607</v>
      </c>
      <c r="AB473" s="402">
        <f t="shared" si="655"/>
        <v>6445106.1399999997</v>
      </c>
      <c r="AC473" s="321">
        <f t="shared" si="673"/>
        <v>1</v>
      </c>
    </row>
    <row r="474" spans="1:29" ht="14.25" hidden="1" x14ac:dyDescent="0.2">
      <c r="A474" s="424"/>
      <c r="B474" s="323" t="s">
        <v>1400</v>
      </c>
      <c r="C474" s="206" t="s">
        <v>1401</v>
      </c>
      <c r="D474" s="277"/>
      <c r="E474" s="325">
        <f>SUM('ADICIONES  2021'!C474:N474)</f>
        <v>5346270.54</v>
      </c>
      <c r="F474" s="277"/>
      <c r="G474" s="277"/>
      <c r="H474" s="277"/>
      <c r="I474" s="277"/>
      <c r="J474" s="277"/>
      <c r="K474" s="281">
        <f t="shared" si="650"/>
        <v>5346270.54</v>
      </c>
      <c r="L474" s="277"/>
      <c r="M474" s="277"/>
      <c r="N474" s="277"/>
      <c r="O474" s="277"/>
      <c r="P474" s="277">
        <v>5346270.54</v>
      </c>
      <c r="Q474" s="277"/>
      <c r="R474" s="281">
        <f t="shared" si="653"/>
        <v>5346270.54</v>
      </c>
      <c r="S474" s="277"/>
      <c r="T474" s="277"/>
      <c r="U474" s="277"/>
      <c r="V474" s="277"/>
      <c r="W474" s="277"/>
      <c r="X474" s="277"/>
      <c r="Y474" s="277"/>
      <c r="Z474" s="277"/>
      <c r="AA474" s="281">
        <f t="shared" si="695"/>
        <v>0</v>
      </c>
      <c r="AB474" s="403">
        <f t="shared" si="655"/>
        <v>5346270.54</v>
      </c>
      <c r="AC474" s="326">
        <f t="shared" si="673"/>
        <v>1</v>
      </c>
    </row>
    <row r="475" spans="1:29" ht="14.25" hidden="1" x14ac:dyDescent="0.2">
      <c r="A475" s="424"/>
      <c r="B475" s="323" t="s">
        <v>1402</v>
      </c>
      <c r="C475" s="206" t="s">
        <v>1403</v>
      </c>
      <c r="D475" s="277"/>
      <c r="E475" s="325">
        <f>SUM('ADICIONES  2021'!C475:N475)</f>
        <v>144370.26</v>
      </c>
      <c r="F475" s="277"/>
      <c r="G475" s="277"/>
      <c r="H475" s="277"/>
      <c r="I475" s="277"/>
      <c r="J475" s="277"/>
      <c r="K475" s="281">
        <f t="shared" si="650"/>
        <v>144370.26</v>
      </c>
      <c r="L475" s="277"/>
      <c r="M475" s="277"/>
      <c r="N475" s="277"/>
      <c r="O475" s="277"/>
      <c r="P475" s="277">
        <v>144370.26</v>
      </c>
      <c r="Q475" s="277"/>
      <c r="R475" s="281">
        <f t="shared" si="653"/>
        <v>144370.26</v>
      </c>
      <c r="S475" s="277"/>
      <c r="T475" s="277"/>
      <c r="U475" s="277"/>
      <c r="V475" s="277"/>
      <c r="W475" s="277"/>
      <c r="X475" s="277"/>
      <c r="Y475" s="277"/>
      <c r="Z475" s="277"/>
      <c r="AA475" s="281">
        <f t="shared" si="695"/>
        <v>0</v>
      </c>
      <c r="AB475" s="403">
        <f t="shared" si="655"/>
        <v>144370.26</v>
      </c>
      <c r="AC475" s="326">
        <f t="shared" si="673"/>
        <v>1</v>
      </c>
    </row>
    <row r="476" spans="1:29" ht="14.25" hidden="1" x14ac:dyDescent="0.2">
      <c r="A476" s="424"/>
      <c r="B476" s="323" t="s">
        <v>1404</v>
      </c>
      <c r="C476" s="206" t="s">
        <v>1405</v>
      </c>
      <c r="D476" s="277"/>
      <c r="E476" s="325">
        <f>SUM('ADICIONES  2021'!C476:N476)</f>
        <v>16785.169999999998</v>
      </c>
      <c r="F476" s="277"/>
      <c r="G476" s="277"/>
      <c r="H476" s="277"/>
      <c r="I476" s="277"/>
      <c r="J476" s="277"/>
      <c r="K476" s="281">
        <f t="shared" si="650"/>
        <v>16785.169999999998</v>
      </c>
      <c r="L476" s="277"/>
      <c r="M476" s="277"/>
      <c r="N476" s="277"/>
      <c r="O476" s="277"/>
      <c r="P476" s="277">
        <v>16785.169999999998</v>
      </c>
      <c r="Q476" s="277"/>
      <c r="R476" s="281">
        <f t="shared" si="653"/>
        <v>16785.169999999998</v>
      </c>
      <c r="S476" s="277"/>
      <c r="T476" s="277"/>
      <c r="U476" s="277"/>
      <c r="V476" s="277"/>
      <c r="W476" s="277"/>
      <c r="X476" s="277"/>
      <c r="Y476" s="277"/>
      <c r="Z476" s="277"/>
      <c r="AA476" s="281">
        <f t="shared" si="695"/>
        <v>0</v>
      </c>
      <c r="AB476" s="403">
        <f t="shared" si="655"/>
        <v>16785.169999999998</v>
      </c>
      <c r="AC476" s="326">
        <f t="shared" si="673"/>
        <v>1</v>
      </c>
    </row>
    <row r="477" spans="1:29" ht="14.25" hidden="1" x14ac:dyDescent="0.2">
      <c r="A477" s="424"/>
      <c r="B477" s="323" t="s">
        <v>1406</v>
      </c>
      <c r="C477" s="206" t="s">
        <v>1407</v>
      </c>
      <c r="D477" s="277"/>
      <c r="E477" s="325">
        <f>SUM('ADICIONES  2021'!C477:N477)</f>
        <v>244473.17</v>
      </c>
      <c r="F477" s="277"/>
      <c r="G477" s="277"/>
      <c r="H477" s="277"/>
      <c r="I477" s="277"/>
      <c r="J477" s="277"/>
      <c r="K477" s="281">
        <f t="shared" si="650"/>
        <v>244473.17</v>
      </c>
      <c r="L477" s="277"/>
      <c r="M477" s="277"/>
      <c r="N477" s="277"/>
      <c r="O477" s="277"/>
      <c r="P477" s="277">
        <v>244473.17</v>
      </c>
      <c r="Q477" s="277"/>
      <c r="R477" s="281">
        <f t="shared" si="653"/>
        <v>244473.17</v>
      </c>
      <c r="S477" s="277"/>
      <c r="T477" s="277"/>
      <c r="U477" s="277"/>
      <c r="V477" s="277"/>
      <c r="W477" s="277"/>
      <c r="X477" s="277"/>
      <c r="Y477" s="277"/>
      <c r="Z477" s="277"/>
      <c r="AA477" s="281">
        <f t="shared" si="695"/>
        <v>0</v>
      </c>
      <c r="AB477" s="403">
        <f t="shared" si="655"/>
        <v>244473.17</v>
      </c>
      <c r="AC477" s="326">
        <f t="shared" si="673"/>
        <v>1</v>
      </c>
    </row>
    <row r="478" spans="1:29" ht="14.25" hidden="1" x14ac:dyDescent="0.2">
      <c r="A478" s="424"/>
      <c r="B478" s="323" t="s">
        <v>1406</v>
      </c>
      <c r="C478" s="206" t="s">
        <v>1407</v>
      </c>
      <c r="D478" s="277"/>
      <c r="E478" s="325">
        <f>SUM('ADICIONES  2021'!C478:N478)</f>
        <v>2607</v>
      </c>
      <c r="F478" s="277"/>
      <c r="G478" s="277"/>
      <c r="H478" s="277"/>
      <c r="I478" s="277"/>
      <c r="J478" s="277"/>
      <c r="K478" s="281">
        <f t="shared" si="650"/>
        <v>2607</v>
      </c>
      <c r="L478" s="277"/>
      <c r="M478" s="277"/>
      <c r="N478" s="277"/>
      <c r="O478" s="277"/>
      <c r="P478" s="277"/>
      <c r="Q478" s="277"/>
      <c r="R478" s="281">
        <f t="shared" ref="R478" si="698">SUM(L478:Q478)</f>
        <v>0</v>
      </c>
      <c r="S478" s="277"/>
      <c r="T478" s="277"/>
      <c r="U478" s="277"/>
      <c r="V478" s="277"/>
      <c r="W478" s="277">
        <v>2607</v>
      </c>
      <c r="X478" s="277"/>
      <c r="Y478" s="277"/>
      <c r="Z478" s="277"/>
      <c r="AA478" s="281">
        <f t="shared" ref="AA478" si="699">SUM(S478:Z478)</f>
        <v>2607</v>
      </c>
      <c r="AB478" s="403">
        <f t="shared" si="655"/>
        <v>2607</v>
      </c>
      <c r="AC478" s="326">
        <f t="shared" si="673"/>
        <v>1</v>
      </c>
    </row>
    <row r="479" spans="1:29" ht="14.25" hidden="1" x14ac:dyDescent="0.2">
      <c r="A479" s="424"/>
      <c r="B479" s="323" t="s">
        <v>1408</v>
      </c>
      <c r="C479" s="206" t="s">
        <v>1409</v>
      </c>
      <c r="D479" s="277"/>
      <c r="E479" s="325">
        <f>SUM('ADICIONES  2021'!C479:N479)</f>
        <v>690600</v>
      </c>
      <c r="F479" s="277"/>
      <c r="G479" s="277"/>
      <c r="H479" s="277"/>
      <c r="I479" s="277"/>
      <c r="J479" s="277"/>
      <c r="K479" s="281">
        <f t="shared" si="650"/>
        <v>690600</v>
      </c>
      <c r="L479" s="277"/>
      <c r="M479" s="277"/>
      <c r="N479" s="277"/>
      <c r="O479" s="277"/>
      <c r="P479" s="277">
        <v>690600</v>
      </c>
      <c r="Q479" s="277"/>
      <c r="R479" s="281">
        <f t="shared" si="653"/>
        <v>690600</v>
      </c>
      <c r="S479" s="277"/>
      <c r="T479" s="277"/>
      <c r="U479" s="277"/>
      <c r="V479" s="277"/>
      <c r="W479" s="277"/>
      <c r="X479" s="277"/>
      <c r="Y479" s="277"/>
      <c r="Z479" s="277"/>
      <c r="AA479" s="281">
        <f t="shared" si="695"/>
        <v>0</v>
      </c>
      <c r="AB479" s="403">
        <f t="shared" si="655"/>
        <v>690600</v>
      </c>
      <c r="AC479" s="326">
        <f t="shared" si="673"/>
        <v>1</v>
      </c>
    </row>
    <row r="480" spans="1:29" ht="14.25" hidden="1" x14ac:dyDescent="0.2">
      <c r="A480" s="424"/>
      <c r="B480" s="318" t="s">
        <v>1410</v>
      </c>
      <c r="C480" s="319" t="s">
        <v>1411</v>
      </c>
      <c r="D480" s="279">
        <f>+D481+D483+D487+D490+D496+D501+D507+D510</f>
        <v>0</v>
      </c>
      <c r="E480" s="322">
        <f>SUM('ADICIONES  2021'!C480:N480)</f>
        <v>37929694342.109993</v>
      </c>
      <c r="F480" s="279">
        <f>+F481+F483+F487+F490+F496+F501+F507+F510</f>
        <v>0</v>
      </c>
      <c r="G480" s="279">
        <f>+G481+G483+G487+G490+G496+G501+G507+G510</f>
        <v>0</v>
      </c>
      <c r="H480" s="279">
        <f>+H481+H483+H487+H490+H496+H501+H507+H510</f>
        <v>0</v>
      </c>
      <c r="I480" s="279">
        <f>+I481+I483+I487+I490+I496+I501+I507+I510</f>
        <v>0</v>
      </c>
      <c r="J480" s="279">
        <f>+J481+J483+J487+J490+J496+J501+J507+J510</f>
        <v>0</v>
      </c>
      <c r="K480" s="281">
        <f t="shared" si="650"/>
        <v>37929694342.109993</v>
      </c>
      <c r="L480" s="279">
        <f t="shared" ref="L480:Q480" si="700">+L481+L483+L487+L490+L496+L501+L507+L510</f>
        <v>0</v>
      </c>
      <c r="M480" s="279">
        <f t="shared" si="700"/>
        <v>0</v>
      </c>
      <c r="N480" s="279">
        <f t="shared" si="700"/>
        <v>0</v>
      </c>
      <c r="O480" s="279">
        <f t="shared" si="700"/>
        <v>0</v>
      </c>
      <c r="P480" s="279">
        <f t="shared" si="700"/>
        <v>37711694342.109993</v>
      </c>
      <c r="Q480" s="279">
        <f t="shared" si="700"/>
        <v>0</v>
      </c>
      <c r="R480" s="281">
        <f t="shared" si="653"/>
        <v>37711694342.109993</v>
      </c>
      <c r="S480" s="279">
        <f t="shared" ref="S480:Z480" si="701">+S481+S483+S487+S490+S496+S501+S507+S510</f>
        <v>0</v>
      </c>
      <c r="T480" s="279">
        <f t="shared" si="701"/>
        <v>0</v>
      </c>
      <c r="U480" s="279">
        <f t="shared" si="701"/>
        <v>0</v>
      </c>
      <c r="V480" s="279">
        <f t="shared" si="701"/>
        <v>0</v>
      </c>
      <c r="W480" s="279">
        <f t="shared" si="701"/>
        <v>218000000</v>
      </c>
      <c r="X480" s="279">
        <f t="shared" si="701"/>
        <v>0</v>
      </c>
      <c r="Y480" s="279">
        <f t="shared" si="701"/>
        <v>0</v>
      </c>
      <c r="Z480" s="279">
        <f t="shared" si="701"/>
        <v>0</v>
      </c>
      <c r="AA480" s="281">
        <f t="shared" si="695"/>
        <v>218000000</v>
      </c>
      <c r="AB480" s="403">
        <f t="shared" si="655"/>
        <v>37929694342.109993</v>
      </c>
      <c r="AC480" s="326">
        <f t="shared" si="673"/>
        <v>1</v>
      </c>
    </row>
    <row r="481" spans="1:29" ht="25.5" hidden="1" x14ac:dyDescent="0.2">
      <c r="A481" s="424"/>
      <c r="B481" s="318" t="s">
        <v>1412</v>
      </c>
      <c r="C481" s="319" t="s">
        <v>1413</v>
      </c>
      <c r="D481" s="279">
        <f>+D482</f>
        <v>0</v>
      </c>
      <c r="E481" s="322">
        <f>SUM('ADICIONES  2021'!C481:N481)</f>
        <v>1027049896.25</v>
      </c>
      <c r="F481" s="279">
        <f>+F482</f>
        <v>0</v>
      </c>
      <c r="G481" s="279">
        <f>+G482</f>
        <v>0</v>
      </c>
      <c r="H481" s="279">
        <f>+H482</f>
        <v>0</v>
      </c>
      <c r="I481" s="279">
        <f>+I482</f>
        <v>0</v>
      </c>
      <c r="J481" s="279">
        <f>+J482</f>
        <v>0</v>
      </c>
      <c r="K481" s="281">
        <f t="shared" si="650"/>
        <v>1027049896.25</v>
      </c>
      <c r="L481" s="279">
        <f t="shared" ref="L481:Q481" si="702">+L482</f>
        <v>0</v>
      </c>
      <c r="M481" s="279">
        <f t="shared" si="702"/>
        <v>0</v>
      </c>
      <c r="N481" s="279">
        <f t="shared" si="702"/>
        <v>0</v>
      </c>
      <c r="O481" s="279">
        <f t="shared" si="702"/>
        <v>0</v>
      </c>
      <c r="P481" s="279">
        <f t="shared" si="702"/>
        <v>1027049896.25</v>
      </c>
      <c r="Q481" s="279">
        <f t="shared" si="702"/>
        <v>0</v>
      </c>
      <c r="R481" s="281">
        <f t="shared" si="653"/>
        <v>1027049896.25</v>
      </c>
      <c r="S481" s="279">
        <f t="shared" ref="S481:Z481" si="703">+S482</f>
        <v>0</v>
      </c>
      <c r="T481" s="279">
        <f t="shared" si="703"/>
        <v>0</v>
      </c>
      <c r="U481" s="279">
        <f t="shared" si="703"/>
        <v>0</v>
      </c>
      <c r="V481" s="279">
        <f t="shared" si="703"/>
        <v>0</v>
      </c>
      <c r="W481" s="279">
        <f t="shared" si="703"/>
        <v>0</v>
      </c>
      <c r="X481" s="279">
        <f t="shared" si="703"/>
        <v>0</v>
      </c>
      <c r="Y481" s="279">
        <f t="shared" si="703"/>
        <v>0</v>
      </c>
      <c r="Z481" s="279">
        <f t="shared" si="703"/>
        <v>0</v>
      </c>
      <c r="AA481" s="281">
        <f t="shared" si="695"/>
        <v>0</v>
      </c>
      <c r="AB481" s="403">
        <f t="shared" si="655"/>
        <v>1027049896.25</v>
      </c>
      <c r="AC481" s="326">
        <f t="shared" si="673"/>
        <v>1</v>
      </c>
    </row>
    <row r="482" spans="1:29" ht="14.25" hidden="1" x14ac:dyDescent="0.2">
      <c r="A482" s="424"/>
      <c r="B482" s="323" t="s">
        <v>1414</v>
      </c>
      <c r="C482" s="206" t="s">
        <v>1415</v>
      </c>
      <c r="D482" s="277"/>
      <c r="E482" s="325">
        <f>SUM('ADICIONES  2021'!C482:N482)</f>
        <v>1027049896.25</v>
      </c>
      <c r="F482" s="277"/>
      <c r="G482" s="277"/>
      <c r="H482" s="277"/>
      <c r="I482" s="277"/>
      <c r="J482" s="277"/>
      <c r="K482" s="281">
        <f t="shared" si="650"/>
        <v>1027049896.25</v>
      </c>
      <c r="L482" s="277"/>
      <c r="M482" s="277"/>
      <c r="N482" s="277"/>
      <c r="O482" s="277"/>
      <c r="P482" s="277">
        <v>1027049896.25</v>
      </c>
      <c r="Q482" s="277"/>
      <c r="R482" s="281">
        <f t="shared" si="653"/>
        <v>1027049896.25</v>
      </c>
      <c r="S482" s="277"/>
      <c r="T482" s="277"/>
      <c r="U482" s="277"/>
      <c r="V482" s="277"/>
      <c r="W482" s="277"/>
      <c r="X482" s="277"/>
      <c r="Y482" s="277"/>
      <c r="Z482" s="277"/>
      <c r="AA482" s="281">
        <f t="shared" si="695"/>
        <v>0</v>
      </c>
      <c r="AB482" s="403">
        <f t="shared" si="655"/>
        <v>1027049896.25</v>
      </c>
      <c r="AC482" s="326">
        <f t="shared" si="673"/>
        <v>1</v>
      </c>
    </row>
    <row r="483" spans="1:29" ht="14.25" hidden="1" x14ac:dyDescent="0.2">
      <c r="A483" s="424"/>
      <c r="B483" s="318" t="s">
        <v>1416</v>
      </c>
      <c r="C483" s="319" t="s">
        <v>1417</v>
      </c>
      <c r="D483" s="279">
        <f>SUM(D484:D486)</f>
        <v>0</v>
      </c>
      <c r="E483" s="322">
        <f>SUM('ADICIONES  2021'!C483:N483)</f>
        <v>8110346950.25</v>
      </c>
      <c r="F483" s="279">
        <f>SUM(F484:F486)</f>
        <v>0</v>
      </c>
      <c r="G483" s="279">
        <f>SUM(G484:G486)</f>
        <v>0</v>
      </c>
      <c r="H483" s="279">
        <f>SUM(H484:H486)</f>
        <v>0</v>
      </c>
      <c r="I483" s="279">
        <f>SUM(I484:I486)</f>
        <v>0</v>
      </c>
      <c r="J483" s="279">
        <f>SUM(J484:J486)</f>
        <v>0</v>
      </c>
      <c r="K483" s="281">
        <f t="shared" si="650"/>
        <v>8110346950.25</v>
      </c>
      <c r="L483" s="279">
        <f t="shared" ref="L483:Q483" si="704">SUM(L484:L486)</f>
        <v>0</v>
      </c>
      <c r="M483" s="279">
        <f t="shared" si="704"/>
        <v>0</v>
      </c>
      <c r="N483" s="279">
        <f t="shared" si="704"/>
        <v>0</v>
      </c>
      <c r="O483" s="279">
        <f t="shared" si="704"/>
        <v>0</v>
      </c>
      <c r="P483" s="279">
        <f t="shared" si="704"/>
        <v>8110346950.25</v>
      </c>
      <c r="Q483" s="279">
        <f t="shared" si="704"/>
        <v>0</v>
      </c>
      <c r="R483" s="281">
        <f t="shared" si="653"/>
        <v>8110346950.25</v>
      </c>
      <c r="S483" s="279">
        <f t="shared" ref="S483:Z483" si="705">SUM(S484:S486)</f>
        <v>0</v>
      </c>
      <c r="T483" s="279">
        <f t="shared" si="705"/>
        <v>0</v>
      </c>
      <c r="U483" s="279">
        <f t="shared" si="705"/>
        <v>0</v>
      </c>
      <c r="V483" s="279">
        <f t="shared" si="705"/>
        <v>0</v>
      </c>
      <c r="W483" s="279">
        <f t="shared" si="705"/>
        <v>0</v>
      </c>
      <c r="X483" s="279">
        <f t="shared" si="705"/>
        <v>0</v>
      </c>
      <c r="Y483" s="279">
        <f t="shared" si="705"/>
        <v>0</v>
      </c>
      <c r="Z483" s="279">
        <f t="shared" si="705"/>
        <v>0</v>
      </c>
      <c r="AA483" s="281">
        <f t="shared" si="695"/>
        <v>0</v>
      </c>
      <c r="AB483" s="403">
        <f t="shared" si="655"/>
        <v>8110346950.25</v>
      </c>
      <c r="AC483" s="326">
        <f t="shared" si="673"/>
        <v>1</v>
      </c>
    </row>
    <row r="484" spans="1:29" ht="25.5" hidden="1" x14ac:dyDescent="0.2">
      <c r="A484" s="424"/>
      <c r="B484" s="323" t="s">
        <v>1418</v>
      </c>
      <c r="C484" s="206" t="s">
        <v>1419</v>
      </c>
      <c r="D484" s="277"/>
      <c r="E484" s="325">
        <f>SUM('ADICIONES  2021'!C484:N484)</f>
        <v>1319548135.48</v>
      </c>
      <c r="F484" s="277"/>
      <c r="G484" s="277"/>
      <c r="H484" s="277"/>
      <c r="I484" s="277"/>
      <c r="J484" s="277"/>
      <c r="K484" s="281">
        <f t="shared" si="650"/>
        <v>1319548135.48</v>
      </c>
      <c r="L484" s="277"/>
      <c r="M484" s="277"/>
      <c r="N484" s="277"/>
      <c r="O484" s="277"/>
      <c r="P484" s="277">
        <v>1319548135.48</v>
      </c>
      <c r="Q484" s="277"/>
      <c r="R484" s="281">
        <f t="shared" si="653"/>
        <v>1319548135.48</v>
      </c>
      <c r="S484" s="277"/>
      <c r="T484" s="277"/>
      <c r="U484" s="277"/>
      <c r="V484" s="277"/>
      <c r="W484" s="277"/>
      <c r="X484" s="277"/>
      <c r="Y484" s="277"/>
      <c r="Z484" s="277"/>
      <c r="AA484" s="281">
        <f t="shared" si="695"/>
        <v>0</v>
      </c>
      <c r="AB484" s="403">
        <f t="shared" si="655"/>
        <v>1319548135.48</v>
      </c>
      <c r="AC484" s="326">
        <f t="shared" si="673"/>
        <v>1</v>
      </c>
    </row>
    <row r="485" spans="1:29" ht="25.5" hidden="1" x14ac:dyDescent="0.2">
      <c r="A485" s="424"/>
      <c r="B485" s="323" t="s">
        <v>1420</v>
      </c>
      <c r="C485" s="206" t="s">
        <v>1421</v>
      </c>
      <c r="D485" s="277"/>
      <c r="E485" s="325">
        <f>SUM('ADICIONES  2021'!C485:N485)</f>
        <v>5006060287.7700005</v>
      </c>
      <c r="F485" s="277"/>
      <c r="G485" s="277"/>
      <c r="H485" s="277"/>
      <c r="I485" s="277"/>
      <c r="J485" s="277"/>
      <c r="K485" s="281">
        <f t="shared" si="650"/>
        <v>5006060287.7700005</v>
      </c>
      <c r="L485" s="277"/>
      <c r="M485" s="277"/>
      <c r="N485" s="277"/>
      <c r="O485" s="277"/>
      <c r="P485" s="277">
        <v>5006060287.7700005</v>
      </c>
      <c r="Q485" s="277"/>
      <c r="R485" s="281">
        <f t="shared" si="653"/>
        <v>5006060287.7700005</v>
      </c>
      <c r="S485" s="277"/>
      <c r="T485" s="277"/>
      <c r="U485" s="277"/>
      <c r="V485" s="277"/>
      <c r="W485" s="277"/>
      <c r="X485" s="277"/>
      <c r="Y485" s="277"/>
      <c r="Z485" s="277"/>
      <c r="AA485" s="281">
        <f t="shared" si="695"/>
        <v>0</v>
      </c>
      <c r="AB485" s="403">
        <f t="shared" si="655"/>
        <v>5006060287.7700005</v>
      </c>
      <c r="AC485" s="326">
        <f t="shared" si="673"/>
        <v>1</v>
      </c>
    </row>
    <row r="486" spans="1:29" ht="14.25" hidden="1" x14ac:dyDescent="0.2">
      <c r="A486" s="424"/>
      <c r="B486" s="323" t="s">
        <v>1422</v>
      </c>
      <c r="C486" s="206" t="s">
        <v>1423</v>
      </c>
      <c r="D486" s="277"/>
      <c r="E486" s="325">
        <f>SUM('ADICIONES  2021'!C486:N486)</f>
        <v>1784738527</v>
      </c>
      <c r="F486" s="277"/>
      <c r="G486" s="277"/>
      <c r="H486" s="277"/>
      <c r="I486" s="277"/>
      <c r="J486" s="277"/>
      <c r="K486" s="281">
        <f t="shared" si="650"/>
        <v>1784738527</v>
      </c>
      <c r="L486" s="277"/>
      <c r="M486" s="277"/>
      <c r="N486" s="277"/>
      <c r="O486" s="277"/>
      <c r="P486" s="277">
        <v>1784738527</v>
      </c>
      <c r="Q486" s="277"/>
      <c r="R486" s="281">
        <f t="shared" si="653"/>
        <v>1784738527</v>
      </c>
      <c r="S486" s="277"/>
      <c r="T486" s="277"/>
      <c r="U486" s="277"/>
      <c r="V486" s="277"/>
      <c r="W486" s="277"/>
      <c r="X486" s="277"/>
      <c r="Y486" s="277"/>
      <c r="Z486" s="277"/>
      <c r="AA486" s="281">
        <f t="shared" si="695"/>
        <v>0</v>
      </c>
      <c r="AB486" s="403">
        <f t="shared" si="655"/>
        <v>1784738527</v>
      </c>
      <c r="AC486" s="326">
        <f t="shared" si="673"/>
        <v>1</v>
      </c>
    </row>
    <row r="487" spans="1:29" ht="14.25" hidden="1" x14ac:dyDescent="0.2">
      <c r="A487" s="424"/>
      <c r="B487" s="318" t="s">
        <v>1424</v>
      </c>
      <c r="C487" s="319" t="s">
        <v>1425</v>
      </c>
      <c r="D487" s="279">
        <f>SUM(D488:D489)</f>
        <v>0</v>
      </c>
      <c r="E487" s="322">
        <f>SUM('ADICIONES  2021'!C487:N487)</f>
        <v>6021063253.3999996</v>
      </c>
      <c r="F487" s="279">
        <f>SUM(F488:F489)</f>
        <v>0</v>
      </c>
      <c r="G487" s="279">
        <f>SUM(G488:G489)</f>
        <v>0</v>
      </c>
      <c r="H487" s="279">
        <f>SUM(H488:H489)</f>
        <v>0</v>
      </c>
      <c r="I487" s="279">
        <f>SUM(I488:I489)</f>
        <v>0</v>
      </c>
      <c r="J487" s="279">
        <f>SUM(J488:J489)</f>
        <v>0</v>
      </c>
      <c r="K487" s="281">
        <f t="shared" si="650"/>
        <v>6021063253.3999996</v>
      </c>
      <c r="L487" s="279">
        <f t="shared" ref="L487:Q487" si="706">SUM(L488:L489)</f>
        <v>0</v>
      </c>
      <c r="M487" s="279">
        <f t="shared" si="706"/>
        <v>0</v>
      </c>
      <c r="N487" s="279">
        <f t="shared" si="706"/>
        <v>0</v>
      </c>
      <c r="O487" s="279">
        <f t="shared" si="706"/>
        <v>0</v>
      </c>
      <c r="P487" s="279">
        <f t="shared" si="706"/>
        <v>6021063253.3999996</v>
      </c>
      <c r="Q487" s="279">
        <f t="shared" si="706"/>
        <v>0</v>
      </c>
      <c r="R487" s="281">
        <f t="shared" si="653"/>
        <v>6021063253.3999996</v>
      </c>
      <c r="S487" s="279">
        <f t="shared" ref="S487:Z487" si="707">SUM(S488:S489)</f>
        <v>0</v>
      </c>
      <c r="T487" s="279">
        <f t="shared" si="707"/>
        <v>0</v>
      </c>
      <c r="U487" s="279">
        <f t="shared" si="707"/>
        <v>0</v>
      </c>
      <c r="V487" s="279">
        <f t="shared" si="707"/>
        <v>0</v>
      </c>
      <c r="W487" s="279">
        <f t="shared" si="707"/>
        <v>0</v>
      </c>
      <c r="X487" s="279">
        <f t="shared" si="707"/>
        <v>0</v>
      </c>
      <c r="Y487" s="279">
        <f t="shared" si="707"/>
        <v>0</v>
      </c>
      <c r="Z487" s="279">
        <f t="shared" si="707"/>
        <v>0</v>
      </c>
      <c r="AA487" s="281">
        <f t="shared" si="695"/>
        <v>0</v>
      </c>
      <c r="AB487" s="403">
        <f t="shared" si="655"/>
        <v>6021063253.3999996</v>
      </c>
      <c r="AC487" s="326">
        <f t="shared" si="673"/>
        <v>1</v>
      </c>
    </row>
    <row r="488" spans="1:29" ht="14.25" hidden="1" x14ac:dyDescent="0.2">
      <c r="A488" s="424"/>
      <c r="B488" s="323" t="s">
        <v>1426</v>
      </c>
      <c r="C488" s="206" t="s">
        <v>1427</v>
      </c>
      <c r="D488" s="277"/>
      <c r="E488" s="325">
        <f>SUM('ADICIONES  2021'!C488:N488)</f>
        <v>3403959283</v>
      </c>
      <c r="F488" s="277"/>
      <c r="G488" s="277"/>
      <c r="H488" s="277"/>
      <c r="I488" s="277"/>
      <c r="J488" s="277"/>
      <c r="K488" s="281">
        <f t="shared" si="650"/>
        <v>3403959283</v>
      </c>
      <c r="L488" s="277"/>
      <c r="M488" s="277"/>
      <c r="N488" s="277"/>
      <c r="O488" s="277"/>
      <c r="P488" s="277">
        <v>3403959283</v>
      </c>
      <c r="Q488" s="277"/>
      <c r="R488" s="281">
        <f t="shared" si="653"/>
        <v>3403959283</v>
      </c>
      <c r="S488" s="277"/>
      <c r="T488" s="277"/>
      <c r="U488" s="277"/>
      <c r="V488" s="277"/>
      <c r="W488" s="277"/>
      <c r="X488" s="277"/>
      <c r="Y488" s="277"/>
      <c r="Z488" s="277"/>
      <c r="AA488" s="281">
        <f t="shared" si="695"/>
        <v>0</v>
      </c>
      <c r="AB488" s="403">
        <f t="shared" si="655"/>
        <v>3403959283</v>
      </c>
      <c r="AC488" s="326">
        <f t="shared" si="673"/>
        <v>1</v>
      </c>
    </row>
    <row r="489" spans="1:29" ht="14.25" hidden="1" x14ac:dyDescent="0.2">
      <c r="A489" s="424"/>
      <c r="B489" s="323" t="s">
        <v>1428</v>
      </c>
      <c r="C489" s="206" t="s">
        <v>1429</v>
      </c>
      <c r="D489" s="277"/>
      <c r="E489" s="325">
        <f>SUM('ADICIONES  2021'!C489:N489)</f>
        <v>2617103970.4000001</v>
      </c>
      <c r="F489" s="277"/>
      <c r="G489" s="277"/>
      <c r="H489" s="277"/>
      <c r="I489" s="277"/>
      <c r="J489" s="277"/>
      <c r="K489" s="281">
        <f t="shared" si="650"/>
        <v>2617103970.4000001</v>
      </c>
      <c r="L489" s="277"/>
      <c r="M489" s="277"/>
      <c r="N489" s="277"/>
      <c r="O489" s="277"/>
      <c r="P489" s="277">
        <v>2617103970.4000001</v>
      </c>
      <c r="Q489" s="277"/>
      <c r="R489" s="281">
        <f t="shared" si="653"/>
        <v>2617103970.4000001</v>
      </c>
      <c r="S489" s="277"/>
      <c r="T489" s="277"/>
      <c r="U489" s="277"/>
      <c r="V489" s="277"/>
      <c r="W489" s="277"/>
      <c r="X489" s="277"/>
      <c r="Y489" s="277"/>
      <c r="Z489" s="277"/>
      <c r="AA489" s="281">
        <f t="shared" si="695"/>
        <v>0</v>
      </c>
      <c r="AB489" s="403">
        <f t="shared" si="655"/>
        <v>2617103970.4000001</v>
      </c>
      <c r="AC489" s="326">
        <f t="shared" si="673"/>
        <v>1</v>
      </c>
    </row>
    <row r="490" spans="1:29" ht="25.5" hidden="1" x14ac:dyDescent="0.2">
      <c r="A490" s="424"/>
      <c r="B490" s="318" t="s">
        <v>1430</v>
      </c>
      <c r="C490" s="319" t="s">
        <v>1431</v>
      </c>
      <c r="D490" s="279">
        <f>SUM(D491:D495)</f>
        <v>0</v>
      </c>
      <c r="E490" s="322">
        <f>SUM('ADICIONES  2021'!C490:N490)</f>
        <v>5392091029.4700003</v>
      </c>
      <c r="F490" s="279">
        <f>SUM(F491:F495)</f>
        <v>0</v>
      </c>
      <c r="G490" s="279">
        <f>SUM(G491:G495)</f>
        <v>0</v>
      </c>
      <c r="H490" s="279">
        <f>SUM(H491:H495)</f>
        <v>0</v>
      </c>
      <c r="I490" s="279">
        <f>SUM(I491:I495)</f>
        <v>0</v>
      </c>
      <c r="J490" s="279">
        <f>SUM(J491:J495)</f>
        <v>0</v>
      </c>
      <c r="K490" s="281">
        <f t="shared" si="650"/>
        <v>5392091029.4700003</v>
      </c>
      <c r="L490" s="279">
        <f t="shared" ref="L490:Q490" si="708">SUM(L491:L495)</f>
        <v>0</v>
      </c>
      <c r="M490" s="279">
        <f t="shared" si="708"/>
        <v>0</v>
      </c>
      <c r="N490" s="279">
        <f t="shared" si="708"/>
        <v>0</v>
      </c>
      <c r="O490" s="279">
        <f t="shared" si="708"/>
        <v>0</v>
      </c>
      <c r="P490" s="279">
        <f t="shared" si="708"/>
        <v>5392091029.4700003</v>
      </c>
      <c r="Q490" s="279">
        <f t="shared" si="708"/>
        <v>0</v>
      </c>
      <c r="R490" s="281">
        <f t="shared" si="653"/>
        <v>5392091029.4700003</v>
      </c>
      <c r="S490" s="279">
        <f t="shared" ref="S490:Z490" si="709">SUM(S491:S495)</f>
        <v>0</v>
      </c>
      <c r="T490" s="279">
        <f t="shared" si="709"/>
        <v>0</v>
      </c>
      <c r="U490" s="279">
        <f t="shared" si="709"/>
        <v>0</v>
      </c>
      <c r="V490" s="279">
        <f t="shared" si="709"/>
        <v>0</v>
      </c>
      <c r="W490" s="279">
        <f t="shared" si="709"/>
        <v>0</v>
      </c>
      <c r="X490" s="279">
        <f t="shared" si="709"/>
        <v>0</v>
      </c>
      <c r="Y490" s="279">
        <f t="shared" si="709"/>
        <v>0</v>
      </c>
      <c r="Z490" s="279">
        <f t="shared" si="709"/>
        <v>0</v>
      </c>
      <c r="AA490" s="281">
        <f t="shared" si="695"/>
        <v>0</v>
      </c>
      <c r="AB490" s="403">
        <f t="shared" si="655"/>
        <v>5392091029.4700003</v>
      </c>
      <c r="AC490" s="326">
        <f t="shared" si="673"/>
        <v>1</v>
      </c>
    </row>
    <row r="491" spans="1:29" ht="14.25" hidden="1" x14ac:dyDescent="0.2">
      <c r="A491" s="424"/>
      <c r="B491" s="323" t="s">
        <v>1432</v>
      </c>
      <c r="C491" s="206" t="s">
        <v>1433</v>
      </c>
      <c r="D491" s="277"/>
      <c r="E491" s="325">
        <f>SUM('ADICIONES  2021'!C491:N491)</f>
        <v>3243305814.75</v>
      </c>
      <c r="F491" s="277"/>
      <c r="G491" s="277"/>
      <c r="H491" s="277"/>
      <c r="I491" s="277"/>
      <c r="J491" s="277"/>
      <c r="K491" s="281">
        <f t="shared" si="650"/>
        <v>3243305814.75</v>
      </c>
      <c r="L491" s="277"/>
      <c r="M491" s="277"/>
      <c r="N491" s="277"/>
      <c r="O491" s="277"/>
      <c r="P491" s="277">
        <v>3243305814.75</v>
      </c>
      <c r="Q491" s="277"/>
      <c r="R491" s="281">
        <f t="shared" si="653"/>
        <v>3243305814.75</v>
      </c>
      <c r="S491" s="277"/>
      <c r="T491" s="277"/>
      <c r="U491" s="277"/>
      <c r="V491" s="277"/>
      <c r="W491" s="277"/>
      <c r="X491" s="277"/>
      <c r="Y491" s="277"/>
      <c r="Z491" s="277"/>
      <c r="AA491" s="281">
        <f t="shared" si="695"/>
        <v>0</v>
      </c>
      <c r="AB491" s="403">
        <f t="shared" si="655"/>
        <v>3243305814.75</v>
      </c>
      <c r="AC491" s="326">
        <f t="shared" si="673"/>
        <v>1</v>
      </c>
    </row>
    <row r="492" spans="1:29" ht="14.25" hidden="1" x14ac:dyDescent="0.2">
      <c r="A492" s="424"/>
      <c r="B492" s="323" t="s">
        <v>1434</v>
      </c>
      <c r="C492" s="206" t="s">
        <v>1435</v>
      </c>
      <c r="D492" s="277"/>
      <c r="E492" s="325">
        <f>SUM('ADICIONES  2021'!C492:N492)</f>
        <v>518928930.36000001</v>
      </c>
      <c r="F492" s="277"/>
      <c r="G492" s="277"/>
      <c r="H492" s="277"/>
      <c r="I492" s="277"/>
      <c r="J492" s="277"/>
      <c r="K492" s="281">
        <f t="shared" si="650"/>
        <v>518928930.36000001</v>
      </c>
      <c r="L492" s="277"/>
      <c r="M492" s="277"/>
      <c r="N492" s="277"/>
      <c r="O492" s="277"/>
      <c r="P492" s="277">
        <v>518928930.36000001</v>
      </c>
      <c r="Q492" s="277"/>
      <c r="R492" s="281">
        <f t="shared" si="653"/>
        <v>518928930.36000001</v>
      </c>
      <c r="S492" s="277"/>
      <c r="T492" s="277"/>
      <c r="U492" s="277"/>
      <c r="V492" s="277"/>
      <c r="W492" s="277"/>
      <c r="X492" s="277"/>
      <c r="Y492" s="277"/>
      <c r="Z492" s="277"/>
      <c r="AA492" s="281">
        <f t="shared" si="695"/>
        <v>0</v>
      </c>
      <c r="AB492" s="403">
        <f t="shared" si="655"/>
        <v>518928930.36000001</v>
      </c>
      <c r="AC492" s="326">
        <f t="shared" si="673"/>
        <v>1</v>
      </c>
    </row>
    <row r="493" spans="1:29" ht="14.25" hidden="1" x14ac:dyDescent="0.2">
      <c r="A493" s="424"/>
      <c r="B493" s="323" t="s">
        <v>1436</v>
      </c>
      <c r="C493" s="206" t="s">
        <v>1437</v>
      </c>
      <c r="D493" s="277"/>
      <c r="E493" s="325">
        <f>SUM('ADICIONES  2021'!C493:N493)</f>
        <v>346052620.24000001</v>
      </c>
      <c r="F493" s="277"/>
      <c r="G493" s="277"/>
      <c r="H493" s="277"/>
      <c r="I493" s="277"/>
      <c r="J493" s="277"/>
      <c r="K493" s="281">
        <f t="shared" si="650"/>
        <v>346052620.24000001</v>
      </c>
      <c r="L493" s="277"/>
      <c r="M493" s="277"/>
      <c r="N493" s="277"/>
      <c r="O493" s="277"/>
      <c r="P493" s="277">
        <v>346052620.24000001</v>
      </c>
      <c r="Q493" s="277"/>
      <c r="R493" s="281">
        <f t="shared" si="653"/>
        <v>346052620.24000001</v>
      </c>
      <c r="S493" s="277"/>
      <c r="T493" s="277"/>
      <c r="U493" s="277"/>
      <c r="V493" s="277"/>
      <c r="W493" s="277"/>
      <c r="X493" s="277"/>
      <c r="Y493" s="277"/>
      <c r="Z493" s="277"/>
      <c r="AA493" s="281">
        <f t="shared" si="695"/>
        <v>0</v>
      </c>
      <c r="AB493" s="403">
        <f t="shared" si="655"/>
        <v>346052620.24000001</v>
      </c>
      <c r="AC493" s="326">
        <f t="shared" si="673"/>
        <v>1</v>
      </c>
    </row>
    <row r="494" spans="1:29" ht="14.25" hidden="1" x14ac:dyDescent="0.2">
      <c r="A494" s="424"/>
      <c r="B494" s="323" t="s">
        <v>1438</v>
      </c>
      <c r="C494" s="206" t="s">
        <v>1439</v>
      </c>
      <c r="D494" s="277"/>
      <c r="E494" s="325">
        <f>SUM('ADICIONES  2021'!C494:N494)</f>
        <v>790282198.47000003</v>
      </c>
      <c r="F494" s="277"/>
      <c r="G494" s="277"/>
      <c r="H494" s="277"/>
      <c r="I494" s="277"/>
      <c r="J494" s="277"/>
      <c r="K494" s="281">
        <f t="shared" si="650"/>
        <v>790282198.47000003</v>
      </c>
      <c r="L494" s="277"/>
      <c r="M494" s="277"/>
      <c r="N494" s="277"/>
      <c r="O494" s="277"/>
      <c r="P494" s="277">
        <v>790282198.47000003</v>
      </c>
      <c r="Q494" s="277"/>
      <c r="R494" s="281">
        <f t="shared" si="653"/>
        <v>790282198.47000003</v>
      </c>
      <c r="S494" s="277"/>
      <c r="T494" s="277"/>
      <c r="U494" s="277"/>
      <c r="V494" s="277"/>
      <c r="W494" s="277"/>
      <c r="X494" s="277"/>
      <c r="Y494" s="277"/>
      <c r="Z494" s="277"/>
      <c r="AA494" s="281">
        <f t="shared" si="695"/>
        <v>0</v>
      </c>
      <c r="AB494" s="403">
        <f t="shared" si="655"/>
        <v>790282198.47000003</v>
      </c>
      <c r="AC494" s="326">
        <f t="shared" si="673"/>
        <v>1</v>
      </c>
    </row>
    <row r="495" spans="1:29" ht="14.25" hidden="1" x14ac:dyDescent="0.2">
      <c r="A495" s="424"/>
      <c r="B495" s="323" t="s">
        <v>1440</v>
      </c>
      <c r="C495" s="206" t="s">
        <v>1441</v>
      </c>
      <c r="D495" s="277"/>
      <c r="E495" s="325">
        <f>SUM('ADICIONES  2021'!C495:N495)</f>
        <v>493521465.64999998</v>
      </c>
      <c r="F495" s="277"/>
      <c r="G495" s="277"/>
      <c r="H495" s="277"/>
      <c r="I495" s="277"/>
      <c r="J495" s="277"/>
      <c r="K495" s="281">
        <f t="shared" si="650"/>
        <v>493521465.64999998</v>
      </c>
      <c r="L495" s="277"/>
      <c r="M495" s="277"/>
      <c r="N495" s="277"/>
      <c r="O495" s="277"/>
      <c r="P495" s="277">
        <v>493521465.64999998</v>
      </c>
      <c r="Q495" s="277"/>
      <c r="R495" s="281">
        <f t="shared" si="653"/>
        <v>493521465.64999998</v>
      </c>
      <c r="S495" s="277"/>
      <c r="T495" s="277"/>
      <c r="U495" s="277"/>
      <c r="V495" s="277"/>
      <c r="W495" s="277"/>
      <c r="X495" s="277"/>
      <c r="Y495" s="277"/>
      <c r="Z495" s="277"/>
      <c r="AA495" s="281">
        <f t="shared" si="695"/>
        <v>0</v>
      </c>
      <c r="AB495" s="403">
        <f t="shared" si="655"/>
        <v>493521465.64999998</v>
      </c>
      <c r="AC495" s="326">
        <f t="shared" si="673"/>
        <v>1</v>
      </c>
    </row>
    <row r="496" spans="1:29" ht="14.25" hidden="1" x14ac:dyDescent="0.2">
      <c r="A496" s="424"/>
      <c r="B496" s="318" t="s">
        <v>1442</v>
      </c>
      <c r="C496" s="319" t="s">
        <v>1443</v>
      </c>
      <c r="D496" s="279">
        <f>SUM(D497:D500)</f>
        <v>0</v>
      </c>
      <c r="E496" s="322">
        <f>SUM('ADICIONES  2021'!C496:N496)</f>
        <v>8438554129.0799999</v>
      </c>
      <c r="F496" s="279">
        <f>SUM(F497:F500)</f>
        <v>0</v>
      </c>
      <c r="G496" s="279">
        <f>SUM(G497:G500)</f>
        <v>0</v>
      </c>
      <c r="H496" s="279">
        <f>SUM(H497:H500)</f>
        <v>0</v>
      </c>
      <c r="I496" s="279">
        <f>SUM(I497:I500)</f>
        <v>0</v>
      </c>
      <c r="J496" s="279">
        <f>SUM(J497:J500)</f>
        <v>0</v>
      </c>
      <c r="K496" s="281">
        <f t="shared" si="650"/>
        <v>8438554129.0799999</v>
      </c>
      <c r="L496" s="279">
        <f t="shared" ref="L496:Q496" si="710">SUM(L497:L500)</f>
        <v>0</v>
      </c>
      <c r="M496" s="279">
        <f t="shared" si="710"/>
        <v>0</v>
      </c>
      <c r="N496" s="279">
        <f t="shared" si="710"/>
        <v>0</v>
      </c>
      <c r="O496" s="279">
        <f t="shared" si="710"/>
        <v>0</v>
      </c>
      <c r="P496" s="279">
        <f t="shared" si="710"/>
        <v>8438554129.0799999</v>
      </c>
      <c r="Q496" s="279">
        <f t="shared" si="710"/>
        <v>0</v>
      </c>
      <c r="R496" s="281">
        <f t="shared" si="653"/>
        <v>8438554129.0799999</v>
      </c>
      <c r="S496" s="279">
        <f t="shared" ref="S496:Z496" si="711">SUM(S497:S500)</f>
        <v>0</v>
      </c>
      <c r="T496" s="279">
        <f t="shared" si="711"/>
        <v>0</v>
      </c>
      <c r="U496" s="279">
        <f t="shared" si="711"/>
        <v>0</v>
      </c>
      <c r="V496" s="279">
        <f t="shared" si="711"/>
        <v>0</v>
      </c>
      <c r="W496" s="279">
        <f t="shared" si="711"/>
        <v>0</v>
      </c>
      <c r="X496" s="279">
        <f t="shared" si="711"/>
        <v>0</v>
      </c>
      <c r="Y496" s="279">
        <f t="shared" si="711"/>
        <v>0</v>
      </c>
      <c r="Z496" s="279">
        <f t="shared" si="711"/>
        <v>0</v>
      </c>
      <c r="AA496" s="281">
        <f t="shared" si="695"/>
        <v>0</v>
      </c>
      <c r="AB496" s="403">
        <f t="shared" si="655"/>
        <v>8438554129.0799999</v>
      </c>
      <c r="AC496" s="326">
        <f t="shared" si="673"/>
        <v>1</v>
      </c>
    </row>
    <row r="497" spans="1:29" ht="14.25" hidden="1" x14ac:dyDescent="0.2">
      <c r="A497" s="424"/>
      <c r="B497" s="323" t="s">
        <v>1444</v>
      </c>
      <c r="C497" s="206" t="s">
        <v>1445</v>
      </c>
      <c r="D497" s="277"/>
      <c r="E497" s="325">
        <f>SUM('ADICIONES  2021'!C497:N497)</f>
        <v>2671945846.21</v>
      </c>
      <c r="F497" s="277"/>
      <c r="G497" s="277"/>
      <c r="H497" s="277"/>
      <c r="I497" s="277"/>
      <c r="J497" s="277"/>
      <c r="K497" s="281">
        <f t="shared" si="650"/>
        <v>2671945846.21</v>
      </c>
      <c r="L497" s="277"/>
      <c r="M497" s="277"/>
      <c r="N497" s="277"/>
      <c r="O497" s="277"/>
      <c r="P497" s="277">
        <v>2671945846.21</v>
      </c>
      <c r="Q497" s="277"/>
      <c r="R497" s="281">
        <f t="shared" si="653"/>
        <v>2671945846.21</v>
      </c>
      <c r="S497" s="277"/>
      <c r="T497" s="277"/>
      <c r="U497" s="277"/>
      <c r="V497" s="277"/>
      <c r="W497" s="277"/>
      <c r="X497" s="277"/>
      <c r="Y497" s="277"/>
      <c r="Z497" s="277"/>
      <c r="AA497" s="281">
        <f t="shared" si="695"/>
        <v>0</v>
      </c>
      <c r="AB497" s="403">
        <f t="shared" si="655"/>
        <v>2671945846.21</v>
      </c>
      <c r="AC497" s="326">
        <f t="shared" si="673"/>
        <v>1</v>
      </c>
    </row>
    <row r="498" spans="1:29" ht="25.5" hidden="1" x14ac:dyDescent="0.2">
      <c r="A498" s="424"/>
      <c r="B498" s="323" t="s">
        <v>1446</v>
      </c>
      <c r="C498" s="206" t="s">
        <v>1447</v>
      </c>
      <c r="D498" s="277"/>
      <c r="E498" s="325">
        <f>SUM('ADICIONES  2021'!C498:N498)</f>
        <v>2934254218.5999999</v>
      </c>
      <c r="F498" s="277"/>
      <c r="G498" s="277"/>
      <c r="H498" s="277"/>
      <c r="I498" s="277"/>
      <c r="J498" s="277"/>
      <c r="K498" s="281">
        <f t="shared" si="650"/>
        <v>2934254218.5999999</v>
      </c>
      <c r="L498" s="277"/>
      <c r="M498" s="277"/>
      <c r="N498" s="277"/>
      <c r="O498" s="277"/>
      <c r="P498" s="277">
        <v>2934254218.5999999</v>
      </c>
      <c r="Q498" s="277"/>
      <c r="R498" s="281">
        <f t="shared" si="653"/>
        <v>2934254218.5999999</v>
      </c>
      <c r="S498" s="277"/>
      <c r="T498" s="277"/>
      <c r="U498" s="277"/>
      <c r="V498" s="277"/>
      <c r="W498" s="277"/>
      <c r="X498" s="277"/>
      <c r="Y498" s="277"/>
      <c r="Z498" s="277"/>
      <c r="AA498" s="281">
        <f t="shared" si="695"/>
        <v>0</v>
      </c>
      <c r="AB498" s="403">
        <f t="shared" si="655"/>
        <v>2934254218.5999999</v>
      </c>
      <c r="AC498" s="326">
        <f t="shared" si="673"/>
        <v>1</v>
      </c>
    </row>
    <row r="499" spans="1:29" ht="14.25" hidden="1" x14ac:dyDescent="0.2">
      <c r="A499" s="424"/>
      <c r="B499" s="323" t="s">
        <v>1448</v>
      </c>
      <c r="C499" s="206" t="s">
        <v>1449</v>
      </c>
      <c r="D499" s="277"/>
      <c r="E499" s="325">
        <f>SUM('ADICIONES  2021'!C499:N499)</f>
        <v>61272454.5</v>
      </c>
      <c r="F499" s="277"/>
      <c r="G499" s="277"/>
      <c r="H499" s="277"/>
      <c r="I499" s="277"/>
      <c r="J499" s="277"/>
      <c r="K499" s="281">
        <f t="shared" si="650"/>
        <v>61272454.5</v>
      </c>
      <c r="L499" s="277"/>
      <c r="M499" s="277"/>
      <c r="N499" s="277"/>
      <c r="O499" s="277"/>
      <c r="P499" s="277">
        <v>61272454.5</v>
      </c>
      <c r="Q499" s="277"/>
      <c r="R499" s="281">
        <f t="shared" si="653"/>
        <v>61272454.5</v>
      </c>
      <c r="S499" s="277"/>
      <c r="T499" s="277"/>
      <c r="U499" s="277"/>
      <c r="V499" s="277"/>
      <c r="W499" s="277"/>
      <c r="X499" s="277"/>
      <c r="Y499" s="277"/>
      <c r="Z499" s="277"/>
      <c r="AA499" s="281">
        <f t="shared" ref="AA499:AA565" si="712">SUM(S499:Z499)</f>
        <v>0</v>
      </c>
      <c r="AB499" s="403">
        <f t="shared" si="655"/>
        <v>61272454.5</v>
      </c>
      <c r="AC499" s="326">
        <f t="shared" si="673"/>
        <v>1</v>
      </c>
    </row>
    <row r="500" spans="1:29" ht="14.25" hidden="1" x14ac:dyDescent="0.2">
      <c r="A500" s="424"/>
      <c r="B500" s="323" t="s">
        <v>1450</v>
      </c>
      <c r="C500" s="206" t="s">
        <v>1451</v>
      </c>
      <c r="D500" s="277"/>
      <c r="E500" s="325">
        <f>SUM('ADICIONES  2021'!C500:N500)</f>
        <v>2771081609.77</v>
      </c>
      <c r="F500" s="277"/>
      <c r="G500" s="277"/>
      <c r="H500" s="277"/>
      <c r="I500" s="277"/>
      <c r="J500" s="277"/>
      <c r="K500" s="281">
        <f t="shared" si="650"/>
        <v>2771081609.77</v>
      </c>
      <c r="L500" s="277"/>
      <c r="M500" s="277"/>
      <c r="N500" s="277"/>
      <c r="O500" s="277"/>
      <c r="P500" s="277">
        <v>2771081609.77</v>
      </c>
      <c r="Q500" s="277"/>
      <c r="R500" s="281">
        <f t="shared" si="653"/>
        <v>2771081609.77</v>
      </c>
      <c r="S500" s="277"/>
      <c r="T500" s="277"/>
      <c r="U500" s="277"/>
      <c r="V500" s="277"/>
      <c r="W500" s="277"/>
      <c r="X500" s="277"/>
      <c r="Y500" s="277"/>
      <c r="Z500" s="277"/>
      <c r="AA500" s="281">
        <f t="shared" si="712"/>
        <v>0</v>
      </c>
      <c r="AB500" s="403">
        <f t="shared" si="655"/>
        <v>2771081609.77</v>
      </c>
      <c r="AC500" s="326">
        <f t="shared" si="673"/>
        <v>1</v>
      </c>
    </row>
    <row r="501" spans="1:29" s="61" customFormat="1" ht="15.75" hidden="1" x14ac:dyDescent="0.2">
      <c r="A501" s="425"/>
      <c r="B501" s="318" t="s">
        <v>1452</v>
      </c>
      <c r="C501" s="319" t="s">
        <v>1453</v>
      </c>
      <c r="D501" s="279">
        <f>SUM(D502:D506)</f>
        <v>0</v>
      </c>
      <c r="E501" s="322">
        <f>SUM('ADICIONES  2021'!C501:N501)</f>
        <v>6338619248.2299995</v>
      </c>
      <c r="F501" s="279">
        <f>SUM(F502:F506)</f>
        <v>0</v>
      </c>
      <c r="G501" s="279">
        <f>SUM(G502:G506)</f>
        <v>0</v>
      </c>
      <c r="H501" s="279">
        <f>SUM(H502:H506)</f>
        <v>0</v>
      </c>
      <c r="I501" s="279">
        <f>SUM(I502:I506)</f>
        <v>0</v>
      </c>
      <c r="J501" s="279">
        <f>SUM(J502:J506)</f>
        <v>0</v>
      </c>
      <c r="K501" s="276">
        <f t="shared" si="650"/>
        <v>6338619248.2299995</v>
      </c>
      <c r="L501" s="279">
        <f t="shared" ref="L501:Q501" si="713">SUM(L502:L506)</f>
        <v>0</v>
      </c>
      <c r="M501" s="279">
        <f t="shared" si="713"/>
        <v>0</v>
      </c>
      <c r="N501" s="279">
        <f t="shared" si="713"/>
        <v>0</v>
      </c>
      <c r="O501" s="279">
        <f t="shared" si="713"/>
        <v>0</v>
      </c>
      <c r="P501" s="279">
        <f t="shared" si="713"/>
        <v>6120619248.2299995</v>
      </c>
      <c r="Q501" s="279">
        <f t="shared" si="713"/>
        <v>0</v>
      </c>
      <c r="R501" s="276">
        <f t="shared" si="653"/>
        <v>6120619248.2299995</v>
      </c>
      <c r="S501" s="279">
        <f t="shared" ref="S501:Z501" si="714">SUM(S502:S506)</f>
        <v>0</v>
      </c>
      <c r="T501" s="279">
        <f t="shared" si="714"/>
        <v>0</v>
      </c>
      <c r="U501" s="279">
        <f t="shared" si="714"/>
        <v>0</v>
      </c>
      <c r="V501" s="279">
        <f t="shared" si="714"/>
        <v>0</v>
      </c>
      <c r="W501" s="279">
        <f t="shared" si="714"/>
        <v>218000000</v>
      </c>
      <c r="X501" s="279">
        <f t="shared" si="714"/>
        <v>0</v>
      </c>
      <c r="Y501" s="279">
        <f t="shared" si="714"/>
        <v>0</v>
      </c>
      <c r="Z501" s="279">
        <f t="shared" si="714"/>
        <v>0</v>
      </c>
      <c r="AA501" s="276">
        <f t="shared" si="712"/>
        <v>218000000</v>
      </c>
      <c r="AB501" s="402">
        <f t="shared" si="655"/>
        <v>6338619248.2299995</v>
      </c>
      <c r="AC501" s="321">
        <f t="shared" si="673"/>
        <v>1</v>
      </c>
    </row>
    <row r="502" spans="1:29" ht="14.25" hidden="1" x14ac:dyDescent="0.2">
      <c r="A502" s="424"/>
      <c r="B502" s="323" t="s">
        <v>1454</v>
      </c>
      <c r="C502" s="206" t="s">
        <v>1455</v>
      </c>
      <c r="D502" s="277"/>
      <c r="E502" s="325">
        <f>SUM('ADICIONES  2021'!C502:N502)</f>
        <v>391955142.67000002</v>
      </c>
      <c r="F502" s="277"/>
      <c r="G502" s="277"/>
      <c r="H502" s="277"/>
      <c r="I502" s="277"/>
      <c r="J502" s="277"/>
      <c r="K502" s="281">
        <f t="shared" si="650"/>
        <v>391955142.67000002</v>
      </c>
      <c r="L502" s="277"/>
      <c r="M502" s="277"/>
      <c r="N502" s="277"/>
      <c r="O502" s="277"/>
      <c r="P502" s="277">
        <v>391955142.67000002</v>
      </c>
      <c r="Q502" s="277"/>
      <c r="R502" s="281">
        <f t="shared" si="653"/>
        <v>391955142.67000002</v>
      </c>
      <c r="S502" s="277"/>
      <c r="T502" s="277"/>
      <c r="U502" s="277"/>
      <c r="V502" s="277"/>
      <c r="W502" s="277"/>
      <c r="X502" s="277"/>
      <c r="Y502" s="277"/>
      <c r="Z502" s="277"/>
      <c r="AA502" s="281">
        <f t="shared" si="712"/>
        <v>0</v>
      </c>
      <c r="AB502" s="403">
        <f t="shared" si="655"/>
        <v>391955142.67000002</v>
      </c>
      <c r="AC502" s="326">
        <f t="shared" si="673"/>
        <v>1</v>
      </c>
    </row>
    <row r="503" spans="1:29" ht="14.25" hidden="1" x14ac:dyDescent="0.2">
      <c r="A503" s="424"/>
      <c r="B503" s="323" t="s">
        <v>1454</v>
      </c>
      <c r="C503" s="206" t="s">
        <v>1455</v>
      </c>
      <c r="D503" s="277"/>
      <c r="E503" s="325">
        <f>SUM('ADICIONES  2021'!C503:N503)</f>
        <v>218000000</v>
      </c>
      <c r="F503" s="277"/>
      <c r="G503" s="277"/>
      <c r="H503" s="277"/>
      <c r="I503" s="277"/>
      <c r="J503" s="277"/>
      <c r="K503" s="281">
        <f t="shared" si="650"/>
        <v>218000000</v>
      </c>
      <c r="L503" s="277"/>
      <c r="M503" s="277"/>
      <c r="N503" s="277"/>
      <c r="O503" s="277"/>
      <c r="P503" s="277"/>
      <c r="Q503" s="277"/>
      <c r="R503" s="281">
        <f t="shared" ref="R503" si="715">SUM(L503:Q503)</f>
        <v>0</v>
      </c>
      <c r="S503" s="277"/>
      <c r="T503" s="277"/>
      <c r="U503" s="277"/>
      <c r="V503" s="277"/>
      <c r="W503" s="277">
        <v>218000000</v>
      </c>
      <c r="X503" s="277"/>
      <c r="Y503" s="277"/>
      <c r="Z503" s="277"/>
      <c r="AA503" s="281">
        <f t="shared" ref="AA503" si="716">SUM(S503:Z503)</f>
        <v>218000000</v>
      </c>
      <c r="AB503" s="403">
        <f t="shared" si="655"/>
        <v>218000000</v>
      </c>
      <c r="AC503" s="326">
        <f t="shared" si="673"/>
        <v>1</v>
      </c>
    </row>
    <row r="504" spans="1:29" ht="14.25" hidden="1" x14ac:dyDescent="0.2">
      <c r="A504" s="424"/>
      <c r="B504" s="323" t="s">
        <v>1456</v>
      </c>
      <c r="C504" s="206" t="s">
        <v>1457</v>
      </c>
      <c r="D504" s="277"/>
      <c r="E504" s="325">
        <f>SUM('ADICIONES  2021'!C504:N504)</f>
        <v>469938850.06999999</v>
      </c>
      <c r="F504" s="277"/>
      <c r="G504" s="277"/>
      <c r="H504" s="277"/>
      <c r="I504" s="277"/>
      <c r="J504" s="277"/>
      <c r="K504" s="281">
        <f t="shared" si="650"/>
        <v>469938850.06999999</v>
      </c>
      <c r="L504" s="277"/>
      <c r="M504" s="277"/>
      <c r="N504" s="277"/>
      <c r="O504" s="277"/>
      <c r="P504" s="277">
        <v>469938850.06999999</v>
      </c>
      <c r="Q504" s="277"/>
      <c r="R504" s="281">
        <f t="shared" si="653"/>
        <v>469938850.06999999</v>
      </c>
      <c r="S504" s="277"/>
      <c r="T504" s="277"/>
      <c r="U504" s="277"/>
      <c r="V504" s="277"/>
      <c r="W504" s="277"/>
      <c r="X504" s="277"/>
      <c r="Y504" s="277"/>
      <c r="Z504" s="277"/>
      <c r="AA504" s="281">
        <f t="shared" si="712"/>
        <v>0</v>
      </c>
      <c r="AB504" s="403">
        <f t="shared" si="655"/>
        <v>469938850.06999999</v>
      </c>
      <c r="AC504" s="326">
        <f t="shared" si="673"/>
        <v>1</v>
      </c>
    </row>
    <row r="505" spans="1:29" ht="25.5" hidden="1" x14ac:dyDescent="0.2">
      <c r="A505" s="424"/>
      <c r="B505" s="323" t="s">
        <v>1458</v>
      </c>
      <c r="C505" s="206" t="s">
        <v>1459</v>
      </c>
      <c r="D505" s="277"/>
      <c r="E505" s="325">
        <f>SUM('ADICIONES  2021'!C505:N505)</f>
        <v>4878475057.2299995</v>
      </c>
      <c r="F505" s="277"/>
      <c r="G505" s="277"/>
      <c r="H505" s="277"/>
      <c r="I505" s="277"/>
      <c r="J505" s="277"/>
      <c r="K505" s="281">
        <f t="shared" si="650"/>
        <v>4878475057.2299995</v>
      </c>
      <c r="L505" s="277"/>
      <c r="M505" s="277"/>
      <c r="N505" s="277"/>
      <c r="O505" s="277"/>
      <c r="P505" s="277">
        <v>4878475057.2299995</v>
      </c>
      <c r="Q505" s="277"/>
      <c r="R505" s="281">
        <f t="shared" si="653"/>
        <v>4878475057.2299995</v>
      </c>
      <c r="S505" s="277"/>
      <c r="T505" s="277"/>
      <c r="U505" s="277"/>
      <c r="V505" s="277"/>
      <c r="W505" s="277"/>
      <c r="X505" s="277"/>
      <c r="Y505" s="277"/>
      <c r="Z505" s="277"/>
      <c r="AA505" s="281">
        <f t="shared" si="712"/>
        <v>0</v>
      </c>
      <c r="AB505" s="403">
        <f t="shared" si="655"/>
        <v>4878475057.2299995</v>
      </c>
      <c r="AC505" s="326">
        <f t="shared" si="673"/>
        <v>1</v>
      </c>
    </row>
    <row r="506" spans="1:29" ht="25.5" hidden="1" x14ac:dyDescent="0.2">
      <c r="A506" s="424"/>
      <c r="B506" s="323" t="s">
        <v>1460</v>
      </c>
      <c r="C506" s="206" t="s">
        <v>1461</v>
      </c>
      <c r="D506" s="277"/>
      <c r="E506" s="325">
        <f>SUM('ADICIONES  2021'!C506:N506)</f>
        <v>380250198.25999999</v>
      </c>
      <c r="F506" s="277"/>
      <c r="G506" s="277"/>
      <c r="H506" s="277"/>
      <c r="I506" s="277"/>
      <c r="J506" s="277"/>
      <c r="K506" s="281">
        <f t="shared" si="650"/>
        <v>380250198.25999999</v>
      </c>
      <c r="L506" s="277"/>
      <c r="M506" s="277"/>
      <c r="N506" s="277"/>
      <c r="O506" s="277"/>
      <c r="P506" s="277">
        <v>380250198.25999999</v>
      </c>
      <c r="Q506" s="277"/>
      <c r="R506" s="281">
        <f t="shared" si="653"/>
        <v>380250198.25999999</v>
      </c>
      <c r="S506" s="277"/>
      <c r="T506" s="277"/>
      <c r="U506" s="277"/>
      <c r="V506" s="277"/>
      <c r="W506" s="277"/>
      <c r="X506" s="277"/>
      <c r="Y506" s="277"/>
      <c r="Z506" s="277"/>
      <c r="AA506" s="281">
        <f t="shared" si="712"/>
        <v>0</v>
      </c>
      <c r="AB506" s="403">
        <f t="shared" si="655"/>
        <v>380250198.25999999</v>
      </c>
      <c r="AC506" s="326">
        <f t="shared" si="673"/>
        <v>1</v>
      </c>
    </row>
    <row r="507" spans="1:29" ht="14.25" hidden="1" x14ac:dyDescent="0.2">
      <c r="A507" s="424"/>
      <c r="B507" s="318" t="s">
        <v>1462</v>
      </c>
      <c r="C507" s="319" t="s">
        <v>1463</v>
      </c>
      <c r="D507" s="279">
        <f>SUM(D508:D509)</f>
        <v>0</v>
      </c>
      <c r="E507" s="322">
        <f>SUM('ADICIONES  2021'!C507:N507)</f>
        <v>27300121.359999999</v>
      </c>
      <c r="F507" s="279">
        <f>SUM(F508:F509)</f>
        <v>0</v>
      </c>
      <c r="G507" s="279">
        <f>SUM(G508:G509)</f>
        <v>0</v>
      </c>
      <c r="H507" s="279">
        <f>SUM(H508:H509)</f>
        <v>0</v>
      </c>
      <c r="I507" s="279">
        <f>SUM(I508:I509)</f>
        <v>0</v>
      </c>
      <c r="J507" s="279">
        <f>SUM(J508:J509)</f>
        <v>0</v>
      </c>
      <c r="K507" s="281">
        <f t="shared" si="650"/>
        <v>27300121.359999999</v>
      </c>
      <c r="L507" s="279">
        <f t="shared" ref="L507:Q507" si="717">SUM(L508:L509)</f>
        <v>0</v>
      </c>
      <c r="M507" s="279">
        <f t="shared" si="717"/>
        <v>0</v>
      </c>
      <c r="N507" s="279">
        <f t="shared" si="717"/>
        <v>0</v>
      </c>
      <c r="O507" s="279">
        <f t="shared" si="717"/>
        <v>0</v>
      </c>
      <c r="P507" s="279">
        <f t="shared" si="717"/>
        <v>27300121.359999999</v>
      </c>
      <c r="Q507" s="279">
        <f t="shared" si="717"/>
        <v>0</v>
      </c>
      <c r="R507" s="281">
        <f t="shared" si="653"/>
        <v>27300121.359999999</v>
      </c>
      <c r="S507" s="279">
        <f t="shared" ref="S507:Z507" si="718">SUM(S508:S509)</f>
        <v>0</v>
      </c>
      <c r="T507" s="279">
        <f t="shared" si="718"/>
        <v>0</v>
      </c>
      <c r="U507" s="279">
        <f t="shared" si="718"/>
        <v>0</v>
      </c>
      <c r="V507" s="279">
        <f t="shared" si="718"/>
        <v>0</v>
      </c>
      <c r="W507" s="279">
        <f t="shared" si="718"/>
        <v>0</v>
      </c>
      <c r="X507" s="279">
        <f t="shared" si="718"/>
        <v>0</v>
      </c>
      <c r="Y507" s="279">
        <f t="shared" si="718"/>
        <v>0</v>
      </c>
      <c r="Z507" s="279">
        <f t="shared" si="718"/>
        <v>0</v>
      </c>
      <c r="AA507" s="281">
        <f t="shared" si="712"/>
        <v>0</v>
      </c>
      <c r="AB507" s="403">
        <f t="shared" si="655"/>
        <v>27300121.359999999</v>
      </c>
      <c r="AC507" s="326">
        <f t="shared" si="673"/>
        <v>1</v>
      </c>
    </row>
    <row r="508" spans="1:29" ht="14.25" hidden="1" x14ac:dyDescent="0.2">
      <c r="A508" s="424"/>
      <c r="B508" s="323" t="s">
        <v>1464</v>
      </c>
      <c r="C508" s="206" t="s">
        <v>1463</v>
      </c>
      <c r="D508" s="277"/>
      <c r="E508" s="325">
        <f>SUM('ADICIONES  2021'!C508:N508)</f>
        <v>2505946</v>
      </c>
      <c r="F508" s="277"/>
      <c r="G508" s="277"/>
      <c r="H508" s="277"/>
      <c r="I508" s="277"/>
      <c r="J508" s="277"/>
      <c r="K508" s="281">
        <f t="shared" si="650"/>
        <v>2505946</v>
      </c>
      <c r="L508" s="277"/>
      <c r="M508" s="277"/>
      <c r="N508" s="277"/>
      <c r="O508" s="277"/>
      <c r="P508" s="277">
        <v>2505946</v>
      </c>
      <c r="Q508" s="277"/>
      <c r="R508" s="281">
        <f t="shared" si="653"/>
        <v>2505946</v>
      </c>
      <c r="S508" s="277"/>
      <c r="T508" s="277"/>
      <c r="U508" s="277"/>
      <c r="V508" s="277"/>
      <c r="W508" s="277"/>
      <c r="X508" s="277"/>
      <c r="Y508" s="277"/>
      <c r="Z508" s="277"/>
      <c r="AA508" s="281">
        <f t="shared" si="712"/>
        <v>0</v>
      </c>
      <c r="AB508" s="403">
        <f t="shared" si="655"/>
        <v>2505946</v>
      </c>
      <c r="AC508" s="326">
        <f t="shared" si="673"/>
        <v>1</v>
      </c>
    </row>
    <row r="509" spans="1:29" ht="14.25" hidden="1" x14ac:dyDescent="0.2">
      <c r="A509" s="424"/>
      <c r="B509" s="323" t="s">
        <v>1465</v>
      </c>
      <c r="C509" s="206" t="s">
        <v>1466</v>
      </c>
      <c r="D509" s="277"/>
      <c r="E509" s="325">
        <f>SUM('ADICIONES  2021'!C509:N509)</f>
        <v>24794175.359999999</v>
      </c>
      <c r="F509" s="277"/>
      <c r="G509" s="277"/>
      <c r="H509" s="277"/>
      <c r="I509" s="277"/>
      <c r="J509" s="277"/>
      <c r="K509" s="281">
        <f t="shared" si="650"/>
        <v>24794175.359999999</v>
      </c>
      <c r="L509" s="277"/>
      <c r="M509" s="277"/>
      <c r="N509" s="277"/>
      <c r="O509" s="277"/>
      <c r="P509" s="277">
        <v>24794175.359999999</v>
      </c>
      <c r="Q509" s="277"/>
      <c r="R509" s="281">
        <f t="shared" si="653"/>
        <v>24794175.359999999</v>
      </c>
      <c r="S509" s="277"/>
      <c r="T509" s="277"/>
      <c r="U509" s="277"/>
      <c r="V509" s="277"/>
      <c r="W509" s="277"/>
      <c r="X509" s="277"/>
      <c r="Y509" s="277"/>
      <c r="Z509" s="277"/>
      <c r="AA509" s="281">
        <f t="shared" si="712"/>
        <v>0</v>
      </c>
      <c r="AB509" s="403">
        <f t="shared" si="655"/>
        <v>24794175.359999999</v>
      </c>
      <c r="AC509" s="326">
        <f t="shared" si="673"/>
        <v>1</v>
      </c>
    </row>
    <row r="510" spans="1:29" ht="14.25" hidden="1" x14ac:dyDescent="0.2">
      <c r="A510" s="424"/>
      <c r="B510" s="318" t="s">
        <v>1467</v>
      </c>
      <c r="C510" s="319" t="s">
        <v>1468</v>
      </c>
      <c r="D510" s="279">
        <f>SUM(D511:D512)</f>
        <v>0</v>
      </c>
      <c r="E510" s="322">
        <f>SUM('ADICIONES  2021'!C510:N510)</f>
        <v>2574669714.0699997</v>
      </c>
      <c r="F510" s="279">
        <f>SUM(F511:F512)</f>
        <v>0</v>
      </c>
      <c r="G510" s="279">
        <f>SUM(G511:G512)</f>
        <v>0</v>
      </c>
      <c r="H510" s="279">
        <f>SUM(H511:H512)</f>
        <v>0</v>
      </c>
      <c r="I510" s="279">
        <f>SUM(I511:I512)</f>
        <v>0</v>
      </c>
      <c r="J510" s="279">
        <f>SUM(J511:J512)</f>
        <v>0</v>
      </c>
      <c r="K510" s="281">
        <f t="shared" si="650"/>
        <v>2574669714.0699997</v>
      </c>
      <c r="L510" s="279">
        <f t="shared" ref="L510:Q510" si="719">SUM(L511:L512)</f>
        <v>0</v>
      </c>
      <c r="M510" s="279">
        <f t="shared" si="719"/>
        <v>0</v>
      </c>
      <c r="N510" s="279">
        <f t="shared" si="719"/>
        <v>0</v>
      </c>
      <c r="O510" s="279">
        <f t="shared" si="719"/>
        <v>0</v>
      </c>
      <c r="P510" s="279">
        <f t="shared" si="719"/>
        <v>2574669714.0699997</v>
      </c>
      <c r="Q510" s="279">
        <f t="shared" si="719"/>
        <v>0</v>
      </c>
      <c r="R510" s="281">
        <f t="shared" si="653"/>
        <v>2574669714.0699997</v>
      </c>
      <c r="S510" s="279">
        <f t="shared" ref="S510:Z510" si="720">SUM(S511:S512)</f>
        <v>0</v>
      </c>
      <c r="T510" s="279">
        <f t="shared" si="720"/>
        <v>0</v>
      </c>
      <c r="U510" s="279">
        <f t="shared" si="720"/>
        <v>0</v>
      </c>
      <c r="V510" s="279">
        <f t="shared" si="720"/>
        <v>0</v>
      </c>
      <c r="W510" s="279">
        <f t="shared" si="720"/>
        <v>0</v>
      </c>
      <c r="X510" s="279">
        <f t="shared" si="720"/>
        <v>0</v>
      </c>
      <c r="Y510" s="279">
        <f t="shared" si="720"/>
        <v>0</v>
      </c>
      <c r="Z510" s="279">
        <f t="shared" si="720"/>
        <v>0</v>
      </c>
      <c r="AA510" s="281">
        <f t="shared" si="712"/>
        <v>0</v>
      </c>
      <c r="AB510" s="403">
        <f t="shared" si="655"/>
        <v>2574669714.0699997</v>
      </c>
      <c r="AC510" s="326">
        <f t="shared" si="673"/>
        <v>1</v>
      </c>
    </row>
    <row r="511" spans="1:29" ht="14.25" hidden="1" x14ac:dyDescent="0.2">
      <c r="A511" s="424"/>
      <c r="B511" s="323" t="s">
        <v>1469</v>
      </c>
      <c r="C511" s="206" t="s">
        <v>1468</v>
      </c>
      <c r="D511" s="277"/>
      <c r="E511" s="325">
        <f>SUM('ADICIONES  2021'!C511:N511)</f>
        <v>1979873863.0699999</v>
      </c>
      <c r="F511" s="277"/>
      <c r="G511" s="277"/>
      <c r="H511" s="277"/>
      <c r="I511" s="277"/>
      <c r="J511" s="277"/>
      <c r="K511" s="281">
        <f t="shared" si="650"/>
        <v>1979873863.0699999</v>
      </c>
      <c r="L511" s="277"/>
      <c r="M511" s="277"/>
      <c r="N511" s="277"/>
      <c r="O511" s="277"/>
      <c r="P511" s="277">
        <v>1979873863.0699999</v>
      </c>
      <c r="Q511" s="277"/>
      <c r="R511" s="281">
        <f t="shared" si="653"/>
        <v>1979873863.0699999</v>
      </c>
      <c r="S511" s="277"/>
      <c r="T511" s="277"/>
      <c r="U511" s="277"/>
      <c r="V511" s="277"/>
      <c r="W511" s="277"/>
      <c r="X511" s="277"/>
      <c r="Y511" s="277"/>
      <c r="Z511" s="277"/>
      <c r="AA511" s="281">
        <f t="shared" si="712"/>
        <v>0</v>
      </c>
      <c r="AB511" s="403">
        <f t="shared" si="655"/>
        <v>1979873863.0699999</v>
      </c>
      <c r="AC511" s="326">
        <f t="shared" si="673"/>
        <v>1</v>
      </c>
    </row>
    <row r="512" spans="1:29" ht="14.25" hidden="1" x14ac:dyDescent="0.2">
      <c r="A512" s="424"/>
      <c r="B512" s="323" t="s">
        <v>1470</v>
      </c>
      <c r="C512" s="206" t="s">
        <v>1471</v>
      </c>
      <c r="D512" s="277"/>
      <c r="E512" s="325">
        <f>SUM('ADICIONES  2021'!C512:N512)</f>
        <v>594795851</v>
      </c>
      <c r="F512" s="277"/>
      <c r="G512" s="277"/>
      <c r="H512" s="277"/>
      <c r="I512" s="277"/>
      <c r="J512" s="277"/>
      <c r="K512" s="281">
        <f t="shared" si="650"/>
        <v>594795851</v>
      </c>
      <c r="L512" s="277"/>
      <c r="M512" s="277"/>
      <c r="N512" s="277"/>
      <c r="O512" s="277"/>
      <c r="P512" s="277">
        <v>594795851</v>
      </c>
      <c r="Q512" s="277"/>
      <c r="R512" s="281">
        <f t="shared" si="653"/>
        <v>594795851</v>
      </c>
      <c r="S512" s="277"/>
      <c r="T512" s="277"/>
      <c r="U512" s="277"/>
      <c r="V512" s="277"/>
      <c r="W512" s="277"/>
      <c r="X512" s="277"/>
      <c r="Y512" s="277"/>
      <c r="Z512" s="277"/>
      <c r="AA512" s="281">
        <f t="shared" si="712"/>
        <v>0</v>
      </c>
      <c r="AB512" s="403">
        <f t="shared" si="655"/>
        <v>594795851</v>
      </c>
      <c r="AC512" s="326">
        <f t="shared" si="673"/>
        <v>1</v>
      </c>
    </row>
    <row r="513" spans="1:29" ht="14.25" hidden="1" x14ac:dyDescent="0.2">
      <c r="A513" s="424"/>
      <c r="B513" s="318" t="s">
        <v>1472</v>
      </c>
      <c r="C513" s="319" t="s">
        <v>1473</v>
      </c>
      <c r="D513" s="279">
        <f>+D514</f>
        <v>0</v>
      </c>
      <c r="E513" s="322">
        <f>SUM('ADICIONES  2021'!C513:N513)</f>
        <v>8931257.5099999998</v>
      </c>
      <c r="F513" s="279">
        <f>+F514</f>
        <v>0</v>
      </c>
      <c r="G513" s="279">
        <f>+G514</f>
        <v>0</v>
      </c>
      <c r="H513" s="279">
        <f>+H514</f>
        <v>0</v>
      </c>
      <c r="I513" s="279">
        <f>+I514</f>
        <v>0</v>
      </c>
      <c r="J513" s="279">
        <f>+J514</f>
        <v>0</v>
      </c>
      <c r="K513" s="281">
        <f t="shared" si="650"/>
        <v>8931257.5099999998</v>
      </c>
      <c r="L513" s="279">
        <f t="shared" ref="L513:Q513" si="721">+L514</f>
        <v>0</v>
      </c>
      <c r="M513" s="279">
        <f t="shared" si="721"/>
        <v>0</v>
      </c>
      <c r="N513" s="279">
        <f t="shared" si="721"/>
        <v>0</v>
      </c>
      <c r="O513" s="279">
        <f t="shared" si="721"/>
        <v>0</v>
      </c>
      <c r="P513" s="279">
        <f t="shared" si="721"/>
        <v>8931257.5099999998</v>
      </c>
      <c r="Q513" s="279">
        <f t="shared" si="721"/>
        <v>0</v>
      </c>
      <c r="R513" s="281">
        <f t="shared" si="653"/>
        <v>8931257.5099999998</v>
      </c>
      <c r="S513" s="279">
        <f t="shared" ref="S513:Z513" si="722">+S514</f>
        <v>0</v>
      </c>
      <c r="T513" s="279">
        <f t="shared" si="722"/>
        <v>0</v>
      </c>
      <c r="U513" s="279">
        <f t="shared" si="722"/>
        <v>0</v>
      </c>
      <c r="V513" s="279">
        <f t="shared" si="722"/>
        <v>0</v>
      </c>
      <c r="W513" s="279">
        <f t="shared" si="722"/>
        <v>0</v>
      </c>
      <c r="X513" s="279">
        <f t="shared" si="722"/>
        <v>0</v>
      </c>
      <c r="Y513" s="279">
        <f t="shared" si="722"/>
        <v>0</v>
      </c>
      <c r="Z513" s="279">
        <f t="shared" si="722"/>
        <v>0</v>
      </c>
      <c r="AA513" s="281">
        <f t="shared" si="712"/>
        <v>0</v>
      </c>
      <c r="AB513" s="403">
        <f t="shared" si="655"/>
        <v>8931257.5099999998</v>
      </c>
      <c r="AC513" s="326">
        <f t="shared" si="673"/>
        <v>1</v>
      </c>
    </row>
    <row r="514" spans="1:29" ht="14.25" hidden="1" x14ac:dyDescent="0.2">
      <c r="A514" s="424"/>
      <c r="B514" s="323" t="s">
        <v>1474</v>
      </c>
      <c r="C514" s="206" t="s">
        <v>1473</v>
      </c>
      <c r="D514" s="277"/>
      <c r="E514" s="325">
        <f>SUM('ADICIONES  2021'!C514:N514)</f>
        <v>8931257.5099999998</v>
      </c>
      <c r="F514" s="277"/>
      <c r="G514" s="277"/>
      <c r="H514" s="277"/>
      <c r="I514" s="277"/>
      <c r="J514" s="277"/>
      <c r="K514" s="281">
        <f t="shared" si="650"/>
        <v>8931257.5099999998</v>
      </c>
      <c r="L514" s="277"/>
      <c r="M514" s="277"/>
      <c r="N514" s="277"/>
      <c r="O514" s="277"/>
      <c r="P514" s="277">
        <v>8931257.5099999998</v>
      </c>
      <c r="Q514" s="277"/>
      <c r="R514" s="281">
        <f t="shared" si="653"/>
        <v>8931257.5099999998</v>
      </c>
      <c r="S514" s="277"/>
      <c r="T514" s="277"/>
      <c r="U514" s="277"/>
      <c r="V514" s="277"/>
      <c r="W514" s="277"/>
      <c r="X514" s="277"/>
      <c r="Y514" s="277"/>
      <c r="Z514" s="277"/>
      <c r="AA514" s="281">
        <f t="shared" si="712"/>
        <v>0</v>
      </c>
      <c r="AB514" s="403">
        <f t="shared" si="655"/>
        <v>8931257.5099999998</v>
      </c>
      <c r="AC514" s="326">
        <f t="shared" si="673"/>
        <v>1</v>
      </c>
    </row>
    <row r="515" spans="1:29" ht="14.25" hidden="1" x14ac:dyDescent="0.2">
      <c r="A515" s="424"/>
      <c r="B515" s="318" t="s">
        <v>1475</v>
      </c>
      <c r="C515" s="319" t="s">
        <v>1476</v>
      </c>
      <c r="D515" s="279">
        <f>+D516</f>
        <v>0</v>
      </c>
      <c r="E515" s="322">
        <f>SUM('ADICIONES  2021'!C515:N515)</f>
        <v>500660949.22000003</v>
      </c>
      <c r="F515" s="279">
        <f>+F516</f>
        <v>0</v>
      </c>
      <c r="G515" s="279">
        <f>+G516</f>
        <v>0</v>
      </c>
      <c r="H515" s="279">
        <f>+H516</f>
        <v>0</v>
      </c>
      <c r="I515" s="279">
        <f>+I516</f>
        <v>0</v>
      </c>
      <c r="J515" s="279">
        <f>+J516</f>
        <v>0</v>
      </c>
      <c r="K515" s="281">
        <f t="shared" si="650"/>
        <v>500660949.22000003</v>
      </c>
      <c r="L515" s="279">
        <f t="shared" ref="L515:Q515" si="723">+L516</f>
        <v>0</v>
      </c>
      <c r="M515" s="279">
        <f t="shared" si="723"/>
        <v>0</v>
      </c>
      <c r="N515" s="279">
        <f t="shared" si="723"/>
        <v>0</v>
      </c>
      <c r="O515" s="279">
        <f t="shared" si="723"/>
        <v>0</v>
      </c>
      <c r="P515" s="279">
        <f t="shared" si="723"/>
        <v>500660949.22000003</v>
      </c>
      <c r="Q515" s="279">
        <f t="shared" si="723"/>
        <v>0</v>
      </c>
      <c r="R515" s="281">
        <f t="shared" si="653"/>
        <v>500660949.22000003</v>
      </c>
      <c r="S515" s="279">
        <f t="shared" ref="S515:Z515" si="724">+S516</f>
        <v>0</v>
      </c>
      <c r="T515" s="279">
        <f t="shared" si="724"/>
        <v>0</v>
      </c>
      <c r="U515" s="279">
        <f t="shared" si="724"/>
        <v>0</v>
      </c>
      <c r="V515" s="279">
        <f t="shared" si="724"/>
        <v>0</v>
      </c>
      <c r="W515" s="279">
        <f t="shared" si="724"/>
        <v>0</v>
      </c>
      <c r="X515" s="279">
        <f t="shared" si="724"/>
        <v>0</v>
      </c>
      <c r="Y515" s="279">
        <f t="shared" si="724"/>
        <v>0</v>
      </c>
      <c r="Z515" s="279">
        <f t="shared" si="724"/>
        <v>0</v>
      </c>
      <c r="AA515" s="281">
        <f t="shared" si="712"/>
        <v>0</v>
      </c>
      <c r="AB515" s="403">
        <f t="shared" si="655"/>
        <v>500660949.22000003</v>
      </c>
      <c r="AC515" s="326">
        <f t="shared" si="673"/>
        <v>1</v>
      </c>
    </row>
    <row r="516" spans="1:29" ht="14.25" hidden="1" x14ac:dyDescent="0.2">
      <c r="A516" s="424"/>
      <c r="B516" s="323" t="s">
        <v>1477</v>
      </c>
      <c r="C516" s="206" t="s">
        <v>1476</v>
      </c>
      <c r="D516" s="277"/>
      <c r="E516" s="325">
        <f>SUM('ADICIONES  2021'!C516:N516)</f>
        <v>500660949.22000003</v>
      </c>
      <c r="F516" s="277"/>
      <c r="G516" s="277"/>
      <c r="H516" s="277"/>
      <c r="I516" s="277"/>
      <c r="J516" s="277"/>
      <c r="K516" s="281">
        <f t="shared" si="650"/>
        <v>500660949.22000003</v>
      </c>
      <c r="L516" s="277"/>
      <c r="M516" s="277"/>
      <c r="N516" s="277"/>
      <c r="O516" s="277"/>
      <c r="P516" s="277">
        <v>500660949.22000003</v>
      </c>
      <c r="Q516" s="277"/>
      <c r="R516" s="281">
        <f t="shared" si="653"/>
        <v>500660949.22000003</v>
      </c>
      <c r="S516" s="277"/>
      <c r="T516" s="277"/>
      <c r="U516" s="277"/>
      <c r="V516" s="277"/>
      <c r="W516" s="277"/>
      <c r="X516" s="277"/>
      <c r="Y516" s="277"/>
      <c r="Z516" s="277"/>
      <c r="AA516" s="281">
        <f t="shared" si="712"/>
        <v>0</v>
      </c>
      <c r="AB516" s="403">
        <f t="shared" si="655"/>
        <v>500660949.22000003</v>
      </c>
      <c r="AC516" s="326">
        <f t="shared" si="673"/>
        <v>1</v>
      </c>
    </row>
    <row r="517" spans="1:29" ht="14.25" hidden="1" x14ac:dyDescent="0.2">
      <c r="A517" s="424"/>
      <c r="B517" s="318" t="s">
        <v>1478</v>
      </c>
      <c r="C517" s="319" t="s">
        <v>1479</v>
      </c>
      <c r="D517" s="279">
        <f>+D518</f>
        <v>0</v>
      </c>
      <c r="E517" s="322">
        <f>SUM('ADICIONES  2021'!C517:N517)</f>
        <v>298898995.22000003</v>
      </c>
      <c r="F517" s="279">
        <f>+F518</f>
        <v>0</v>
      </c>
      <c r="G517" s="279">
        <f>+G518</f>
        <v>0</v>
      </c>
      <c r="H517" s="279">
        <f>+H518</f>
        <v>0</v>
      </c>
      <c r="I517" s="279">
        <f>+I518</f>
        <v>0</v>
      </c>
      <c r="J517" s="279">
        <f>+J518</f>
        <v>0</v>
      </c>
      <c r="K517" s="281">
        <f t="shared" si="650"/>
        <v>298898995.22000003</v>
      </c>
      <c r="L517" s="279">
        <f t="shared" ref="L517:Q517" si="725">+L518</f>
        <v>0</v>
      </c>
      <c r="M517" s="279">
        <f t="shared" si="725"/>
        <v>0</v>
      </c>
      <c r="N517" s="279">
        <f t="shared" si="725"/>
        <v>0</v>
      </c>
      <c r="O517" s="279">
        <f t="shared" si="725"/>
        <v>0</v>
      </c>
      <c r="P517" s="279">
        <f t="shared" si="725"/>
        <v>298898995.22000003</v>
      </c>
      <c r="Q517" s="279">
        <f t="shared" si="725"/>
        <v>0</v>
      </c>
      <c r="R517" s="281">
        <f t="shared" si="653"/>
        <v>298898995.22000003</v>
      </c>
      <c r="S517" s="279">
        <f t="shared" ref="S517:Z517" si="726">+S518</f>
        <v>0</v>
      </c>
      <c r="T517" s="279">
        <f t="shared" si="726"/>
        <v>0</v>
      </c>
      <c r="U517" s="279">
        <f t="shared" si="726"/>
        <v>0</v>
      </c>
      <c r="V517" s="279">
        <f t="shared" si="726"/>
        <v>0</v>
      </c>
      <c r="W517" s="279">
        <f t="shared" si="726"/>
        <v>0</v>
      </c>
      <c r="X517" s="279">
        <f t="shared" si="726"/>
        <v>0</v>
      </c>
      <c r="Y517" s="279">
        <f t="shared" si="726"/>
        <v>0</v>
      </c>
      <c r="Z517" s="279">
        <f t="shared" si="726"/>
        <v>0</v>
      </c>
      <c r="AA517" s="281">
        <f t="shared" si="712"/>
        <v>0</v>
      </c>
      <c r="AB517" s="403">
        <f t="shared" si="655"/>
        <v>298898995.22000003</v>
      </c>
      <c r="AC517" s="326">
        <f t="shared" si="673"/>
        <v>1</v>
      </c>
    </row>
    <row r="518" spans="1:29" ht="14.25" hidden="1" x14ac:dyDescent="0.2">
      <c r="A518" s="424"/>
      <c r="B518" s="323" t="s">
        <v>1480</v>
      </c>
      <c r="C518" s="206" t="s">
        <v>1479</v>
      </c>
      <c r="D518" s="277"/>
      <c r="E518" s="325">
        <f>SUM('ADICIONES  2021'!C518:N518)</f>
        <v>298898995.22000003</v>
      </c>
      <c r="F518" s="277"/>
      <c r="G518" s="277"/>
      <c r="H518" s="277"/>
      <c r="I518" s="277"/>
      <c r="J518" s="277"/>
      <c r="K518" s="281">
        <f t="shared" si="650"/>
        <v>298898995.22000003</v>
      </c>
      <c r="L518" s="277"/>
      <c r="M518" s="277"/>
      <c r="N518" s="277"/>
      <c r="O518" s="277"/>
      <c r="P518" s="277">
        <v>298898995.22000003</v>
      </c>
      <c r="Q518" s="277"/>
      <c r="R518" s="281">
        <f t="shared" si="653"/>
        <v>298898995.22000003</v>
      </c>
      <c r="S518" s="277"/>
      <c r="T518" s="277"/>
      <c r="U518" s="277"/>
      <c r="V518" s="277"/>
      <c r="W518" s="277"/>
      <c r="X518" s="277"/>
      <c r="Y518" s="277"/>
      <c r="Z518" s="277"/>
      <c r="AA518" s="281">
        <f t="shared" si="712"/>
        <v>0</v>
      </c>
      <c r="AB518" s="403">
        <f t="shared" si="655"/>
        <v>298898995.22000003</v>
      </c>
      <c r="AC518" s="326">
        <f t="shared" si="673"/>
        <v>1</v>
      </c>
    </row>
    <row r="519" spans="1:29" ht="14.25" hidden="1" x14ac:dyDescent="0.2">
      <c r="A519" s="424"/>
      <c r="B519" s="318" t="s">
        <v>1481</v>
      </c>
      <c r="C519" s="319" t="s">
        <v>1482</v>
      </c>
      <c r="D519" s="279">
        <f>+D520</f>
        <v>0</v>
      </c>
      <c r="E519" s="322">
        <f>SUM('ADICIONES  2021'!C519:N519)</f>
        <v>6785621064.1300001</v>
      </c>
      <c r="F519" s="279">
        <f>+F520</f>
        <v>0</v>
      </c>
      <c r="G519" s="279">
        <f>+G520</f>
        <v>0</v>
      </c>
      <c r="H519" s="279">
        <f>+H520</f>
        <v>0</v>
      </c>
      <c r="I519" s="279">
        <f>+I520</f>
        <v>0</v>
      </c>
      <c r="J519" s="279">
        <f>+J520</f>
        <v>0</v>
      </c>
      <c r="K519" s="281">
        <f t="shared" si="650"/>
        <v>6785621064.1300001</v>
      </c>
      <c r="L519" s="279">
        <f t="shared" ref="L519:Q519" si="727">+L520</f>
        <v>0</v>
      </c>
      <c r="M519" s="279">
        <f t="shared" si="727"/>
        <v>0</v>
      </c>
      <c r="N519" s="279">
        <f t="shared" si="727"/>
        <v>0</v>
      </c>
      <c r="O519" s="279">
        <f t="shared" si="727"/>
        <v>0</v>
      </c>
      <c r="P519" s="279">
        <f t="shared" si="727"/>
        <v>6785621064.1300001</v>
      </c>
      <c r="Q519" s="279">
        <f t="shared" si="727"/>
        <v>0</v>
      </c>
      <c r="R519" s="281">
        <f t="shared" si="653"/>
        <v>6785621064.1300001</v>
      </c>
      <c r="S519" s="279">
        <f t="shared" ref="S519:Z519" si="728">+S520</f>
        <v>0</v>
      </c>
      <c r="T519" s="279">
        <f t="shared" si="728"/>
        <v>0</v>
      </c>
      <c r="U519" s="279">
        <f t="shared" si="728"/>
        <v>0</v>
      </c>
      <c r="V519" s="279">
        <f t="shared" si="728"/>
        <v>0</v>
      </c>
      <c r="W519" s="279">
        <f t="shared" si="728"/>
        <v>0</v>
      </c>
      <c r="X519" s="279">
        <f t="shared" si="728"/>
        <v>0</v>
      </c>
      <c r="Y519" s="279">
        <f t="shared" si="728"/>
        <v>0</v>
      </c>
      <c r="Z519" s="279">
        <f t="shared" si="728"/>
        <v>0</v>
      </c>
      <c r="AA519" s="281">
        <f t="shared" si="712"/>
        <v>0</v>
      </c>
      <c r="AB519" s="403">
        <f t="shared" si="655"/>
        <v>6785621064.1300001</v>
      </c>
      <c r="AC519" s="326">
        <f t="shared" si="673"/>
        <v>1</v>
      </c>
    </row>
    <row r="520" spans="1:29" ht="14.25" hidden="1" x14ac:dyDescent="0.2">
      <c r="A520" s="424"/>
      <c r="B520" s="323" t="s">
        <v>1483</v>
      </c>
      <c r="C520" s="206" t="s">
        <v>1482</v>
      </c>
      <c r="D520" s="277"/>
      <c r="E520" s="325">
        <f>SUM('ADICIONES  2021'!C520:N520)</f>
        <v>6785621064.1300001</v>
      </c>
      <c r="F520" s="277"/>
      <c r="G520" s="277"/>
      <c r="H520" s="277"/>
      <c r="I520" s="277"/>
      <c r="J520" s="277"/>
      <c r="K520" s="281">
        <f t="shared" si="650"/>
        <v>6785621064.1300001</v>
      </c>
      <c r="L520" s="277"/>
      <c r="M520" s="277"/>
      <c r="N520" s="277"/>
      <c r="O520" s="277"/>
      <c r="P520" s="277">
        <v>6785621064.1300001</v>
      </c>
      <c r="Q520" s="277"/>
      <c r="R520" s="281">
        <f t="shared" si="653"/>
        <v>6785621064.1300001</v>
      </c>
      <c r="S520" s="277"/>
      <c r="T520" s="277"/>
      <c r="U520" s="277"/>
      <c r="V520" s="277"/>
      <c r="W520" s="277"/>
      <c r="X520" s="277"/>
      <c r="Y520" s="277"/>
      <c r="Z520" s="277"/>
      <c r="AA520" s="281">
        <f t="shared" si="712"/>
        <v>0</v>
      </c>
      <c r="AB520" s="403">
        <f t="shared" si="655"/>
        <v>6785621064.1300001</v>
      </c>
      <c r="AC520" s="326">
        <f t="shared" si="673"/>
        <v>1</v>
      </c>
    </row>
    <row r="521" spans="1:29" s="61" customFormat="1" ht="15.75" hidden="1" x14ac:dyDescent="0.2">
      <c r="A521" s="425"/>
      <c r="B521" s="318" t="s">
        <v>1484</v>
      </c>
      <c r="C521" s="319" t="s">
        <v>1485</v>
      </c>
      <c r="D521" s="279">
        <f>SUM(D522:D523)</f>
        <v>0</v>
      </c>
      <c r="E521" s="322">
        <f>SUM('ADICIONES  2021'!C521:N521)</f>
        <v>1015635724</v>
      </c>
      <c r="F521" s="279">
        <f t="shared" ref="F521:J521" si="729">SUM(F522:F523)</f>
        <v>0</v>
      </c>
      <c r="G521" s="279">
        <f t="shared" si="729"/>
        <v>0</v>
      </c>
      <c r="H521" s="279">
        <f t="shared" si="729"/>
        <v>0</v>
      </c>
      <c r="I521" s="279">
        <f t="shared" si="729"/>
        <v>0</v>
      </c>
      <c r="J521" s="279">
        <f t="shared" si="729"/>
        <v>0</v>
      </c>
      <c r="K521" s="276">
        <f t="shared" si="650"/>
        <v>1015635724</v>
      </c>
      <c r="L521" s="279">
        <f t="shared" ref="L521:Q521" si="730">SUM(L522:L523)</f>
        <v>0</v>
      </c>
      <c r="M521" s="279">
        <f t="shared" si="730"/>
        <v>0</v>
      </c>
      <c r="N521" s="279">
        <f t="shared" si="730"/>
        <v>0</v>
      </c>
      <c r="O521" s="279">
        <f t="shared" si="730"/>
        <v>0</v>
      </c>
      <c r="P521" s="279">
        <f t="shared" si="730"/>
        <v>1014585724</v>
      </c>
      <c r="Q521" s="279">
        <f t="shared" si="730"/>
        <v>0</v>
      </c>
      <c r="R521" s="276">
        <f t="shared" si="653"/>
        <v>1014585724</v>
      </c>
      <c r="S521" s="279">
        <f t="shared" ref="S521:Z521" si="731">SUM(S522:S523)</f>
        <v>0</v>
      </c>
      <c r="T521" s="279">
        <f t="shared" si="731"/>
        <v>0</v>
      </c>
      <c r="U521" s="279">
        <f t="shared" si="731"/>
        <v>0</v>
      </c>
      <c r="V521" s="279">
        <f t="shared" si="731"/>
        <v>0</v>
      </c>
      <c r="W521" s="279">
        <f t="shared" si="731"/>
        <v>1050000</v>
      </c>
      <c r="X521" s="279">
        <f t="shared" si="731"/>
        <v>0</v>
      </c>
      <c r="Y521" s="279">
        <f t="shared" si="731"/>
        <v>0</v>
      </c>
      <c r="Z521" s="279">
        <f t="shared" si="731"/>
        <v>0</v>
      </c>
      <c r="AA521" s="276">
        <f t="shared" si="712"/>
        <v>1050000</v>
      </c>
      <c r="AB521" s="402">
        <f t="shared" si="655"/>
        <v>1015635724</v>
      </c>
      <c r="AC521" s="321">
        <f t="shared" si="673"/>
        <v>1</v>
      </c>
    </row>
    <row r="522" spans="1:29" ht="14.25" hidden="1" x14ac:dyDescent="0.2">
      <c r="A522" s="424"/>
      <c r="B522" s="323" t="s">
        <v>1486</v>
      </c>
      <c r="C522" s="206" t="s">
        <v>1485</v>
      </c>
      <c r="D522" s="277"/>
      <c r="E522" s="325">
        <f>SUM('ADICIONES  2021'!C522:N522)</f>
        <v>1014585724</v>
      </c>
      <c r="F522" s="277"/>
      <c r="G522" s="277"/>
      <c r="H522" s="277"/>
      <c r="I522" s="277"/>
      <c r="J522" s="277"/>
      <c r="K522" s="281">
        <f t="shared" si="650"/>
        <v>1014585724</v>
      </c>
      <c r="L522" s="277"/>
      <c r="M522" s="277"/>
      <c r="N522" s="277"/>
      <c r="O522" s="277"/>
      <c r="P522" s="277">
        <v>1014585724</v>
      </c>
      <c r="Q522" s="277"/>
      <c r="R522" s="281">
        <f t="shared" si="653"/>
        <v>1014585724</v>
      </c>
      <c r="S522" s="277"/>
      <c r="T522" s="277"/>
      <c r="U522" s="277"/>
      <c r="V522" s="277"/>
      <c r="W522" s="277"/>
      <c r="X522" s="277"/>
      <c r="Y522" s="277"/>
      <c r="Z522" s="277"/>
      <c r="AA522" s="281">
        <f t="shared" si="712"/>
        <v>0</v>
      </c>
      <c r="AB522" s="403">
        <f t="shared" si="655"/>
        <v>1014585724</v>
      </c>
      <c r="AC522" s="326">
        <f t="shared" si="673"/>
        <v>1</v>
      </c>
    </row>
    <row r="523" spans="1:29" ht="14.25" hidden="1" x14ac:dyDescent="0.2">
      <c r="A523" s="424"/>
      <c r="B523" s="323" t="s">
        <v>1486</v>
      </c>
      <c r="C523" s="206" t="s">
        <v>1485</v>
      </c>
      <c r="D523" s="277"/>
      <c r="E523" s="325">
        <f>SUM('ADICIONES  2021'!C523:N523)</f>
        <v>1050000</v>
      </c>
      <c r="F523" s="277"/>
      <c r="G523" s="277"/>
      <c r="H523" s="277"/>
      <c r="I523" s="277"/>
      <c r="J523" s="277"/>
      <c r="K523" s="281">
        <f t="shared" si="650"/>
        <v>1050000</v>
      </c>
      <c r="L523" s="277"/>
      <c r="M523" s="277"/>
      <c r="N523" s="277"/>
      <c r="O523" s="277"/>
      <c r="P523" s="277"/>
      <c r="Q523" s="277"/>
      <c r="R523" s="281">
        <f t="shared" ref="R523" si="732">SUM(L523:Q523)</f>
        <v>0</v>
      </c>
      <c r="S523" s="277"/>
      <c r="T523" s="277"/>
      <c r="U523" s="277"/>
      <c r="V523" s="277"/>
      <c r="W523" s="277">
        <v>1050000</v>
      </c>
      <c r="X523" s="277"/>
      <c r="Y523" s="277"/>
      <c r="Z523" s="277"/>
      <c r="AA523" s="281">
        <f t="shared" ref="AA523" si="733">SUM(S523:Z523)</f>
        <v>1050000</v>
      </c>
      <c r="AB523" s="403">
        <f t="shared" si="655"/>
        <v>1050000</v>
      </c>
      <c r="AC523" s="326">
        <f t="shared" si="673"/>
        <v>1</v>
      </c>
    </row>
    <row r="524" spans="1:29" ht="14.25" hidden="1" x14ac:dyDescent="0.2">
      <c r="A524" s="424"/>
      <c r="B524" s="318" t="s">
        <v>1487</v>
      </c>
      <c r="C524" s="319" t="s">
        <v>1488</v>
      </c>
      <c r="D524" s="279">
        <f>+D525</f>
        <v>0</v>
      </c>
      <c r="E524" s="322">
        <f>SUM('ADICIONES  2021'!C524:N524)</f>
        <v>1217590140.95</v>
      </c>
      <c r="F524" s="279">
        <f>+F525</f>
        <v>0</v>
      </c>
      <c r="G524" s="279">
        <f>+G525</f>
        <v>0</v>
      </c>
      <c r="H524" s="279">
        <f>+H525</f>
        <v>0</v>
      </c>
      <c r="I524" s="279">
        <f>+I525</f>
        <v>0</v>
      </c>
      <c r="J524" s="279">
        <f>+J525</f>
        <v>0</v>
      </c>
      <c r="K524" s="281">
        <f t="shared" si="650"/>
        <v>1217590140.95</v>
      </c>
      <c r="L524" s="279">
        <f t="shared" ref="L524:Q524" si="734">+L525</f>
        <v>0</v>
      </c>
      <c r="M524" s="279">
        <f t="shared" si="734"/>
        <v>0</v>
      </c>
      <c r="N524" s="279">
        <f t="shared" si="734"/>
        <v>0</v>
      </c>
      <c r="O524" s="279">
        <f t="shared" si="734"/>
        <v>0</v>
      </c>
      <c r="P524" s="279">
        <f t="shared" si="734"/>
        <v>1217590140.95</v>
      </c>
      <c r="Q524" s="279">
        <f t="shared" si="734"/>
        <v>0</v>
      </c>
      <c r="R524" s="281">
        <f t="shared" si="653"/>
        <v>1217590140.95</v>
      </c>
      <c r="S524" s="279">
        <f t="shared" ref="S524:Z524" si="735">+S525</f>
        <v>0</v>
      </c>
      <c r="T524" s="279">
        <f t="shared" si="735"/>
        <v>0</v>
      </c>
      <c r="U524" s="279">
        <f t="shared" si="735"/>
        <v>0</v>
      </c>
      <c r="V524" s="279">
        <f t="shared" si="735"/>
        <v>0</v>
      </c>
      <c r="W524" s="279">
        <f t="shared" si="735"/>
        <v>0</v>
      </c>
      <c r="X524" s="279">
        <f t="shared" si="735"/>
        <v>0</v>
      </c>
      <c r="Y524" s="279">
        <f t="shared" si="735"/>
        <v>0</v>
      </c>
      <c r="Z524" s="279">
        <f t="shared" si="735"/>
        <v>0</v>
      </c>
      <c r="AA524" s="281">
        <f t="shared" si="712"/>
        <v>0</v>
      </c>
      <c r="AB524" s="403">
        <f t="shared" si="655"/>
        <v>1217590140.95</v>
      </c>
      <c r="AC524" s="326">
        <f t="shared" si="673"/>
        <v>1</v>
      </c>
    </row>
    <row r="525" spans="1:29" ht="14.25" hidden="1" x14ac:dyDescent="0.2">
      <c r="A525" s="424"/>
      <c r="B525" s="323" t="s">
        <v>1489</v>
      </c>
      <c r="C525" s="206" t="s">
        <v>1488</v>
      </c>
      <c r="D525" s="277"/>
      <c r="E525" s="325">
        <f>SUM('ADICIONES  2021'!C525:N525)</f>
        <v>1217590140.95</v>
      </c>
      <c r="F525" s="277"/>
      <c r="G525" s="277"/>
      <c r="H525" s="277"/>
      <c r="I525" s="277"/>
      <c r="J525" s="277"/>
      <c r="K525" s="281">
        <f t="shared" si="650"/>
        <v>1217590140.95</v>
      </c>
      <c r="L525" s="277"/>
      <c r="M525" s="277"/>
      <c r="N525" s="277"/>
      <c r="O525" s="277"/>
      <c r="P525" s="277">
        <v>1217590140.95</v>
      </c>
      <c r="Q525" s="277"/>
      <c r="R525" s="281">
        <f t="shared" si="653"/>
        <v>1217590140.95</v>
      </c>
      <c r="S525" s="277"/>
      <c r="T525" s="277"/>
      <c r="U525" s="277"/>
      <c r="V525" s="277"/>
      <c r="W525" s="277"/>
      <c r="X525" s="277"/>
      <c r="Y525" s="277"/>
      <c r="Z525" s="277"/>
      <c r="AA525" s="281">
        <f t="shared" si="712"/>
        <v>0</v>
      </c>
      <c r="AB525" s="403">
        <f t="shared" si="655"/>
        <v>1217590140.95</v>
      </c>
      <c r="AC525" s="326">
        <f t="shared" si="673"/>
        <v>1</v>
      </c>
    </row>
    <row r="526" spans="1:29" ht="14.25" hidden="1" x14ac:dyDescent="0.2">
      <c r="A526" s="424"/>
      <c r="B526" s="318" t="s">
        <v>1490</v>
      </c>
      <c r="C526" s="319" t="s">
        <v>1491</v>
      </c>
      <c r="D526" s="279">
        <f>+D527</f>
        <v>0</v>
      </c>
      <c r="E526" s="322">
        <f>SUM('ADICIONES  2021'!C526:N526)</f>
        <v>9066503659.1900005</v>
      </c>
      <c r="F526" s="279">
        <f>+F527</f>
        <v>0</v>
      </c>
      <c r="G526" s="279">
        <f>+G527</f>
        <v>0</v>
      </c>
      <c r="H526" s="279">
        <f>+H527</f>
        <v>0</v>
      </c>
      <c r="I526" s="279">
        <f>+I527</f>
        <v>0</v>
      </c>
      <c r="J526" s="279">
        <f>+J527</f>
        <v>0</v>
      </c>
      <c r="K526" s="281">
        <f t="shared" si="650"/>
        <v>9066503659.1900005</v>
      </c>
      <c r="L526" s="279">
        <f t="shared" ref="L526:Q526" si="736">+L527</f>
        <v>0</v>
      </c>
      <c r="M526" s="279">
        <f t="shared" si="736"/>
        <v>0</v>
      </c>
      <c r="N526" s="279">
        <f t="shared" si="736"/>
        <v>0</v>
      </c>
      <c r="O526" s="279">
        <f t="shared" si="736"/>
        <v>0</v>
      </c>
      <c r="P526" s="279">
        <f t="shared" si="736"/>
        <v>9066503659.1900005</v>
      </c>
      <c r="Q526" s="279">
        <f t="shared" si="736"/>
        <v>0</v>
      </c>
      <c r="R526" s="281">
        <f t="shared" si="653"/>
        <v>9066503659.1900005</v>
      </c>
      <c r="S526" s="279">
        <f t="shared" ref="S526:Z526" si="737">+S527</f>
        <v>0</v>
      </c>
      <c r="T526" s="279">
        <f t="shared" si="737"/>
        <v>0</v>
      </c>
      <c r="U526" s="279">
        <f t="shared" si="737"/>
        <v>0</v>
      </c>
      <c r="V526" s="279">
        <f t="shared" si="737"/>
        <v>0</v>
      </c>
      <c r="W526" s="279">
        <f t="shared" si="737"/>
        <v>0</v>
      </c>
      <c r="X526" s="279">
        <f t="shared" si="737"/>
        <v>0</v>
      </c>
      <c r="Y526" s="279">
        <f t="shared" si="737"/>
        <v>0</v>
      </c>
      <c r="Z526" s="279">
        <f t="shared" si="737"/>
        <v>0</v>
      </c>
      <c r="AA526" s="281">
        <f t="shared" si="712"/>
        <v>0</v>
      </c>
      <c r="AB526" s="403">
        <f t="shared" si="655"/>
        <v>9066503659.1900005</v>
      </c>
      <c r="AC526" s="326">
        <f t="shared" si="673"/>
        <v>1</v>
      </c>
    </row>
    <row r="527" spans="1:29" ht="14.25" hidden="1" x14ac:dyDescent="0.2">
      <c r="A527" s="424"/>
      <c r="B527" s="323" t="s">
        <v>1492</v>
      </c>
      <c r="C527" s="206" t="s">
        <v>1491</v>
      </c>
      <c r="D527" s="277"/>
      <c r="E527" s="325">
        <f>SUM('ADICIONES  2021'!C527:N527)</f>
        <v>9066503659.1900005</v>
      </c>
      <c r="F527" s="277"/>
      <c r="G527" s="277"/>
      <c r="H527" s="277"/>
      <c r="I527" s="277"/>
      <c r="J527" s="277"/>
      <c r="K527" s="281">
        <f t="shared" si="650"/>
        <v>9066503659.1900005</v>
      </c>
      <c r="L527" s="277"/>
      <c r="M527" s="277"/>
      <c r="N527" s="277"/>
      <c r="O527" s="277"/>
      <c r="P527" s="277">
        <v>9066503659.1900005</v>
      </c>
      <c r="Q527" s="277"/>
      <c r="R527" s="281">
        <f t="shared" si="653"/>
        <v>9066503659.1900005</v>
      </c>
      <c r="S527" s="277"/>
      <c r="T527" s="277"/>
      <c r="U527" s="277"/>
      <c r="V527" s="277"/>
      <c r="W527" s="277"/>
      <c r="X527" s="277"/>
      <c r="Y527" s="277"/>
      <c r="Z527" s="277"/>
      <c r="AA527" s="281">
        <f t="shared" si="712"/>
        <v>0</v>
      </c>
      <c r="AB527" s="403">
        <f t="shared" si="655"/>
        <v>9066503659.1900005</v>
      </c>
      <c r="AC527" s="326">
        <f t="shared" si="673"/>
        <v>1</v>
      </c>
    </row>
    <row r="528" spans="1:29" ht="14.25" hidden="1" x14ac:dyDescent="0.2">
      <c r="A528" s="424"/>
      <c r="B528" s="318" t="s">
        <v>1493</v>
      </c>
      <c r="C528" s="319" t="s">
        <v>1494</v>
      </c>
      <c r="D528" s="279">
        <f>+D529</f>
        <v>0</v>
      </c>
      <c r="E528" s="322">
        <f>SUM('ADICIONES  2021'!C528:N528)</f>
        <v>4189115912</v>
      </c>
      <c r="F528" s="279">
        <f>+F529</f>
        <v>0</v>
      </c>
      <c r="G528" s="279">
        <f>+G529</f>
        <v>0</v>
      </c>
      <c r="H528" s="279">
        <f>+H529</f>
        <v>0</v>
      </c>
      <c r="I528" s="279">
        <f>+I529</f>
        <v>0</v>
      </c>
      <c r="J528" s="279">
        <f>+J529</f>
        <v>0</v>
      </c>
      <c r="K528" s="281">
        <f t="shared" si="650"/>
        <v>4189115912</v>
      </c>
      <c r="L528" s="279">
        <f t="shared" ref="L528:Q528" si="738">+L529</f>
        <v>0</v>
      </c>
      <c r="M528" s="279">
        <f t="shared" si="738"/>
        <v>0</v>
      </c>
      <c r="N528" s="279">
        <f t="shared" si="738"/>
        <v>0</v>
      </c>
      <c r="O528" s="279">
        <f t="shared" si="738"/>
        <v>0</v>
      </c>
      <c r="P528" s="279">
        <f t="shared" si="738"/>
        <v>4189115912</v>
      </c>
      <c r="Q528" s="279">
        <f t="shared" si="738"/>
        <v>0</v>
      </c>
      <c r="R528" s="281">
        <f t="shared" si="653"/>
        <v>4189115912</v>
      </c>
      <c r="S528" s="279">
        <f t="shared" ref="S528:Z528" si="739">+S529</f>
        <v>0</v>
      </c>
      <c r="T528" s="279">
        <f t="shared" si="739"/>
        <v>0</v>
      </c>
      <c r="U528" s="279">
        <f t="shared" si="739"/>
        <v>0</v>
      </c>
      <c r="V528" s="279">
        <f t="shared" si="739"/>
        <v>0</v>
      </c>
      <c r="W528" s="279">
        <f t="shared" si="739"/>
        <v>0</v>
      </c>
      <c r="X528" s="279">
        <f t="shared" si="739"/>
        <v>0</v>
      </c>
      <c r="Y528" s="279">
        <f t="shared" si="739"/>
        <v>0</v>
      </c>
      <c r="Z528" s="279">
        <f t="shared" si="739"/>
        <v>0</v>
      </c>
      <c r="AA528" s="281">
        <f t="shared" si="712"/>
        <v>0</v>
      </c>
      <c r="AB528" s="403">
        <f t="shared" si="655"/>
        <v>4189115912</v>
      </c>
      <c r="AC528" s="326">
        <f t="shared" si="673"/>
        <v>1</v>
      </c>
    </row>
    <row r="529" spans="1:29" ht="14.25" hidden="1" x14ac:dyDescent="0.2">
      <c r="A529" s="424"/>
      <c r="B529" s="323" t="s">
        <v>1495</v>
      </c>
      <c r="C529" s="206" t="s">
        <v>1494</v>
      </c>
      <c r="D529" s="277"/>
      <c r="E529" s="325">
        <f>SUM('ADICIONES  2021'!C529:N529)</f>
        <v>4189115912</v>
      </c>
      <c r="F529" s="277"/>
      <c r="G529" s="277"/>
      <c r="H529" s="277"/>
      <c r="I529" s="277"/>
      <c r="J529" s="277"/>
      <c r="K529" s="281">
        <f t="shared" si="650"/>
        <v>4189115912</v>
      </c>
      <c r="L529" s="277"/>
      <c r="M529" s="277"/>
      <c r="N529" s="277"/>
      <c r="O529" s="277"/>
      <c r="P529" s="277">
        <v>4189115912</v>
      </c>
      <c r="Q529" s="277"/>
      <c r="R529" s="281">
        <f t="shared" si="653"/>
        <v>4189115912</v>
      </c>
      <c r="S529" s="277"/>
      <c r="T529" s="277"/>
      <c r="U529" s="277"/>
      <c r="V529" s="277"/>
      <c r="W529" s="277"/>
      <c r="X529" s="277"/>
      <c r="Y529" s="277"/>
      <c r="Z529" s="277"/>
      <c r="AA529" s="281">
        <f t="shared" si="712"/>
        <v>0</v>
      </c>
      <c r="AB529" s="403">
        <f t="shared" si="655"/>
        <v>4189115912</v>
      </c>
      <c r="AC529" s="326">
        <f t="shared" si="673"/>
        <v>1</v>
      </c>
    </row>
    <row r="530" spans="1:29" ht="25.5" hidden="1" x14ac:dyDescent="0.2">
      <c r="A530" s="424"/>
      <c r="B530" s="318" t="s">
        <v>1496</v>
      </c>
      <c r="C530" s="319" t="s">
        <v>1497</v>
      </c>
      <c r="D530" s="279">
        <f>+D531</f>
        <v>0</v>
      </c>
      <c r="E530" s="322">
        <f>SUM('ADICIONES  2021'!C530:N530)</f>
        <v>3483193805.9099998</v>
      </c>
      <c r="F530" s="279">
        <f>+F531</f>
        <v>0</v>
      </c>
      <c r="G530" s="279">
        <f>+G531</f>
        <v>0</v>
      </c>
      <c r="H530" s="279">
        <f>+H531</f>
        <v>0</v>
      </c>
      <c r="I530" s="279">
        <f>+I531</f>
        <v>0</v>
      </c>
      <c r="J530" s="279">
        <f>+J531</f>
        <v>0</v>
      </c>
      <c r="K530" s="281">
        <f t="shared" si="650"/>
        <v>3483193805.9099998</v>
      </c>
      <c r="L530" s="279">
        <f t="shared" ref="L530:Q530" si="740">+L531</f>
        <v>0</v>
      </c>
      <c r="M530" s="279">
        <f t="shared" si="740"/>
        <v>0</v>
      </c>
      <c r="N530" s="279">
        <f t="shared" si="740"/>
        <v>0</v>
      </c>
      <c r="O530" s="279">
        <f t="shared" si="740"/>
        <v>0</v>
      </c>
      <c r="P530" s="279">
        <f t="shared" si="740"/>
        <v>3483193805.9099998</v>
      </c>
      <c r="Q530" s="279">
        <f t="shared" si="740"/>
        <v>0</v>
      </c>
      <c r="R530" s="281">
        <f t="shared" si="653"/>
        <v>3483193805.9099998</v>
      </c>
      <c r="S530" s="279">
        <f t="shared" ref="S530:Z530" si="741">+S531</f>
        <v>0</v>
      </c>
      <c r="T530" s="279">
        <f t="shared" si="741"/>
        <v>0</v>
      </c>
      <c r="U530" s="279">
        <f t="shared" si="741"/>
        <v>0</v>
      </c>
      <c r="V530" s="279">
        <f t="shared" si="741"/>
        <v>0</v>
      </c>
      <c r="W530" s="279">
        <f t="shared" si="741"/>
        <v>0</v>
      </c>
      <c r="X530" s="279">
        <f t="shared" si="741"/>
        <v>0</v>
      </c>
      <c r="Y530" s="279">
        <f t="shared" si="741"/>
        <v>0</v>
      </c>
      <c r="Z530" s="279">
        <f t="shared" si="741"/>
        <v>0</v>
      </c>
      <c r="AA530" s="281">
        <f t="shared" si="712"/>
        <v>0</v>
      </c>
      <c r="AB530" s="403">
        <f t="shared" si="655"/>
        <v>3483193805.9099998</v>
      </c>
      <c r="AC530" s="326">
        <f t="shared" si="673"/>
        <v>1</v>
      </c>
    </row>
    <row r="531" spans="1:29" ht="25.5" hidden="1" x14ac:dyDescent="0.2">
      <c r="A531" s="424"/>
      <c r="B531" s="323" t="s">
        <v>1498</v>
      </c>
      <c r="C531" s="206" t="s">
        <v>1499</v>
      </c>
      <c r="D531" s="277"/>
      <c r="E531" s="325">
        <f>SUM('ADICIONES  2021'!C531:N531)</f>
        <v>3483193805.9099998</v>
      </c>
      <c r="F531" s="277"/>
      <c r="G531" s="277"/>
      <c r="H531" s="277"/>
      <c r="I531" s="277"/>
      <c r="J531" s="277"/>
      <c r="K531" s="281">
        <f t="shared" si="650"/>
        <v>3483193805.9099998</v>
      </c>
      <c r="L531" s="277"/>
      <c r="M531" s="277"/>
      <c r="N531" s="277"/>
      <c r="O531" s="277"/>
      <c r="P531" s="277">
        <v>3483193805.9099998</v>
      </c>
      <c r="Q531" s="277"/>
      <c r="R531" s="281">
        <f t="shared" si="653"/>
        <v>3483193805.9099998</v>
      </c>
      <c r="S531" s="277"/>
      <c r="T531" s="277"/>
      <c r="U531" s="277"/>
      <c r="V531" s="277"/>
      <c r="W531" s="277"/>
      <c r="X531" s="277"/>
      <c r="Y531" s="277"/>
      <c r="Z531" s="277"/>
      <c r="AA531" s="281">
        <f t="shared" si="712"/>
        <v>0</v>
      </c>
      <c r="AB531" s="403">
        <f t="shared" si="655"/>
        <v>3483193805.9099998</v>
      </c>
      <c r="AC531" s="326">
        <f t="shared" si="673"/>
        <v>1</v>
      </c>
    </row>
    <row r="532" spans="1:29" ht="25.5" hidden="1" x14ac:dyDescent="0.2">
      <c r="A532" s="424"/>
      <c r="B532" s="318" t="s">
        <v>1500</v>
      </c>
      <c r="C532" s="319" t="s">
        <v>1501</v>
      </c>
      <c r="D532" s="279">
        <f>+D533</f>
        <v>0</v>
      </c>
      <c r="E532" s="322">
        <f>SUM('ADICIONES  2021'!C532:N532)</f>
        <v>2029741990.6800001</v>
      </c>
      <c r="F532" s="279">
        <f>+F533</f>
        <v>0</v>
      </c>
      <c r="G532" s="279">
        <f>+G533</f>
        <v>0</v>
      </c>
      <c r="H532" s="279">
        <f>+H533</f>
        <v>0</v>
      </c>
      <c r="I532" s="279">
        <f>+I533</f>
        <v>0</v>
      </c>
      <c r="J532" s="279">
        <f>+J533</f>
        <v>0</v>
      </c>
      <c r="K532" s="281">
        <f t="shared" si="650"/>
        <v>2029741990.6800001</v>
      </c>
      <c r="L532" s="279">
        <f t="shared" ref="L532:Q532" si="742">+L533</f>
        <v>0</v>
      </c>
      <c r="M532" s="279">
        <f t="shared" si="742"/>
        <v>0</v>
      </c>
      <c r="N532" s="279">
        <f t="shared" si="742"/>
        <v>0</v>
      </c>
      <c r="O532" s="279">
        <f t="shared" si="742"/>
        <v>0</v>
      </c>
      <c r="P532" s="279">
        <f t="shared" si="742"/>
        <v>2029741990.6800001</v>
      </c>
      <c r="Q532" s="279">
        <f t="shared" si="742"/>
        <v>0</v>
      </c>
      <c r="R532" s="281">
        <f t="shared" si="653"/>
        <v>2029741990.6800001</v>
      </c>
      <c r="S532" s="279">
        <f t="shared" ref="S532:Z532" si="743">+S533</f>
        <v>0</v>
      </c>
      <c r="T532" s="279">
        <f t="shared" si="743"/>
        <v>0</v>
      </c>
      <c r="U532" s="279">
        <f t="shared" si="743"/>
        <v>0</v>
      </c>
      <c r="V532" s="279">
        <f t="shared" si="743"/>
        <v>0</v>
      </c>
      <c r="W532" s="279">
        <f t="shared" si="743"/>
        <v>0</v>
      </c>
      <c r="X532" s="279">
        <f t="shared" si="743"/>
        <v>0</v>
      </c>
      <c r="Y532" s="279">
        <f t="shared" si="743"/>
        <v>0</v>
      </c>
      <c r="Z532" s="279">
        <f t="shared" si="743"/>
        <v>0</v>
      </c>
      <c r="AA532" s="281">
        <f t="shared" si="712"/>
        <v>0</v>
      </c>
      <c r="AB532" s="403">
        <f t="shared" si="655"/>
        <v>2029741990.6800001</v>
      </c>
      <c r="AC532" s="326">
        <f t="shared" si="673"/>
        <v>1</v>
      </c>
    </row>
    <row r="533" spans="1:29" ht="25.5" hidden="1" x14ac:dyDescent="0.2">
      <c r="A533" s="424"/>
      <c r="B533" s="323" t="s">
        <v>1502</v>
      </c>
      <c r="C533" s="206" t="s">
        <v>1501</v>
      </c>
      <c r="D533" s="277"/>
      <c r="E533" s="325">
        <f>SUM('ADICIONES  2021'!C533:N533)</f>
        <v>2029741990.6800001</v>
      </c>
      <c r="F533" s="277"/>
      <c r="G533" s="277"/>
      <c r="H533" s="277"/>
      <c r="I533" s="277"/>
      <c r="J533" s="277"/>
      <c r="K533" s="281">
        <f t="shared" si="650"/>
        <v>2029741990.6800001</v>
      </c>
      <c r="L533" s="277"/>
      <c r="M533" s="277"/>
      <c r="N533" s="277"/>
      <c r="O533" s="277"/>
      <c r="P533" s="277">
        <v>2029741990.6800001</v>
      </c>
      <c r="Q533" s="277"/>
      <c r="R533" s="281">
        <f t="shared" si="653"/>
        <v>2029741990.6800001</v>
      </c>
      <c r="S533" s="277"/>
      <c r="T533" s="277"/>
      <c r="U533" s="277"/>
      <c r="V533" s="277"/>
      <c r="W533" s="277"/>
      <c r="X533" s="277"/>
      <c r="Y533" s="277"/>
      <c r="Z533" s="277"/>
      <c r="AA533" s="281">
        <f t="shared" si="712"/>
        <v>0</v>
      </c>
      <c r="AB533" s="403">
        <f t="shared" si="655"/>
        <v>2029741990.6800001</v>
      </c>
      <c r="AC533" s="326">
        <f t="shared" si="673"/>
        <v>1</v>
      </c>
    </row>
    <row r="534" spans="1:29" ht="14.25" hidden="1" x14ac:dyDescent="0.2">
      <c r="A534" s="424"/>
      <c r="B534" s="318" t="s">
        <v>1503</v>
      </c>
      <c r="C534" s="319" t="s">
        <v>1504</v>
      </c>
      <c r="D534" s="279">
        <f>+D535</f>
        <v>0</v>
      </c>
      <c r="E534" s="322">
        <f>SUM('ADICIONES  2021'!C534:N534)</f>
        <v>1500000000</v>
      </c>
      <c r="F534" s="279">
        <f>+F535</f>
        <v>0</v>
      </c>
      <c r="G534" s="279">
        <f>+G535</f>
        <v>0</v>
      </c>
      <c r="H534" s="279">
        <f>+H535</f>
        <v>0</v>
      </c>
      <c r="I534" s="279">
        <f>+I535</f>
        <v>0</v>
      </c>
      <c r="J534" s="279">
        <f>+J535</f>
        <v>0</v>
      </c>
      <c r="K534" s="281">
        <f t="shared" si="650"/>
        <v>1500000000</v>
      </c>
      <c r="L534" s="279">
        <f t="shared" ref="L534:Q534" si="744">+L535</f>
        <v>0</v>
      </c>
      <c r="M534" s="279">
        <f t="shared" si="744"/>
        <v>0</v>
      </c>
      <c r="N534" s="279">
        <f t="shared" si="744"/>
        <v>0</v>
      </c>
      <c r="O534" s="279">
        <f t="shared" si="744"/>
        <v>0</v>
      </c>
      <c r="P534" s="279">
        <f t="shared" si="744"/>
        <v>1500000000</v>
      </c>
      <c r="Q534" s="279">
        <f t="shared" si="744"/>
        <v>0</v>
      </c>
      <c r="R534" s="281">
        <f t="shared" si="653"/>
        <v>1500000000</v>
      </c>
      <c r="S534" s="279">
        <f t="shared" ref="S534:Z534" si="745">+S535</f>
        <v>0</v>
      </c>
      <c r="T534" s="279">
        <f t="shared" si="745"/>
        <v>0</v>
      </c>
      <c r="U534" s="279">
        <f t="shared" si="745"/>
        <v>0</v>
      </c>
      <c r="V534" s="279">
        <f t="shared" si="745"/>
        <v>0</v>
      </c>
      <c r="W534" s="279">
        <f t="shared" si="745"/>
        <v>0</v>
      </c>
      <c r="X534" s="279">
        <f t="shared" si="745"/>
        <v>0</v>
      </c>
      <c r="Y534" s="279">
        <f t="shared" si="745"/>
        <v>0</v>
      </c>
      <c r="Z534" s="279">
        <f t="shared" si="745"/>
        <v>0</v>
      </c>
      <c r="AA534" s="281">
        <f t="shared" si="712"/>
        <v>0</v>
      </c>
      <c r="AB534" s="403">
        <f t="shared" si="655"/>
        <v>1500000000</v>
      </c>
      <c r="AC534" s="326">
        <f t="shared" si="673"/>
        <v>1</v>
      </c>
    </row>
    <row r="535" spans="1:29" ht="14.25" hidden="1" x14ac:dyDescent="0.2">
      <c r="A535" s="424"/>
      <c r="B535" s="323" t="s">
        <v>1505</v>
      </c>
      <c r="C535" s="206" t="s">
        <v>1504</v>
      </c>
      <c r="D535" s="277"/>
      <c r="E535" s="325">
        <f>SUM('ADICIONES  2021'!C535:N535)</f>
        <v>1500000000</v>
      </c>
      <c r="F535" s="277"/>
      <c r="G535" s="277"/>
      <c r="H535" s="277"/>
      <c r="I535" s="277"/>
      <c r="J535" s="277"/>
      <c r="K535" s="281">
        <f t="shared" si="650"/>
        <v>1500000000</v>
      </c>
      <c r="L535" s="277"/>
      <c r="M535" s="277"/>
      <c r="N535" s="277"/>
      <c r="O535" s="277"/>
      <c r="P535" s="277">
        <v>1500000000</v>
      </c>
      <c r="Q535" s="277"/>
      <c r="R535" s="281">
        <f t="shared" si="653"/>
        <v>1500000000</v>
      </c>
      <c r="S535" s="277"/>
      <c r="T535" s="277"/>
      <c r="U535" s="277"/>
      <c r="V535" s="277"/>
      <c r="W535" s="277"/>
      <c r="X535" s="277"/>
      <c r="Y535" s="277"/>
      <c r="Z535" s="277"/>
      <c r="AA535" s="281">
        <f t="shared" si="712"/>
        <v>0</v>
      </c>
      <c r="AB535" s="403">
        <f t="shared" si="655"/>
        <v>1500000000</v>
      </c>
      <c r="AC535" s="326">
        <f t="shared" si="673"/>
        <v>1</v>
      </c>
    </row>
    <row r="536" spans="1:29" ht="14.25" hidden="1" x14ac:dyDescent="0.2">
      <c r="A536" s="424"/>
      <c r="B536" s="318" t="s">
        <v>1506</v>
      </c>
      <c r="C536" s="319" t="s">
        <v>1507</v>
      </c>
      <c r="D536" s="279">
        <f>+D537</f>
        <v>0</v>
      </c>
      <c r="E536" s="322">
        <f>SUM('ADICIONES  2021'!C536:N536)</f>
        <v>1500000000</v>
      </c>
      <c r="F536" s="279">
        <f>+F537</f>
        <v>0</v>
      </c>
      <c r="G536" s="279">
        <f>+G537</f>
        <v>0</v>
      </c>
      <c r="H536" s="279">
        <f>+H537</f>
        <v>0</v>
      </c>
      <c r="I536" s="279">
        <f>+I537</f>
        <v>0</v>
      </c>
      <c r="J536" s="279">
        <f>+J537</f>
        <v>0</v>
      </c>
      <c r="K536" s="281">
        <f t="shared" si="650"/>
        <v>1500000000</v>
      </c>
      <c r="L536" s="279">
        <f t="shared" ref="L536:Q536" si="746">+L537</f>
        <v>0</v>
      </c>
      <c r="M536" s="279">
        <f t="shared" si="746"/>
        <v>0</v>
      </c>
      <c r="N536" s="279">
        <f t="shared" si="746"/>
        <v>0</v>
      </c>
      <c r="O536" s="279">
        <f t="shared" si="746"/>
        <v>0</v>
      </c>
      <c r="P536" s="279">
        <f t="shared" si="746"/>
        <v>1500000000</v>
      </c>
      <c r="Q536" s="279">
        <f t="shared" si="746"/>
        <v>0</v>
      </c>
      <c r="R536" s="281">
        <f t="shared" si="653"/>
        <v>1500000000</v>
      </c>
      <c r="S536" s="279">
        <f t="shared" ref="S536:Z536" si="747">+S537</f>
        <v>0</v>
      </c>
      <c r="T536" s="279">
        <f t="shared" si="747"/>
        <v>0</v>
      </c>
      <c r="U536" s="279">
        <f t="shared" si="747"/>
        <v>0</v>
      </c>
      <c r="V536" s="279">
        <f t="shared" si="747"/>
        <v>0</v>
      </c>
      <c r="W536" s="279">
        <f t="shared" si="747"/>
        <v>0</v>
      </c>
      <c r="X536" s="279">
        <f t="shared" si="747"/>
        <v>0</v>
      </c>
      <c r="Y536" s="279">
        <f t="shared" si="747"/>
        <v>0</v>
      </c>
      <c r="Z536" s="279">
        <f t="shared" si="747"/>
        <v>0</v>
      </c>
      <c r="AA536" s="281">
        <f t="shared" si="712"/>
        <v>0</v>
      </c>
      <c r="AB536" s="403">
        <f t="shared" si="655"/>
        <v>1500000000</v>
      </c>
      <c r="AC536" s="326">
        <f t="shared" si="673"/>
        <v>1</v>
      </c>
    </row>
    <row r="537" spans="1:29" ht="14.25" hidden="1" x14ac:dyDescent="0.2">
      <c r="A537" s="424"/>
      <c r="B537" s="323" t="s">
        <v>1508</v>
      </c>
      <c r="C537" s="206" t="s">
        <v>1507</v>
      </c>
      <c r="D537" s="277"/>
      <c r="E537" s="325">
        <f>SUM('ADICIONES  2021'!C537:N537)</f>
        <v>1500000000</v>
      </c>
      <c r="F537" s="277"/>
      <c r="G537" s="277"/>
      <c r="H537" s="277"/>
      <c r="I537" s="277"/>
      <c r="J537" s="277"/>
      <c r="K537" s="281">
        <f t="shared" si="650"/>
        <v>1500000000</v>
      </c>
      <c r="L537" s="277"/>
      <c r="M537" s="277"/>
      <c r="N537" s="277"/>
      <c r="O537" s="277"/>
      <c r="P537" s="277">
        <v>1500000000</v>
      </c>
      <c r="Q537" s="277"/>
      <c r="R537" s="281">
        <f t="shared" si="653"/>
        <v>1500000000</v>
      </c>
      <c r="S537" s="277"/>
      <c r="T537" s="277"/>
      <c r="U537" s="277"/>
      <c r="V537" s="277"/>
      <c r="W537" s="277"/>
      <c r="X537" s="277"/>
      <c r="Y537" s="277"/>
      <c r="Z537" s="277"/>
      <c r="AA537" s="281">
        <f t="shared" si="712"/>
        <v>0</v>
      </c>
      <c r="AB537" s="403">
        <f t="shared" si="655"/>
        <v>1500000000</v>
      </c>
      <c r="AC537" s="326">
        <f t="shared" si="673"/>
        <v>1</v>
      </c>
    </row>
    <row r="538" spans="1:29" ht="14.25" hidden="1" x14ac:dyDescent="0.2">
      <c r="A538" s="424"/>
      <c r="B538" s="318" t="s">
        <v>1509</v>
      </c>
      <c r="C538" s="319" t="s">
        <v>1510</v>
      </c>
      <c r="D538" s="279">
        <f>+D539</f>
        <v>0</v>
      </c>
      <c r="E538" s="322">
        <f>SUM('ADICIONES  2021'!C538:N538)</f>
        <v>1514607600.95</v>
      </c>
      <c r="F538" s="279">
        <f>+F539</f>
        <v>0</v>
      </c>
      <c r="G538" s="279">
        <f>+G539</f>
        <v>0</v>
      </c>
      <c r="H538" s="279">
        <f>+H539</f>
        <v>0</v>
      </c>
      <c r="I538" s="279">
        <f>+I539</f>
        <v>0</v>
      </c>
      <c r="J538" s="279">
        <f>+J539</f>
        <v>0</v>
      </c>
      <c r="K538" s="281">
        <f t="shared" si="650"/>
        <v>1514607600.95</v>
      </c>
      <c r="L538" s="279">
        <f t="shared" ref="L538:Q538" si="748">+L539</f>
        <v>0</v>
      </c>
      <c r="M538" s="279">
        <f t="shared" si="748"/>
        <v>0</v>
      </c>
      <c r="N538" s="279">
        <f t="shared" si="748"/>
        <v>0</v>
      </c>
      <c r="O538" s="279">
        <f t="shared" si="748"/>
        <v>0</v>
      </c>
      <c r="P538" s="279">
        <f t="shared" si="748"/>
        <v>1514607600.95</v>
      </c>
      <c r="Q538" s="279">
        <f t="shared" si="748"/>
        <v>0</v>
      </c>
      <c r="R538" s="281">
        <f t="shared" si="653"/>
        <v>1514607600.95</v>
      </c>
      <c r="S538" s="279">
        <f t="shared" ref="S538:Z538" si="749">+S539</f>
        <v>0</v>
      </c>
      <c r="T538" s="279">
        <f t="shared" si="749"/>
        <v>0</v>
      </c>
      <c r="U538" s="279">
        <f t="shared" si="749"/>
        <v>0</v>
      </c>
      <c r="V538" s="279">
        <f t="shared" si="749"/>
        <v>0</v>
      </c>
      <c r="W538" s="279">
        <f t="shared" si="749"/>
        <v>0</v>
      </c>
      <c r="X538" s="279">
        <f t="shared" si="749"/>
        <v>0</v>
      </c>
      <c r="Y538" s="279">
        <f t="shared" si="749"/>
        <v>0</v>
      </c>
      <c r="Z538" s="279">
        <f t="shared" si="749"/>
        <v>0</v>
      </c>
      <c r="AA538" s="281">
        <f t="shared" si="712"/>
        <v>0</v>
      </c>
      <c r="AB538" s="403">
        <f t="shared" si="655"/>
        <v>1514607600.95</v>
      </c>
      <c r="AC538" s="326">
        <f t="shared" si="673"/>
        <v>1</v>
      </c>
    </row>
    <row r="539" spans="1:29" ht="14.25" hidden="1" x14ac:dyDescent="0.2">
      <c r="A539" s="424"/>
      <c r="B539" s="323" t="s">
        <v>1511</v>
      </c>
      <c r="C539" s="206" t="s">
        <v>1510</v>
      </c>
      <c r="D539" s="277"/>
      <c r="E539" s="325">
        <f>SUM('ADICIONES  2021'!C539:N539)</f>
        <v>1514607600.95</v>
      </c>
      <c r="F539" s="277"/>
      <c r="G539" s="277"/>
      <c r="H539" s="277"/>
      <c r="I539" s="277"/>
      <c r="J539" s="277"/>
      <c r="K539" s="281">
        <f t="shared" si="650"/>
        <v>1514607600.95</v>
      </c>
      <c r="L539" s="277"/>
      <c r="M539" s="277"/>
      <c r="N539" s="277"/>
      <c r="O539" s="277"/>
      <c r="P539" s="277">
        <v>1514607600.95</v>
      </c>
      <c r="Q539" s="277"/>
      <c r="R539" s="281">
        <f t="shared" si="653"/>
        <v>1514607600.95</v>
      </c>
      <c r="S539" s="277"/>
      <c r="T539" s="277"/>
      <c r="U539" s="277"/>
      <c r="V539" s="277"/>
      <c r="W539" s="277"/>
      <c r="X539" s="277"/>
      <c r="Y539" s="277"/>
      <c r="Z539" s="277"/>
      <c r="AA539" s="281">
        <f t="shared" si="712"/>
        <v>0</v>
      </c>
      <c r="AB539" s="403">
        <f t="shared" si="655"/>
        <v>1514607600.95</v>
      </c>
      <c r="AC539" s="326">
        <f t="shared" si="673"/>
        <v>1</v>
      </c>
    </row>
    <row r="540" spans="1:29" ht="14.25" hidden="1" x14ac:dyDescent="0.2">
      <c r="A540" s="424"/>
      <c r="B540" s="318" t="s">
        <v>1512</v>
      </c>
      <c r="C540" s="319" t="s">
        <v>1513</v>
      </c>
      <c r="D540" s="279">
        <f>+D541</f>
        <v>0</v>
      </c>
      <c r="E540" s="322">
        <f>SUM('ADICIONES  2021'!C540:N540)</f>
        <v>3000000000</v>
      </c>
      <c r="F540" s="279">
        <f>+F541</f>
        <v>0</v>
      </c>
      <c r="G540" s="279">
        <f>+G541</f>
        <v>0</v>
      </c>
      <c r="H540" s="279">
        <f>+H541</f>
        <v>0</v>
      </c>
      <c r="I540" s="279">
        <f>+I541</f>
        <v>0</v>
      </c>
      <c r="J540" s="279">
        <f>+J541</f>
        <v>0</v>
      </c>
      <c r="K540" s="281">
        <f t="shared" si="650"/>
        <v>3000000000</v>
      </c>
      <c r="L540" s="279">
        <f t="shared" ref="L540:Q540" si="750">+L541</f>
        <v>0</v>
      </c>
      <c r="M540" s="279">
        <f t="shared" si="750"/>
        <v>0</v>
      </c>
      <c r="N540" s="279">
        <f t="shared" si="750"/>
        <v>0</v>
      </c>
      <c r="O540" s="279">
        <f t="shared" si="750"/>
        <v>0</v>
      </c>
      <c r="P540" s="279">
        <f t="shared" si="750"/>
        <v>3000000000</v>
      </c>
      <c r="Q540" s="279">
        <f t="shared" si="750"/>
        <v>0</v>
      </c>
      <c r="R540" s="281">
        <f t="shared" si="653"/>
        <v>3000000000</v>
      </c>
      <c r="S540" s="279">
        <f t="shared" ref="S540:Z540" si="751">+S541</f>
        <v>0</v>
      </c>
      <c r="T540" s="279">
        <f t="shared" si="751"/>
        <v>0</v>
      </c>
      <c r="U540" s="279">
        <f t="shared" si="751"/>
        <v>0</v>
      </c>
      <c r="V540" s="279">
        <f t="shared" si="751"/>
        <v>0</v>
      </c>
      <c r="W540" s="279">
        <f t="shared" si="751"/>
        <v>0</v>
      </c>
      <c r="X540" s="279">
        <f t="shared" si="751"/>
        <v>0</v>
      </c>
      <c r="Y540" s="279">
        <f t="shared" si="751"/>
        <v>0</v>
      </c>
      <c r="Z540" s="279">
        <f t="shared" si="751"/>
        <v>0</v>
      </c>
      <c r="AA540" s="281">
        <f t="shared" si="712"/>
        <v>0</v>
      </c>
      <c r="AB540" s="403">
        <f t="shared" si="655"/>
        <v>3000000000</v>
      </c>
      <c r="AC540" s="326">
        <f t="shared" si="673"/>
        <v>1</v>
      </c>
    </row>
    <row r="541" spans="1:29" ht="14.25" hidden="1" x14ac:dyDescent="0.2">
      <c r="A541" s="424"/>
      <c r="B541" s="323" t="s">
        <v>1514</v>
      </c>
      <c r="C541" s="206" t="s">
        <v>1513</v>
      </c>
      <c r="D541" s="277"/>
      <c r="E541" s="325">
        <f>SUM('ADICIONES  2021'!C541:N541)</f>
        <v>3000000000</v>
      </c>
      <c r="F541" s="277"/>
      <c r="G541" s="277"/>
      <c r="H541" s="277"/>
      <c r="I541" s="277"/>
      <c r="J541" s="277"/>
      <c r="K541" s="281">
        <f t="shared" si="650"/>
        <v>3000000000</v>
      </c>
      <c r="L541" s="277"/>
      <c r="M541" s="277"/>
      <c r="N541" s="277"/>
      <c r="O541" s="277"/>
      <c r="P541" s="277">
        <v>3000000000</v>
      </c>
      <c r="Q541" s="277"/>
      <c r="R541" s="281">
        <f t="shared" si="653"/>
        <v>3000000000</v>
      </c>
      <c r="S541" s="277"/>
      <c r="T541" s="277"/>
      <c r="U541" s="277"/>
      <c r="V541" s="277"/>
      <c r="W541" s="277"/>
      <c r="X541" s="277"/>
      <c r="Y541" s="277"/>
      <c r="Z541" s="277"/>
      <c r="AA541" s="281">
        <f t="shared" si="712"/>
        <v>0</v>
      </c>
      <c r="AB541" s="403">
        <f t="shared" si="655"/>
        <v>3000000000</v>
      </c>
      <c r="AC541" s="326">
        <f t="shared" si="673"/>
        <v>1</v>
      </c>
    </row>
    <row r="542" spans="1:29" ht="14.25" hidden="1" x14ac:dyDescent="0.2">
      <c r="A542" s="424"/>
      <c r="B542" s="318" t="s">
        <v>1515</v>
      </c>
      <c r="C542" s="319" t="s">
        <v>1516</v>
      </c>
      <c r="D542" s="279">
        <f>+D543</f>
        <v>0</v>
      </c>
      <c r="E542" s="322">
        <f>SUM('ADICIONES  2021'!C542:N542)</f>
        <v>287868062</v>
      </c>
      <c r="F542" s="279">
        <f>+F543</f>
        <v>0</v>
      </c>
      <c r="G542" s="279">
        <f>+G543</f>
        <v>0</v>
      </c>
      <c r="H542" s="279">
        <f>+H543</f>
        <v>0</v>
      </c>
      <c r="I542" s="279">
        <f>+I543</f>
        <v>0</v>
      </c>
      <c r="J542" s="279">
        <f>+J543</f>
        <v>0</v>
      </c>
      <c r="K542" s="281">
        <f t="shared" si="650"/>
        <v>287868062</v>
      </c>
      <c r="L542" s="279">
        <f t="shared" ref="L542:Q542" si="752">+L543</f>
        <v>0</v>
      </c>
      <c r="M542" s="279">
        <f t="shared" si="752"/>
        <v>0</v>
      </c>
      <c r="N542" s="279">
        <f t="shared" si="752"/>
        <v>0</v>
      </c>
      <c r="O542" s="279">
        <f t="shared" si="752"/>
        <v>0</v>
      </c>
      <c r="P542" s="279">
        <f t="shared" si="752"/>
        <v>287868062</v>
      </c>
      <c r="Q542" s="279">
        <f t="shared" si="752"/>
        <v>0</v>
      </c>
      <c r="R542" s="281">
        <f t="shared" si="653"/>
        <v>287868062</v>
      </c>
      <c r="S542" s="279">
        <f t="shared" ref="S542:Z542" si="753">+S543</f>
        <v>0</v>
      </c>
      <c r="T542" s="279">
        <f t="shared" si="753"/>
        <v>0</v>
      </c>
      <c r="U542" s="279">
        <f t="shared" si="753"/>
        <v>0</v>
      </c>
      <c r="V542" s="279">
        <f t="shared" si="753"/>
        <v>0</v>
      </c>
      <c r="W542" s="279">
        <f t="shared" si="753"/>
        <v>0</v>
      </c>
      <c r="X542" s="279">
        <f t="shared" si="753"/>
        <v>0</v>
      </c>
      <c r="Y542" s="279">
        <f t="shared" si="753"/>
        <v>0</v>
      </c>
      <c r="Z542" s="279">
        <f t="shared" si="753"/>
        <v>0</v>
      </c>
      <c r="AA542" s="281">
        <f t="shared" si="712"/>
        <v>0</v>
      </c>
      <c r="AB542" s="403">
        <f t="shared" si="655"/>
        <v>287868062</v>
      </c>
      <c r="AC542" s="326">
        <f t="shared" si="673"/>
        <v>1</v>
      </c>
    </row>
    <row r="543" spans="1:29" ht="14.25" hidden="1" x14ac:dyDescent="0.2">
      <c r="A543" s="424"/>
      <c r="B543" s="323" t="s">
        <v>1517</v>
      </c>
      <c r="C543" s="206" t="s">
        <v>1516</v>
      </c>
      <c r="D543" s="277"/>
      <c r="E543" s="325">
        <f>SUM('ADICIONES  2021'!C543:N543)</f>
        <v>287868062</v>
      </c>
      <c r="F543" s="277"/>
      <c r="G543" s="277"/>
      <c r="H543" s="277"/>
      <c r="I543" s="277"/>
      <c r="J543" s="277"/>
      <c r="K543" s="281">
        <f t="shared" si="650"/>
        <v>287868062</v>
      </c>
      <c r="L543" s="277"/>
      <c r="M543" s="277"/>
      <c r="N543" s="277"/>
      <c r="O543" s="277"/>
      <c r="P543" s="277">
        <v>287868062</v>
      </c>
      <c r="Q543" s="277"/>
      <c r="R543" s="281">
        <f t="shared" si="653"/>
        <v>287868062</v>
      </c>
      <c r="S543" s="277"/>
      <c r="T543" s="277"/>
      <c r="U543" s="277"/>
      <c r="V543" s="277"/>
      <c r="W543" s="277"/>
      <c r="X543" s="277"/>
      <c r="Y543" s="277"/>
      <c r="Z543" s="277"/>
      <c r="AA543" s="281">
        <f t="shared" si="712"/>
        <v>0</v>
      </c>
      <c r="AB543" s="403">
        <f t="shared" si="655"/>
        <v>287868062</v>
      </c>
      <c r="AC543" s="326">
        <f t="shared" si="673"/>
        <v>1</v>
      </c>
    </row>
    <row r="544" spans="1:29" ht="14.25" hidden="1" x14ac:dyDescent="0.2">
      <c r="A544" s="424"/>
      <c r="B544" s="318" t="s">
        <v>1518</v>
      </c>
      <c r="C544" s="319" t="s">
        <v>1519</v>
      </c>
      <c r="D544" s="279">
        <f>+D545</f>
        <v>0</v>
      </c>
      <c r="E544" s="322">
        <f>SUM('ADICIONES  2021'!C544:N544)</f>
        <v>320982097</v>
      </c>
      <c r="F544" s="279">
        <f>+F545</f>
        <v>0</v>
      </c>
      <c r="G544" s="279">
        <f>+G545</f>
        <v>0</v>
      </c>
      <c r="H544" s="279">
        <f>+H545</f>
        <v>0</v>
      </c>
      <c r="I544" s="279">
        <f>+I545</f>
        <v>0</v>
      </c>
      <c r="J544" s="279">
        <f>+J545</f>
        <v>0</v>
      </c>
      <c r="K544" s="281">
        <f t="shared" si="650"/>
        <v>320982097</v>
      </c>
      <c r="L544" s="279">
        <f t="shared" ref="L544:Q544" si="754">+L545</f>
        <v>0</v>
      </c>
      <c r="M544" s="279">
        <f t="shared" si="754"/>
        <v>0</v>
      </c>
      <c r="N544" s="279">
        <f t="shared" si="754"/>
        <v>0</v>
      </c>
      <c r="O544" s="279">
        <f t="shared" si="754"/>
        <v>0</v>
      </c>
      <c r="P544" s="279">
        <f t="shared" si="754"/>
        <v>320982097</v>
      </c>
      <c r="Q544" s="279">
        <f t="shared" si="754"/>
        <v>0</v>
      </c>
      <c r="R544" s="281">
        <f t="shared" si="653"/>
        <v>320982097</v>
      </c>
      <c r="S544" s="279">
        <f t="shared" ref="S544:Z544" si="755">+S545</f>
        <v>0</v>
      </c>
      <c r="T544" s="279">
        <f t="shared" si="755"/>
        <v>0</v>
      </c>
      <c r="U544" s="279">
        <f t="shared" si="755"/>
        <v>0</v>
      </c>
      <c r="V544" s="279">
        <f t="shared" si="755"/>
        <v>0</v>
      </c>
      <c r="W544" s="279">
        <f t="shared" si="755"/>
        <v>0</v>
      </c>
      <c r="X544" s="279">
        <f t="shared" si="755"/>
        <v>0</v>
      </c>
      <c r="Y544" s="279">
        <f t="shared" si="755"/>
        <v>0</v>
      </c>
      <c r="Z544" s="279">
        <f t="shared" si="755"/>
        <v>0</v>
      </c>
      <c r="AA544" s="281">
        <f t="shared" si="712"/>
        <v>0</v>
      </c>
      <c r="AB544" s="403">
        <f t="shared" si="655"/>
        <v>320982097</v>
      </c>
      <c r="AC544" s="326">
        <f t="shared" si="673"/>
        <v>1</v>
      </c>
    </row>
    <row r="545" spans="1:29" ht="14.25" hidden="1" x14ac:dyDescent="0.2">
      <c r="A545" s="424"/>
      <c r="B545" s="323" t="s">
        <v>1520</v>
      </c>
      <c r="C545" s="206" t="s">
        <v>1519</v>
      </c>
      <c r="D545" s="277"/>
      <c r="E545" s="325">
        <f>SUM('ADICIONES  2021'!C545:N545)</f>
        <v>320982097</v>
      </c>
      <c r="F545" s="277"/>
      <c r="G545" s="277"/>
      <c r="H545" s="277"/>
      <c r="I545" s="277"/>
      <c r="J545" s="277"/>
      <c r="K545" s="281">
        <f t="shared" si="650"/>
        <v>320982097</v>
      </c>
      <c r="L545" s="277"/>
      <c r="M545" s="277"/>
      <c r="N545" s="277"/>
      <c r="O545" s="277"/>
      <c r="P545" s="277">
        <v>320982097</v>
      </c>
      <c r="Q545" s="277"/>
      <c r="R545" s="281">
        <f t="shared" si="653"/>
        <v>320982097</v>
      </c>
      <c r="S545" s="277"/>
      <c r="T545" s="277"/>
      <c r="U545" s="277"/>
      <c r="V545" s="277"/>
      <c r="W545" s="277"/>
      <c r="X545" s="277"/>
      <c r="Y545" s="277"/>
      <c r="Z545" s="277"/>
      <c r="AA545" s="281">
        <f t="shared" si="712"/>
        <v>0</v>
      </c>
      <c r="AB545" s="403">
        <f t="shared" si="655"/>
        <v>320982097</v>
      </c>
      <c r="AC545" s="326">
        <f t="shared" si="673"/>
        <v>1</v>
      </c>
    </row>
    <row r="546" spans="1:29" s="61" customFormat="1" ht="38.25" hidden="1" x14ac:dyDescent="0.2">
      <c r="A546" s="425"/>
      <c r="B546" s="318" t="s">
        <v>1521</v>
      </c>
      <c r="C546" s="319" t="s">
        <v>1522</v>
      </c>
      <c r="D546" s="279">
        <f>SUM(D547:D548)</f>
        <v>0</v>
      </c>
      <c r="E546" s="322">
        <f>SUM('ADICIONES  2021'!C546:N546)</f>
        <v>746896120.75</v>
      </c>
      <c r="F546" s="279">
        <f t="shared" ref="F546:J546" si="756">SUM(F547:F548)</f>
        <v>0</v>
      </c>
      <c r="G546" s="279">
        <f t="shared" si="756"/>
        <v>0</v>
      </c>
      <c r="H546" s="279">
        <f t="shared" si="756"/>
        <v>0</v>
      </c>
      <c r="I546" s="279">
        <f t="shared" si="756"/>
        <v>0</v>
      </c>
      <c r="J546" s="279">
        <f t="shared" si="756"/>
        <v>0</v>
      </c>
      <c r="K546" s="276">
        <f t="shared" si="650"/>
        <v>746896120.75</v>
      </c>
      <c r="L546" s="279">
        <f t="shared" ref="L546:Q546" si="757">SUM(L547:L548)</f>
        <v>0</v>
      </c>
      <c r="M546" s="279">
        <f t="shared" si="757"/>
        <v>0</v>
      </c>
      <c r="N546" s="279">
        <f t="shared" si="757"/>
        <v>0</v>
      </c>
      <c r="O546" s="279">
        <f t="shared" si="757"/>
        <v>0</v>
      </c>
      <c r="P546" s="279">
        <f t="shared" si="757"/>
        <v>746887763.63</v>
      </c>
      <c r="Q546" s="279">
        <f t="shared" si="757"/>
        <v>0</v>
      </c>
      <c r="R546" s="276">
        <f t="shared" si="653"/>
        <v>746887763.63</v>
      </c>
      <c r="S546" s="279">
        <f t="shared" ref="S546:Z546" si="758">SUM(S547:S548)</f>
        <v>0</v>
      </c>
      <c r="T546" s="279">
        <f t="shared" si="758"/>
        <v>0</v>
      </c>
      <c r="U546" s="279">
        <f t="shared" si="758"/>
        <v>0</v>
      </c>
      <c r="V546" s="279">
        <f t="shared" si="758"/>
        <v>0</v>
      </c>
      <c r="W546" s="279">
        <f t="shared" si="758"/>
        <v>8357.1200000000008</v>
      </c>
      <c r="X546" s="279">
        <f t="shared" si="758"/>
        <v>0</v>
      </c>
      <c r="Y546" s="279">
        <f t="shared" si="758"/>
        <v>0</v>
      </c>
      <c r="Z546" s="279">
        <f t="shared" si="758"/>
        <v>0</v>
      </c>
      <c r="AA546" s="276">
        <f t="shared" si="712"/>
        <v>8357.1200000000008</v>
      </c>
      <c r="AB546" s="402">
        <f t="shared" si="655"/>
        <v>746896120.75</v>
      </c>
      <c r="AC546" s="321">
        <f t="shared" si="673"/>
        <v>1</v>
      </c>
    </row>
    <row r="547" spans="1:29" ht="38.25" hidden="1" x14ac:dyDescent="0.2">
      <c r="A547" s="424"/>
      <c r="B547" s="323" t="s">
        <v>1523</v>
      </c>
      <c r="C547" s="206" t="s">
        <v>1522</v>
      </c>
      <c r="D547" s="277"/>
      <c r="E547" s="325">
        <f>SUM('ADICIONES  2021'!C547:N547)</f>
        <v>746887763.63</v>
      </c>
      <c r="F547" s="277"/>
      <c r="G547" s="277"/>
      <c r="H547" s="277"/>
      <c r="I547" s="277"/>
      <c r="J547" s="277"/>
      <c r="K547" s="281">
        <f t="shared" si="650"/>
        <v>746887763.63</v>
      </c>
      <c r="L547" s="277"/>
      <c r="M547" s="277"/>
      <c r="N547" s="277"/>
      <c r="O547" s="277"/>
      <c r="P547" s="277">
        <v>746887763.63</v>
      </c>
      <c r="Q547" s="277"/>
      <c r="R547" s="281">
        <f t="shared" si="653"/>
        <v>746887763.63</v>
      </c>
      <c r="S547" s="277"/>
      <c r="T547" s="277"/>
      <c r="U547" s="277"/>
      <c r="V547" s="277"/>
      <c r="W547" s="277"/>
      <c r="X547" s="277"/>
      <c r="Y547" s="277"/>
      <c r="Z547" s="277"/>
      <c r="AA547" s="281">
        <f t="shared" si="712"/>
        <v>0</v>
      </c>
      <c r="AB547" s="403">
        <f t="shared" si="655"/>
        <v>746887763.63</v>
      </c>
      <c r="AC547" s="326">
        <f t="shared" si="673"/>
        <v>1</v>
      </c>
    </row>
    <row r="548" spans="1:29" ht="38.25" hidden="1" x14ac:dyDescent="0.2">
      <c r="A548" s="424"/>
      <c r="B548" s="323" t="s">
        <v>1523</v>
      </c>
      <c r="C548" s="206" t="s">
        <v>1522</v>
      </c>
      <c r="D548" s="277"/>
      <c r="E548" s="325">
        <f>SUM('ADICIONES  2021'!C548:N548)</f>
        <v>8357.1200000000008</v>
      </c>
      <c r="F548" s="277"/>
      <c r="G548" s="277"/>
      <c r="H548" s="277"/>
      <c r="I548" s="277"/>
      <c r="J548" s="277"/>
      <c r="K548" s="281">
        <f t="shared" si="650"/>
        <v>8357.1200000000008</v>
      </c>
      <c r="L548" s="277"/>
      <c r="M548" s="277"/>
      <c r="N548" s="277"/>
      <c r="O548" s="277"/>
      <c r="P548" s="277"/>
      <c r="Q548" s="277"/>
      <c r="R548" s="281">
        <f t="shared" ref="R548" si="759">SUM(L548:Q548)</f>
        <v>0</v>
      </c>
      <c r="S548" s="277"/>
      <c r="T548" s="277"/>
      <c r="U548" s="277"/>
      <c r="V548" s="277"/>
      <c r="W548" s="277">
        <v>8357.1200000000008</v>
      </c>
      <c r="X548" s="277"/>
      <c r="Y548" s="277"/>
      <c r="Z548" s="277"/>
      <c r="AA548" s="281">
        <f t="shared" ref="AA548" si="760">SUM(S548:Z548)</f>
        <v>8357.1200000000008</v>
      </c>
      <c r="AB548" s="403">
        <f t="shared" si="655"/>
        <v>8357.1200000000008</v>
      </c>
      <c r="AC548" s="326">
        <f t="shared" si="673"/>
        <v>1</v>
      </c>
    </row>
    <row r="549" spans="1:29" ht="14.25" hidden="1" x14ac:dyDescent="0.2">
      <c r="A549" s="424"/>
      <c r="B549" s="318" t="s">
        <v>1524</v>
      </c>
      <c r="C549" s="319" t="s">
        <v>1525</v>
      </c>
      <c r="D549" s="279">
        <f>+D550</f>
        <v>0</v>
      </c>
      <c r="E549" s="322">
        <f>SUM('ADICIONES  2021'!C549:N549)</f>
        <v>493740289</v>
      </c>
      <c r="F549" s="279">
        <f>+F550</f>
        <v>0</v>
      </c>
      <c r="G549" s="279">
        <f>+G550</f>
        <v>0</v>
      </c>
      <c r="H549" s="279">
        <f>+H550</f>
        <v>0</v>
      </c>
      <c r="I549" s="279">
        <f>+I550</f>
        <v>0</v>
      </c>
      <c r="J549" s="279">
        <f>+J550</f>
        <v>0</v>
      </c>
      <c r="K549" s="281">
        <f t="shared" si="650"/>
        <v>493740289</v>
      </c>
      <c r="L549" s="279">
        <f t="shared" ref="L549:Q549" si="761">+L550</f>
        <v>0</v>
      </c>
      <c r="M549" s="279">
        <f t="shared" si="761"/>
        <v>0</v>
      </c>
      <c r="N549" s="279">
        <f t="shared" si="761"/>
        <v>0</v>
      </c>
      <c r="O549" s="279">
        <f t="shared" si="761"/>
        <v>0</v>
      </c>
      <c r="P549" s="279">
        <f t="shared" si="761"/>
        <v>493740289</v>
      </c>
      <c r="Q549" s="279">
        <f t="shared" si="761"/>
        <v>0</v>
      </c>
      <c r="R549" s="281">
        <f t="shared" si="653"/>
        <v>493740289</v>
      </c>
      <c r="S549" s="279">
        <f t="shared" ref="S549:Z549" si="762">+S550</f>
        <v>0</v>
      </c>
      <c r="T549" s="279">
        <f t="shared" si="762"/>
        <v>0</v>
      </c>
      <c r="U549" s="279">
        <f t="shared" si="762"/>
        <v>0</v>
      </c>
      <c r="V549" s="279">
        <f t="shared" si="762"/>
        <v>0</v>
      </c>
      <c r="W549" s="279">
        <f t="shared" si="762"/>
        <v>0</v>
      </c>
      <c r="X549" s="279">
        <f t="shared" si="762"/>
        <v>0</v>
      </c>
      <c r="Y549" s="279">
        <f t="shared" si="762"/>
        <v>0</v>
      </c>
      <c r="Z549" s="279">
        <f t="shared" si="762"/>
        <v>0</v>
      </c>
      <c r="AA549" s="281">
        <f t="shared" si="712"/>
        <v>0</v>
      </c>
      <c r="AB549" s="403">
        <f t="shared" si="655"/>
        <v>493740289</v>
      </c>
      <c r="AC549" s="326">
        <f t="shared" si="673"/>
        <v>1</v>
      </c>
    </row>
    <row r="550" spans="1:29" ht="14.25" hidden="1" x14ac:dyDescent="0.2">
      <c r="A550" s="424"/>
      <c r="B550" s="323" t="s">
        <v>1526</v>
      </c>
      <c r="C550" s="206" t="s">
        <v>1525</v>
      </c>
      <c r="D550" s="277"/>
      <c r="E550" s="325">
        <f>SUM('ADICIONES  2021'!C550:N550)</f>
        <v>493740289</v>
      </c>
      <c r="F550" s="277"/>
      <c r="G550" s="277"/>
      <c r="H550" s="277"/>
      <c r="I550" s="277"/>
      <c r="J550" s="277"/>
      <c r="K550" s="281">
        <f t="shared" si="650"/>
        <v>493740289</v>
      </c>
      <c r="L550" s="277"/>
      <c r="M550" s="277"/>
      <c r="N550" s="277"/>
      <c r="O550" s="277"/>
      <c r="P550" s="277">
        <v>493740289</v>
      </c>
      <c r="Q550" s="277"/>
      <c r="R550" s="281">
        <f t="shared" si="653"/>
        <v>493740289</v>
      </c>
      <c r="S550" s="277"/>
      <c r="T550" s="277"/>
      <c r="U550" s="277"/>
      <c r="V550" s="277"/>
      <c r="W550" s="277"/>
      <c r="X550" s="277"/>
      <c r="Y550" s="277"/>
      <c r="Z550" s="277"/>
      <c r="AA550" s="281">
        <f t="shared" si="712"/>
        <v>0</v>
      </c>
      <c r="AB550" s="403">
        <f t="shared" si="655"/>
        <v>493740289</v>
      </c>
      <c r="AC550" s="326">
        <f t="shared" si="673"/>
        <v>1</v>
      </c>
    </row>
    <row r="551" spans="1:29" ht="14.25" hidden="1" x14ac:dyDescent="0.2">
      <c r="A551" s="424"/>
      <c r="B551" s="318" t="s">
        <v>1527</v>
      </c>
      <c r="C551" s="319" t="s">
        <v>1528</v>
      </c>
      <c r="D551" s="279">
        <f>+D552</f>
        <v>0</v>
      </c>
      <c r="E551" s="322">
        <f>SUM('ADICIONES  2021'!C551:N551)</f>
        <v>91334526.659999996</v>
      </c>
      <c r="F551" s="279">
        <f>+F552</f>
        <v>0</v>
      </c>
      <c r="G551" s="279">
        <f>+G552</f>
        <v>0</v>
      </c>
      <c r="H551" s="279">
        <f>+H552</f>
        <v>0</v>
      </c>
      <c r="I551" s="279">
        <f>+I552</f>
        <v>0</v>
      </c>
      <c r="J551" s="279">
        <f>+J552</f>
        <v>0</v>
      </c>
      <c r="K551" s="281">
        <f t="shared" si="650"/>
        <v>91334526.659999996</v>
      </c>
      <c r="L551" s="279">
        <f t="shared" ref="L551:Q551" si="763">+L552</f>
        <v>0</v>
      </c>
      <c r="M551" s="279">
        <f t="shared" si="763"/>
        <v>0</v>
      </c>
      <c r="N551" s="279">
        <f t="shared" si="763"/>
        <v>0</v>
      </c>
      <c r="O551" s="279">
        <f t="shared" si="763"/>
        <v>0</v>
      </c>
      <c r="P551" s="279">
        <f t="shared" si="763"/>
        <v>91334526.659999996</v>
      </c>
      <c r="Q551" s="279">
        <f t="shared" si="763"/>
        <v>0</v>
      </c>
      <c r="R551" s="281">
        <f t="shared" si="653"/>
        <v>91334526.659999996</v>
      </c>
      <c r="S551" s="279">
        <f t="shared" ref="S551:Z551" si="764">+S552</f>
        <v>0</v>
      </c>
      <c r="T551" s="279">
        <f t="shared" si="764"/>
        <v>0</v>
      </c>
      <c r="U551" s="279">
        <f t="shared" si="764"/>
        <v>0</v>
      </c>
      <c r="V551" s="279">
        <f t="shared" si="764"/>
        <v>0</v>
      </c>
      <c r="W551" s="279">
        <f t="shared" si="764"/>
        <v>0</v>
      </c>
      <c r="X551" s="279">
        <f t="shared" si="764"/>
        <v>0</v>
      </c>
      <c r="Y551" s="279">
        <f t="shared" si="764"/>
        <v>0</v>
      </c>
      <c r="Z551" s="279">
        <f t="shared" si="764"/>
        <v>0</v>
      </c>
      <c r="AA551" s="281">
        <f t="shared" si="712"/>
        <v>0</v>
      </c>
      <c r="AB551" s="403">
        <f t="shared" si="655"/>
        <v>91334526.659999996</v>
      </c>
      <c r="AC551" s="326">
        <f t="shared" si="673"/>
        <v>1</v>
      </c>
    </row>
    <row r="552" spans="1:29" ht="14.25" hidden="1" x14ac:dyDescent="0.2">
      <c r="A552" s="424"/>
      <c r="B552" s="323" t="s">
        <v>1529</v>
      </c>
      <c r="C552" s="206" t="s">
        <v>1528</v>
      </c>
      <c r="D552" s="277"/>
      <c r="E552" s="325">
        <f>SUM('ADICIONES  2021'!C552:N552)</f>
        <v>91334526.659999996</v>
      </c>
      <c r="F552" s="277"/>
      <c r="G552" s="277"/>
      <c r="H552" s="277"/>
      <c r="I552" s="277"/>
      <c r="J552" s="277"/>
      <c r="K552" s="281">
        <f t="shared" si="650"/>
        <v>91334526.659999996</v>
      </c>
      <c r="L552" s="277"/>
      <c r="M552" s="277"/>
      <c r="N552" s="277"/>
      <c r="O552" s="277"/>
      <c r="P552" s="277">
        <v>91334526.659999996</v>
      </c>
      <c r="Q552" s="277"/>
      <c r="R552" s="281">
        <f t="shared" si="653"/>
        <v>91334526.659999996</v>
      </c>
      <c r="S552" s="277"/>
      <c r="T552" s="277"/>
      <c r="U552" s="277"/>
      <c r="V552" s="277"/>
      <c r="W552" s="277"/>
      <c r="X552" s="277"/>
      <c r="Y552" s="277"/>
      <c r="Z552" s="277"/>
      <c r="AA552" s="281">
        <f t="shared" si="712"/>
        <v>0</v>
      </c>
      <c r="AB552" s="403">
        <f t="shared" si="655"/>
        <v>91334526.659999996</v>
      </c>
      <c r="AC552" s="326">
        <f t="shared" si="673"/>
        <v>1</v>
      </c>
    </row>
    <row r="553" spans="1:29" ht="14.25" hidden="1" x14ac:dyDescent="0.2">
      <c r="A553" s="424"/>
      <c r="B553" s="318" t="s">
        <v>1530</v>
      </c>
      <c r="C553" s="319" t="s">
        <v>1531</v>
      </c>
      <c r="D553" s="279">
        <f>+D554</f>
        <v>0</v>
      </c>
      <c r="E553" s="322">
        <f>SUM('ADICIONES  2021'!C553:N553)</f>
        <v>336647722.75999999</v>
      </c>
      <c r="F553" s="279">
        <f>+F554</f>
        <v>0</v>
      </c>
      <c r="G553" s="279">
        <f>+G554</f>
        <v>0</v>
      </c>
      <c r="H553" s="279">
        <f>+H554</f>
        <v>0</v>
      </c>
      <c r="I553" s="279">
        <f>+I554</f>
        <v>0</v>
      </c>
      <c r="J553" s="279">
        <f>+J554</f>
        <v>0</v>
      </c>
      <c r="K553" s="281">
        <f t="shared" si="650"/>
        <v>336647722.75999999</v>
      </c>
      <c r="L553" s="279">
        <f t="shared" ref="L553:Q553" si="765">+L554</f>
        <v>0</v>
      </c>
      <c r="M553" s="279">
        <f t="shared" si="765"/>
        <v>0</v>
      </c>
      <c r="N553" s="279">
        <f t="shared" si="765"/>
        <v>0</v>
      </c>
      <c r="O553" s="279">
        <f t="shared" si="765"/>
        <v>0</v>
      </c>
      <c r="P553" s="279">
        <f t="shared" si="765"/>
        <v>336647722.75999999</v>
      </c>
      <c r="Q553" s="279">
        <f t="shared" si="765"/>
        <v>0</v>
      </c>
      <c r="R553" s="281">
        <f t="shared" si="653"/>
        <v>336647722.75999999</v>
      </c>
      <c r="S553" s="279">
        <f t="shared" ref="S553:Z553" si="766">+S554</f>
        <v>0</v>
      </c>
      <c r="T553" s="279">
        <f t="shared" si="766"/>
        <v>0</v>
      </c>
      <c r="U553" s="279">
        <f t="shared" si="766"/>
        <v>0</v>
      </c>
      <c r="V553" s="279">
        <f t="shared" si="766"/>
        <v>0</v>
      </c>
      <c r="W553" s="279">
        <f t="shared" si="766"/>
        <v>0</v>
      </c>
      <c r="X553" s="279">
        <f t="shared" si="766"/>
        <v>0</v>
      </c>
      <c r="Y553" s="279">
        <f t="shared" si="766"/>
        <v>0</v>
      </c>
      <c r="Z553" s="279">
        <f t="shared" si="766"/>
        <v>0</v>
      </c>
      <c r="AA553" s="281">
        <f t="shared" si="712"/>
        <v>0</v>
      </c>
      <c r="AB553" s="403">
        <f t="shared" si="655"/>
        <v>336647722.75999999</v>
      </c>
      <c r="AC553" s="326">
        <f t="shared" si="673"/>
        <v>1</v>
      </c>
    </row>
    <row r="554" spans="1:29" ht="14.25" hidden="1" x14ac:dyDescent="0.2">
      <c r="A554" s="424"/>
      <c r="B554" s="323" t="s">
        <v>1532</v>
      </c>
      <c r="C554" s="206" t="s">
        <v>1531</v>
      </c>
      <c r="D554" s="277"/>
      <c r="E554" s="325">
        <f>SUM('ADICIONES  2021'!C554:N554)</f>
        <v>336647722.75999999</v>
      </c>
      <c r="F554" s="277"/>
      <c r="G554" s="277"/>
      <c r="H554" s="277"/>
      <c r="I554" s="277"/>
      <c r="J554" s="277"/>
      <c r="K554" s="281">
        <f t="shared" si="650"/>
        <v>336647722.75999999</v>
      </c>
      <c r="L554" s="277"/>
      <c r="M554" s="277"/>
      <c r="N554" s="277"/>
      <c r="O554" s="277"/>
      <c r="P554" s="277">
        <v>336647722.75999999</v>
      </c>
      <c r="Q554" s="277"/>
      <c r="R554" s="281">
        <f t="shared" si="653"/>
        <v>336647722.75999999</v>
      </c>
      <c r="S554" s="277"/>
      <c r="T554" s="277"/>
      <c r="U554" s="277"/>
      <c r="V554" s="277"/>
      <c r="W554" s="277"/>
      <c r="X554" s="277"/>
      <c r="Y554" s="277"/>
      <c r="Z554" s="277"/>
      <c r="AA554" s="281">
        <f t="shared" si="712"/>
        <v>0</v>
      </c>
      <c r="AB554" s="403">
        <f t="shared" si="655"/>
        <v>336647722.75999999</v>
      </c>
      <c r="AC554" s="326">
        <f t="shared" si="673"/>
        <v>1</v>
      </c>
    </row>
    <row r="555" spans="1:29" ht="14.25" hidden="1" x14ac:dyDescent="0.2">
      <c r="A555" s="424"/>
      <c r="B555" s="318" t="s">
        <v>1533</v>
      </c>
      <c r="C555" s="319" t="s">
        <v>1534</v>
      </c>
      <c r="D555" s="279">
        <f>+D556</f>
        <v>0</v>
      </c>
      <c r="E555" s="322">
        <f>SUM('ADICIONES  2021'!C555:N555)</f>
        <v>4277916497.3200002</v>
      </c>
      <c r="F555" s="279">
        <f>+F556</f>
        <v>0</v>
      </c>
      <c r="G555" s="279">
        <f>+G556</f>
        <v>0</v>
      </c>
      <c r="H555" s="279">
        <f>+H556</f>
        <v>0</v>
      </c>
      <c r="I555" s="279">
        <f>+I556</f>
        <v>0</v>
      </c>
      <c r="J555" s="279">
        <f>+J556</f>
        <v>0</v>
      </c>
      <c r="K555" s="281">
        <f t="shared" si="650"/>
        <v>4277916497.3200002</v>
      </c>
      <c r="L555" s="279">
        <f t="shared" ref="L555:Q555" si="767">+L556</f>
        <v>0</v>
      </c>
      <c r="M555" s="279">
        <f t="shared" si="767"/>
        <v>0</v>
      </c>
      <c r="N555" s="279">
        <f t="shared" si="767"/>
        <v>0</v>
      </c>
      <c r="O555" s="279">
        <f t="shared" si="767"/>
        <v>0</v>
      </c>
      <c r="P555" s="279">
        <f t="shared" si="767"/>
        <v>4277916497.3200002</v>
      </c>
      <c r="Q555" s="279">
        <f t="shared" si="767"/>
        <v>0</v>
      </c>
      <c r="R555" s="281">
        <f t="shared" si="653"/>
        <v>4277916497.3200002</v>
      </c>
      <c r="S555" s="279">
        <f t="shared" ref="S555:Z555" si="768">+S556</f>
        <v>0</v>
      </c>
      <c r="T555" s="279">
        <f t="shared" si="768"/>
        <v>0</v>
      </c>
      <c r="U555" s="279">
        <f t="shared" si="768"/>
        <v>0</v>
      </c>
      <c r="V555" s="279">
        <f t="shared" si="768"/>
        <v>0</v>
      </c>
      <c r="W555" s="279">
        <f t="shared" si="768"/>
        <v>0</v>
      </c>
      <c r="X555" s="279">
        <f t="shared" si="768"/>
        <v>0</v>
      </c>
      <c r="Y555" s="279">
        <f t="shared" si="768"/>
        <v>0</v>
      </c>
      <c r="Z555" s="279">
        <f t="shared" si="768"/>
        <v>0</v>
      </c>
      <c r="AA555" s="281">
        <f t="shared" si="712"/>
        <v>0</v>
      </c>
      <c r="AB555" s="403">
        <f t="shared" si="655"/>
        <v>4277916497.3200002</v>
      </c>
      <c r="AC555" s="326">
        <f t="shared" si="673"/>
        <v>1</v>
      </c>
    </row>
    <row r="556" spans="1:29" ht="14.25" hidden="1" x14ac:dyDescent="0.2">
      <c r="A556" s="424"/>
      <c r="B556" s="323" t="s">
        <v>1535</v>
      </c>
      <c r="C556" s="206" t="s">
        <v>1534</v>
      </c>
      <c r="D556" s="277"/>
      <c r="E556" s="325">
        <f>SUM('ADICIONES  2021'!C556:N556)</f>
        <v>4277916497.3200002</v>
      </c>
      <c r="F556" s="277"/>
      <c r="G556" s="277"/>
      <c r="H556" s="277"/>
      <c r="I556" s="277"/>
      <c r="J556" s="277"/>
      <c r="K556" s="281">
        <f t="shared" si="650"/>
        <v>4277916497.3200002</v>
      </c>
      <c r="L556" s="277"/>
      <c r="M556" s="277"/>
      <c r="N556" s="277"/>
      <c r="O556" s="277"/>
      <c r="P556" s="277">
        <v>4277916497.3200002</v>
      </c>
      <c r="Q556" s="277"/>
      <c r="R556" s="281">
        <f t="shared" si="653"/>
        <v>4277916497.3200002</v>
      </c>
      <c r="S556" s="277"/>
      <c r="T556" s="277"/>
      <c r="U556" s="277"/>
      <c r="V556" s="277"/>
      <c r="W556" s="277"/>
      <c r="X556" s="277"/>
      <c r="Y556" s="277"/>
      <c r="Z556" s="277"/>
      <c r="AA556" s="281">
        <f t="shared" si="712"/>
        <v>0</v>
      </c>
      <c r="AB556" s="403">
        <f t="shared" si="655"/>
        <v>4277916497.3200002</v>
      </c>
      <c r="AC556" s="326">
        <f t="shared" si="673"/>
        <v>1</v>
      </c>
    </row>
    <row r="557" spans="1:29" ht="14.25" hidden="1" x14ac:dyDescent="0.2">
      <c r="A557" s="424"/>
      <c r="B557" s="318" t="s">
        <v>1536</v>
      </c>
      <c r="C557" s="319" t="s">
        <v>1537</v>
      </c>
      <c r="D557" s="279">
        <f>+D558</f>
        <v>0</v>
      </c>
      <c r="E557" s="322">
        <f>SUM('ADICIONES  2021'!C557:N557)</f>
        <v>14058954.529999999</v>
      </c>
      <c r="F557" s="279">
        <f>+F558</f>
        <v>0</v>
      </c>
      <c r="G557" s="279">
        <f>+G558</f>
        <v>0</v>
      </c>
      <c r="H557" s="279">
        <f>+H558</f>
        <v>0</v>
      </c>
      <c r="I557" s="279">
        <f>+I558</f>
        <v>0</v>
      </c>
      <c r="J557" s="279">
        <f>+J558</f>
        <v>0</v>
      </c>
      <c r="K557" s="281">
        <f t="shared" si="650"/>
        <v>14058954.529999999</v>
      </c>
      <c r="L557" s="279">
        <f t="shared" ref="L557:Q557" si="769">+L558</f>
        <v>0</v>
      </c>
      <c r="M557" s="279">
        <f t="shared" si="769"/>
        <v>0</v>
      </c>
      <c r="N557" s="279">
        <f t="shared" si="769"/>
        <v>0</v>
      </c>
      <c r="O557" s="279">
        <f t="shared" si="769"/>
        <v>0</v>
      </c>
      <c r="P557" s="279">
        <f t="shared" si="769"/>
        <v>14058954.529999999</v>
      </c>
      <c r="Q557" s="279">
        <f t="shared" si="769"/>
        <v>0</v>
      </c>
      <c r="R557" s="281">
        <f t="shared" si="653"/>
        <v>14058954.529999999</v>
      </c>
      <c r="S557" s="279">
        <f t="shared" ref="S557:Z557" si="770">+S558</f>
        <v>0</v>
      </c>
      <c r="T557" s="279">
        <f t="shared" si="770"/>
        <v>0</v>
      </c>
      <c r="U557" s="279">
        <f t="shared" si="770"/>
        <v>0</v>
      </c>
      <c r="V557" s="279">
        <f t="shared" si="770"/>
        <v>0</v>
      </c>
      <c r="W557" s="279">
        <f t="shared" si="770"/>
        <v>0</v>
      </c>
      <c r="X557" s="279">
        <f t="shared" si="770"/>
        <v>0</v>
      </c>
      <c r="Y557" s="279">
        <f t="shared" si="770"/>
        <v>0</v>
      </c>
      <c r="Z557" s="279">
        <f t="shared" si="770"/>
        <v>0</v>
      </c>
      <c r="AA557" s="281">
        <f t="shared" si="712"/>
        <v>0</v>
      </c>
      <c r="AB557" s="403">
        <f t="shared" si="655"/>
        <v>14058954.529999999</v>
      </c>
      <c r="AC557" s="326">
        <f t="shared" si="673"/>
        <v>1</v>
      </c>
    </row>
    <row r="558" spans="1:29" ht="14.25" hidden="1" x14ac:dyDescent="0.2">
      <c r="A558" s="424"/>
      <c r="B558" s="323" t="s">
        <v>1538</v>
      </c>
      <c r="C558" s="206" t="s">
        <v>1537</v>
      </c>
      <c r="D558" s="277"/>
      <c r="E558" s="325">
        <f>SUM('ADICIONES  2021'!C558:N558)</f>
        <v>14058954.529999999</v>
      </c>
      <c r="F558" s="277"/>
      <c r="G558" s="277"/>
      <c r="H558" s="277"/>
      <c r="I558" s="277"/>
      <c r="J558" s="277"/>
      <c r="K558" s="281">
        <f t="shared" si="650"/>
        <v>14058954.529999999</v>
      </c>
      <c r="L558" s="277"/>
      <c r="M558" s="277"/>
      <c r="N558" s="277"/>
      <c r="O558" s="277"/>
      <c r="P558" s="277">
        <v>14058954.529999999</v>
      </c>
      <c r="Q558" s="277"/>
      <c r="R558" s="281">
        <f t="shared" si="653"/>
        <v>14058954.529999999</v>
      </c>
      <c r="S558" s="277"/>
      <c r="T558" s="277"/>
      <c r="U558" s="277"/>
      <c r="V558" s="277"/>
      <c r="W558" s="277"/>
      <c r="X558" s="277"/>
      <c r="Y558" s="277"/>
      <c r="Z558" s="277"/>
      <c r="AA558" s="281">
        <f t="shared" si="712"/>
        <v>0</v>
      </c>
      <c r="AB558" s="403">
        <f t="shared" si="655"/>
        <v>14058954.529999999</v>
      </c>
      <c r="AC558" s="326">
        <f t="shared" si="673"/>
        <v>1</v>
      </c>
    </row>
    <row r="559" spans="1:29" ht="14.25" hidden="1" x14ac:dyDescent="0.2">
      <c r="A559" s="424"/>
      <c r="B559" s="318" t="s">
        <v>1539</v>
      </c>
      <c r="C559" s="319" t="s">
        <v>1540</v>
      </c>
      <c r="D559" s="279">
        <f>+D560</f>
        <v>0</v>
      </c>
      <c r="E559" s="322">
        <f>SUM('ADICIONES  2021'!C559:N559)</f>
        <v>234675</v>
      </c>
      <c r="F559" s="279">
        <f>+F560</f>
        <v>0</v>
      </c>
      <c r="G559" s="279">
        <f>+G560</f>
        <v>0</v>
      </c>
      <c r="H559" s="279">
        <f>+H560</f>
        <v>0</v>
      </c>
      <c r="I559" s="279">
        <f>+I560</f>
        <v>0</v>
      </c>
      <c r="J559" s="279">
        <f>+J560</f>
        <v>0</v>
      </c>
      <c r="K559" s="281">
        <f t="shared" si="650"/>
        <v>234675</v>
      </c>
      <c r="L559" s="279">
        <f t="shared" ref="L559:Q559" si="771">+L560</f>
        <v>0</v>
      </c>
      <c r="M559" s="279">
        <f t="shared" si="771"/>
        <v>0</v>
      </c>
      <c r="N559" s="279">
        <f t="shared" si="771"/>
        <v>0</v>
      </c>
      <c r="O559" s="279">
        <f t="shared" si="771"/>
        <v>0</v>
      </c>
      <c r="P559" s="279">
        <f t="shared" si="771"/>
        <v>234675</v>
      </c>
      <c r="Q559" s="279">
        <f t="shared" si="771"/>
        <v>0</v>
      </c>
      <c r="R559" s="281">
        <f t="shared" si="653"/>
        <v>234675</v>
      </c>
      <c r="S559" s="279">
        <f t="shared" ref="S559:Z559" si="772">+S560</f>
        <v>0</v>
      </c>
      <c r="T559" s="279">
        <f t="shared" si="772"/>
        <v>0</v>
      </c>
      <c r="U559" s="279">
        <f t="shared" si="772"/>
        <v>0</v>
      </c>
      <c r="V559" s="279">
        <f t="shared" si="772"/>
        <v>0</v>
      </c>
      <c r="W559" s="279">
        <f t="shared" si="772"/>
        <v>0</v>
      </c>
      <c r="X559" s="279">
        <f t="shared" si="772"/>
        <v>0</v>
      </c>
      <c r="Y559" s="279">
        <f t="shared" si="772"/>
        <v>0</v>
      </c>
      <c r="Z559" s="279">
        <f t="shared" si="772"/>
        <v>0</v>
      </c>
      <c r="AA559" s="281">
        <f t="shared" si="712"/>
        <v>0</v>
      </c>
      <c r="AB559" s="403">
        <f t="shared" si="655"/>
        <v>234675</v>
      </c>
      <c r="AC559" s="326">
        <f t="shared" si="673"/>
        <v>1</v>
      </c>
    </row>
    <row r="560" spans="1:29" ht="14.25" hidden="1" x14ac:dyDescent="0.2">
      <c r="A560" s="424"/>
      <c r="B560" s="323" t="s">
        <v>1541</v>
      </c>
      <c r="C560" s="206" t="s">
        <v>1540</v>
      </c>
      <c r="D560" s="277"/>
      <c r="E560" s="325">
        <f>SUM('ADICIONES  2021'!C560:N560)</f>
        <v>234675</v>
      </c>
      <c r="F560" s="277"/>
      <c r="G560" s="277"/>
      <c r="H560" s="277"/>
      <c r="I560" s="277"/>
      <c r="J560" s="277"/>
      <c r="K560" s="281">
        <f t="shared" si="650"/>
        <v>234675</v>
      </c>
      <c r="L560" s="277"/>
      <c r="M560" s="277"/>
      <c r="N560" s="277"/>
      <c r="O560" s="277"/>
      <c r="P560" s="277">
        <v>234675</v>
      </c>
      <c r="Q560" s="277"/>
      <c r="R560" s="281">
        <f t="shared" ref="R560:R604" si="773">SUM(L560:Q560)</f>
        <v>234675</v>
      </c>
      <c r="S560" s="277"/>
      <c r="T560" s="277"/>
      <c r="U560" s="277"/>
      <c r="V560" s="277"/>
      <c r="W560" s="277"/>
      <c r="X560" s="277"/>
      <c r="Y560" s="277"/>
      <c r="Z560" s="277"/>
      <c r="AA560" s="281">
        <f t="shared" si="712"/>
        <v>0</v>
      </c>
      <c r="AB560" s="403">
        <f t="shared" si="655"/>
        <v>234675</v>
      </c>
      <c r="AC560" s="326">
        <f t="shared" si="673"/>
        <v>1</v>
      </c>
    </row>
    <row r="561" spans="1:29" ht="14.25" hidden="1" x14ac:dyDescent="0.2">
      <c r="A561" s="424"/>
      <c r="B561" s="318" t="s">
        <v>1542</v>
      </c>
      <c r="C561" s="319" t="s">
        <v>1543</v>
      </c>
      <c r="D561" s="279">
        <f>+D562</f>
        <v>0</v>
      </c>
      <c r="E561" s="322">
        <f>SUM('ADICIONES  2021'!C561:N561)</f>
        <v>6828499.0099999998</v>
      </c>
      <c r="F561" s="279">
        <f>+F562</f>
        <v>0</v>
      </c>
      <c r="G561" s="279">
        <f>+G562</f>
        <v>0</v>
      </c>
      <c r="H561" s="279">
        <f>+H562</f>
        <v>0</v>
      </c>
      <c r="I561" s="279">
        <f>+I562</f>
        <v>0</v>
      </c>
      <c r="J561" s="279">
        <f>+J562</f>
        <v>0</v>
      </c>
      <c r="K561" s="281">
        <f t="shared" si="650"/>
        <v>6828499.0099999998</v>
      </c>
      <c r="L561" s="279">
        <f t="shared" ref="L561:Q561" si="774">+L562</f>
        <v>0</v>
      </c>
      <c r="M561" s="279">
        <f t="shared" si="774"/>
        <v>0</v>
      </c>
      <c r="N561" s="279">
        <f t="shared" si="774"/>
        <v>0</v>
      </c>
      <c r="O561" s="279">
        <f t="shared" si="774"/>
        <v>0</v>
      </c>
      <c r="P561" s="279">
        <f t="shared" si="774"/>
        <v>6828499.0099999998</v>
      </c>
      <c r="Q561" s="279">
        <f t="shared" si="774"/>
        <v>0</v>
      </c>
      <c r="R561" s="281">
        <f t="shared" si="773"/>
        <v>6828499.0099999998</v>
      </c>
      <c r="S561" s="279">
        <f t="shared" ref="S561:Z561" si="775">+S562</f>
        <v>0</v>
      </c>
      <c r="T561" s="279">
        <f t="shared" si="775"/>
        <v>0</v>
      </c>
      <c r="U561" s="279">
        <f t="shared" si="775"/>
        <v>0</v>
      </c>
      <c r="V561" s="279">
        <f t="shared" si="775"/>
        <v>0</v>
      </c>
      <c r="W561" s="279">
        <f t="shared" si="775"/>
        <v>0</v>
      </c>
      <c r="X561" s="279">
        <f t="shared" si="775"/>
        <v>0</v>
      </c>
      <c r="Y561" s="279">
        <f t="shared" si="775"/>
        <v>0</v>
      </c>
      <c r="Z561" s="279">
        <f t="shared" si="775"/>
        <v>0</v>
      </c>
      <c r="AA561" s="281">
        <f t="shared" si="712"/>
        <v>0</v>
      </c>
      <c r="AB561" s="403">
        <f t="shared" si="655"/>
        <v>6828499.0099999998</v>
      </c>
      <c r="AC561" s="326">
        <f t="shared" si="673"/>
        <v>1</v>
      </c>
    </row>
    <row r="562" spans="1:29" ht="14.25" hidden="1" x14ac:dyDescent="0.2">
      <c r="A562" s="424"/>
      <c r="B562" s="323" t="s">
        <v>1544</v>
      </c>
      <c r="C562" s="206" t="s">
        <v>1543</v>
      </c>
      <c r="D562" s="277"/>
      <c r="E562" s="325">
        <f>SUM('ADICIONES  2021'!C562:N562)</f>
        <v>6828499.0099999998</v>
      </c>
      <c r="F562" s="277"/>
      <c r="G562" s="277"/>
      <c r="H562" s="277"/>
      <c r="I562" s="277"/>
      <c r="J562" s="277"/>
      <c r="K562" s="281">
        <f t="shared" si="650"/>
        <v>6828499.0099999998</v>
      </c>
      <c r="L562" s="277"/>
      <c r="M562" s="277"/>
      <c r="N562" s="277"/>
      <c r="O562" s="277"/>
      <c r="P562" s="277">
        <v>6828499.0099999998</v>
      </c>
      <c r="Q562" s="277"/>
      <c r="R562" s="281">
        <f t="shared" si="773"/>
        <v>6828499.0099999998</v>
      </c>
      <c r="S562" s="277"/>
      <c r="T562" s="277"/>
      <c r="U562" s="277"/>
      <c r="V562" s="277"/>
      <c r="W562" s="277"/>
      <c r="X562" s="277"/>
      <c r="Y562" s="277"/>
      <c r="Z562" s="277"/>
      <c r="AA562" s="281">
        <f t="shared" si="712"/>
        <v>0</v>
      </c>
      <c r="AB562" s="403">
        <f t="shared" si="655"/>
        <v>6828499.0099999998</v>
      </c>
      <c r="AC562" s="326">
        <f t="shared" si="673"/>
        <v>1</v>
      </c>
    </row>
    <row r="563" spans="1:29" ht="25.5" hidden="1" x14ac:dyDescent="0.2">
      <c r="A563" s="424"/>
      <c r="B563" s="318" t="s">
        <v>1545</v>
      </c>
      <c r="C563" s="319" t="s">
        <v>1546</v>
      </c>
      <c r="D563" s="279">
        <f>+D564</f>
        <v>0</v>
      </c>
      <c r="E563" s="322">
        <f>SUM('ADICIONES  2021'!C563:N563)</f>
        <v>302919</v>
      </c>
      <c r="F563" s="279">
        <f>+F564</f>
        <v>0</v>
      </c>
      <c r="G563" s="279">
        <f>+G564</f>
        <v>0</v>
      </c>
      <c r="H563" s="279">
        <f>+H564</f>
        <v>0</v>
      </c>
      <c r="I563" s="279">
        <f>+I564</f>
        <v>0</v>
      </c>
      <c r="J563" s="279">
        <f>+J564</f>
        <v>0</v>
      </c>
      <c r="K563" s="281">
        <f t="shared" si="650"/>
        <v>302919</v>
      </c>
      <c r="L563" s="279">
        <f t="shared" ref="L563:Q563" si="776">+L564</f>
        <v>0</v>
      </c>
      <c r="M563" s="279">
        <f t="shared" si="776"/>
        <v>0</v>
      </c>
      <c r="N563" s="279">
        <f t="shared" si="776"/>
        <v>0</v>
      </c>
      <c r="O563" s="279">
        <f t="shared" si="776"/>
        <v>0</v>
      </c>
      <c r="P563" s="279">
        <f t="shared" si="776"/>
        <v>302919</v>
      </c>
      <c r="Q563" s="279">
        <f t="shared" si="776"/>
        <v>0</v>
      </c>
      <c r="R563" s="281">
        <f t="shared" si="773"/>
        <v>302919</v>
      </c>
      <c r="S563" s="279">
        <f t="shared" ref="S563:Z563" si="777">+S564</f>
        <v>0</v>
      </c>
      <c r="T563" s="279">
        <f t="shared" si="777"/>
        <v>0</v>
      </c>
      <c r="U563" s="279">
        <f t="shared" si="777"/>
        <v>0</v>
      </c>
      <c r="V563" s="279">
        <f t="shared" si="777"/>
        <v>0</v>
      </c>
      <c r="W563" s="279">
        <f t="shared" si="777"/>
        <v>0</v>
      </c>
      <c r="X563" s="279">
        <f t="shared" si="777"/>
        <v>0</v>
      </c>
      <c r="Y563" s="279">
        <f t="shared" si="777"/>
        <v>0</v>
      </c>
      <c r="Z563" s="279">
        <f t="shared" si="777"/>
        <v>0</v>
      </c>
      <c r="AA563" s="281">
        <f t="shared" si="712"/>
        <v>0</v>
      </c>
      <c r="AB563" s="403">
        <f t="shared" si="655"/>
        <v>302919</v>
      </c>
      <c r="AC563" s="326">
        <f t="shared" si="673"/>
        <v>1</v>
      </c>
    </row>
    <row r="564" spans="1:29" ht="25.5" hidden="1" x14ac:dyDescent="0.2">
      <c r="A564" s="424"/>
      <c r="B564" s="323" t="s">
        <v>1547</v>
      </c>
      <c r="C564" s="206" t="s">
        <v>1546</v>
      </c>
      <c r="D564" s="277"/>
      <c r="E564" s="325">
        <f>SUM('ADICIONES  2021'!C564:N564)</f>
        <v>302919</v>
      </c>
      <c r="F564" s="277"/>
      <c r="G564" s="277"/>
      <c r="H564" s="277"/>
      <c r="I564" s="277"/>
      <c r="J564" s="277"/>
      <c r="K564" s="281">
        <f t="shared" si="650"/>
        <v>302919</v>
      </c>
      <c r="L564" s="277"/>
      <c r="M564" s="277"/>
      <c r="N564" s="277"/>
      <c r="O564" s="277"/>
      <c r="P564" s="277">
        <v>302919</v>
      </c>
      <c r="Q564" s="277"/>
      <c r="R564" s="281">
        <f t="shared" si="773"/>
        <v>302919</v>
      </c>
      <c r="S564" s="277"/>
      <c r="T564" s="277"/>
      <c r="U564" s="277"/>
      <c r="V564" s="277"/>
      <c r="W564" s="277"/>
      <c r="X564" s="277"/>
      <c r="Y564" s="277"/>
      <c r="Z564" s="277"/>
      <c r="AA564" s="281">
        <f t="shared" si="712"/>
        <v>0</v>
      </c>
      <c r="AB564" s="403">
        <f t="shared" si="655"/>
        <v>302919</v>
      </c>
      <c r="AC564" s="326">
        <f t="shared" si="673"/>
        <v>1</v>
      </c>
    </row>
    <row r="565" spans="1:29" ht="25.5" hidden="1" x14ac:dyDescent="0.2">
      <c r="A565" s="424"/>
      <c r="B565" s="318" t="s">
        <v>1548</v>
      </c>
      <c r="C565" s="319" t="s">
        <v>1549</v>
      </c>
      <c r="D565" s="279">
        <f>+D566</f>
        <v>0</v>
      </c>
      <c r="E565" s="322">
        <f>SUM('ADICIONES  2021'!C565:N565)</f>
        <v>1000000</v>
      </c>
      <c r="F565" s="279">
        <f>+F566</f>
        <v>0</v>
      </c>
      <c r="G565" s="279">
        <f>+G566</f>
        <v>0</v>
      </c>
      <c r="H565" s="279">
        <f>+H566</f>
        <v>0</v>
      </c>
      <c r="I565" s="279">
        <f>+I566</f>
        <v>0</v>
      </c>
      <c r="J565" s="279">
        <f>+J566</f>
        <v>0</v>
      </c>
      <c r="K565" s="281">
        <f t="shared" si="650"/>
        <v>1000000</v>
      </c>
      <c r="L565" s="279">
        <f t="shared" ref="L565:Q565" si="778">+L566</f>
        <v>0</v>
      </c>
      <c r="M565" s="279">
        <f t="shared" si="778"/>
        <v>0</v>
      </c>
      <c r="N565" s="279">
        <f t="shared" si="778"/>
        <v>0</v>
      </c>
      <c r="O565" s="279">
        <f t="shared" si="778"/>
        <v>0</v>
      </c>
      <c r="P565" s="279">
        <f t="shared" si="778"/>
        <v>1000000</v>
      </c>
      <c r="Q565" s="279">
        <f t="shared" si="778"/>
        <v>0</v>
      </c>
      <c r="R565" s="281">
        <f t="shared" si="773"/>
        <v>1000000</v>
      </c>
      <c r="S565" s="279">
        <f t="shared" ref="S565:Z565" si="779">+S566</f>
        <v>0</v>
      </c>
      <c r="T565" s="279">
        <f t="shared" si="779"/>
        <v>0</v>
      </c>
      <c r="U565" s="279">
        <f t="shared" si="779"/>
        <v>0</v>
      </c>
      <c r="V565" s="279">
        <f t="shared" si="779"/>
        <v>0</v>
      </c>
      <c r="W565" s="279">
        <f t="shared" si="779"/>
        <v>0</v>
      </c>
      <c r="X565" s="279">
        <f t="shared" si="779"/>
        <v>0</v>
      </c>
      <c r="Y565" s="279">
        <f t="shared" si="779"/>
        <v>0</v>
      </c>
      <c r="Z565" s="279">
        <f t="shared" si="779"/>
        <v>0</v>
      </c>
      <c r="AA565" s="281">
        <f t="shared" si="712"/>
        <v>0</v>
      </c>
      <c r="AB565" s="403">
        <f t="shared" si="655"/>
        <v>1000000</v>
      </c>
      <c r="AC565" s="326">
        <f t="shared" si="673"/>
        <v>1</v>
      </c>
    </row>
    <row r="566" spans="1:29" ht="25.5" hidden="1" x14ac:dyDescent="0.2">
      <c r="A566" s="424"/>
      <c r="B566" s="323" t="s">
        <v>1550</v>
      </c>
      <c r="C566" s="206" t="s">
        <v>1549</v>
      </c>
      <c r="D566" s="277"/>
      <c r="E566" s="325">
        <f>SUM('ADICIONES  2021'!C566:N566)</f>
        <v>1000000</v>
      </c>
      <c r="F566" s="277"/>
      <c r="G566" s="277"/>
      <c r="H566" s="277"/>
      <c r="I566" s="277"/>
      <c r="J566" s="277"/>
      <c r="K566" s="281">
        <f t="shared" si="650"/>
        <v>1000000</v>
      </c>
      <c r="L566" s="277"/>
      <c r="M566" s="277"/>
      <c r="N566" s="277"/>
      <c r="O566" s="277"/>
      <c r="P566" s="277">
        <v>1000000</v>
      </c>
      <c r="Q566" s="277"/>
      <c r="R566" s="281">
        <f t="shared" si="773"/>
        <v>1000000</v>
      </c>
      <c r="S566" s="277"/>
      <c r="T566" s="277"/>
      <c r="U566" s="277"/>
      <c r="V566" s="277"/>
      <c r="W566" s="277"/>
      <c r="X566" s="277"/>
      <c r="Y566" s="277"/>
      <c r="Z566" s="277"/>
      <c r="AA566" s="281">
        <f t="shared" ref="AA566:AA593" si="780">SUM(S566:Z566)</f>
        <v>0</v>
      </c>
      <c r="AB566" s="403">
        <f t="shared" si="655"/>
        <v>1000000</v>
      </c>
      <c r="AC566" s="326">
        <f t="shared" si="673"/>
        <v>1</v>
      </c>
    </row>
    <row r="567" spans="1:29" ht="14.25" hidden="1" x14ac:dyDescent="0.2">
      <c r="A567" s="424"/>
      <c r="B567" s="318" t="s">
        <v>1551</v>
      </c>
      <c r="C567" s="319" t="s">
        <v>1552</v>
      </c>
      <c r="D567" s="279">
        <f>+D568</f>
        <v>0</v>
      </c>
      <c r="E567" s="322">
        <f>SUM('ADICIONES  2021'!C567:N567)</f>
        <v>30926960</v>
      </c>
      <c r="F567" s="279">
        <f>+F568</f>
        <v>0</v>
      </c>
      <c r="G567" s="279">
        <f>+G568</f>
        <v>0</v>
      </c>
      <c r="H567" s="279">
        <f>+H568</f>
        <v>0</v>
      </c>
      <c r="I567" s="279">
        <f>+I568</f>
        <v>0</v>
      </c>
      <c r="J567" s="279">
        <f>+J568</f>
        <v>0</v>
      </c>
      <c r="K567" s="281">
        <f t="shared" si="650"/>
        <v>30926960</v>
      </c>
      <c r="L567" s="279">
        <f t="shared" ref="L567:Q567" si="781">+L568</f>
        <v>0</v>
      </c>
      <c r="M567" s="279">
        <f t="shared" si="781"/>
        <v>0</v>
      </c>
      <c r="N567" s="279">
        <f t="shared" si="781"/>
        <v>0</v>
      </c>
      <c r="O567" s="279">
        <f t="shared" si="781"/>
        <v>0</v>
      </c>
      <c r="P567" s="279">
        <f t="shared" si="781"/>
        <v>30926960</v>
      </c>
      <c r="Q567" s="279">
        <f t="shared" si="781"/>
        <v>0</v>
      </c>
      <c r="R567" s="281">
        <f t="shared" si="773"/>
        <v>30926960</v>
      </c>
      <c r="S567" s="279">
        <f t="shared" ref="S567:Z567" si="782">+S568</f>
        <v>0</v>
      </c>
      <c r="T567" s="279">
        <f t="shared" si="782"/>
        <v>0</v>
      </c>
      <c r="U567" s="279">
        <f t="shared" si="782"/>
        <v>0</v>
      </c>
      <c r="V567" s="279">
        <f t="shared" si="782"/>
        <v>0</v>
      </c>
      <c r="W567" s="279">
        <f t="shared" si="782"/>
        <v>0</v>
      </c>
      <c r="X567" s="279">
        <f t="shared" si="782"/>
        <v>0</v>
      </c>
      <c r="Y567" s="279">
        <f t="shared" si="782"/>
        <v>0</v>
      </c>
      <c r="Z567" s="279">
        <f t="shared" si="782"/>
        <v>0</v>
      </c>
      <c r="AA567" s="281">
        <f t="shared" si="780"/>
        <v>0</v>
      </c>
      <c r="AB567" s="403">
        <f t="shared" si="655"/>
        <v>30926960</v>
      </c>
      <c r="AC567" s="326">
        <f t="shared" si="673"/>
        <v>1</v>
      </c>
    </row>
    <row r="568" spans="1:29" ht="14.25" hidden="1" x14ac:dyDescent="0.2">
      <c r="A568" s="424"/>
      <c r="B568" s="323" t="s">
        <v>1553</v>
      </c>
      <c r="C568" s="206" t="s">
        <v>1552</v>
      </c>
      <c r="D568" s="277"/>
      <c r="E568" s="325">
        <f>SUM('ADICIONES  2021'!C568:N568)</f>
        <v>30926960</v>
      </c>
      <c r="F568" s="277"/>
      <c r="G568" s="277"/>
      <c r="H568" s="277"/>
      <c r="I568" s="277"/>
      <c r="J568" s="277"/>
      <c r="K568" s="281">
        <f t="shared" si="650"/>
        <v>30926960</v>
      </c>
      <c r="L568" s="277"/>
      <c r="M568" s="277"/>
      <c r="N568" s="277"/>
      <c r="O568" s="277"/>
      <c r="P568" s="277">
        <v>30926960</v>
      </c>
      <c r="Q568" s="277"/>
      <c r="R568" s="281">
        <f t="shared" si="773"/>
        <v>30926960</v>
      </c>
      <c r="S568" s="277"/>
      <c r="T568" s="277"/>
      <c r="U568" s="277"/>
      <c r="V568" s="277"/>
      <c r="W568" s="277"/>
      <c r="X568" s="277"/>
      <c r="Y568" s="277"/>
      <c r="Z568" s="277"/>
      <c r="AA568" s="281">
        <f t="shared" si="780"/>
        <v>0</v>
      </c>
      <c r="AB568" s="403">
        <f t="shared" si="655"/>
        <v>30926960</v>
      </c>
      <c r="AC568" s="326">
        <f t="shared" si="673"/>
        <v>1</v>
      </c>
    </row>
    <row r="569" spans="1:29" ht="14.25" hidden="1" x14ac:dyDescent="0.2">
      <c r="A569" s="424"/>
      <c r="B569" s="318" t="s">
        <v>1554</v>
      </c>
      <c r="C569" s="319" t="s">
        <v>1555</v>
      </c>
      <c r="D569" s="279">
        <f>+D570</f>
        <v>0</v>
      </c>
      <c r="E569" s="322">
        <f>SUM('ADICIONES  2021'!C569:N569)</f>
        <v>1820196924.4300001</v>
      </c>
      <c r="F569" s="279">
        <f>+F570</f>
        <v>0</v>
      </c>
      <c r="G569" s="279">
        <f>+G570</f>
        <v>0</v>
      </c>
      <c r="H569" s="279">
        <f>+H570</f>
        <v>0</v>
      </c>
      <c r="I569" s="279">
        <f>+I570</f>
        <v>0</v>
      </c>
      <c r="J569" s="279">
        <f>+J570</f>
        <v>0</v>
      </c>
      <c r="K569" s="281">
        <f t="shared" si="650"/>
        <v>1820196924.4300001</v>
      </c>
      <c r="L569" s="279">
        <f t="shared" ref="L569:Q569" si="783">+L570</f>
        <v>0</v>
      </c>
      <c r="M569" s="279">
        <f t="shared" si="783"/>
        <v>0</v>
      </c>
      <c r="N569" s="279">
        <f t="shared" si="783"/>
        <v>0</v>
      </c>
      <c r="O569" s="279">
        <f t="shared" si="783"/>
        <v>0</v>
      </c>
      <c r="P569" s="279">
        <f t="shared" si="783"/>
        <v>1820196924.4300001</v>
      </c>
      <c r="Q569" s="279">
        <f t="shared" si="783"/>
        <v>0</v>
      </c>
      <c r="R569" s="281">
        <f t="shared" si="773"/>
        <v>1820196924.4300001</v>
      </c>
      <c r="S569" s="279">
        <f t="shared" ref="S569:Z569" si="784">+S570</f>
        <v>0</v>
      </c>
      <c r="T569" s="279">
        <f t="shared" si="784"/>
        <v>0</v>
      </c>
      <c r="U569" s="279">
        <f t="shared" si="784"/>
        <v>0</v>
      </c>
      <c r="V569" s="279">
        <f t="shared" si="784"/>
        <v>0</v>
      </c>
      <c r="W569" s="279">
        <f t="shared" si="784"/>
        <v>0</v>
      </c>
      <c r="X569" s="279">
        <f t="shared" si="784"/>
        <v>0</v>
      </c>
      <c r="Y569" s="279">
        <f t="shared" si="784"/>
        <v>0</v>
      </c>
      <c r="Z569" s="279">
        <f t="shared" si="784"/>
        <v>0</v>
      </c>
      <c r="AA569" s="281">
        <f t="shared" si="780"/>
        <v>0</v>
      </c>
      <c r="AB569" s="403">
        <f t="shared" si="655"/>
        <v>1820196924.4300001</v>
      </c>
      <c r="AC569" s="326">
        <f t="shared" si="673"/>
        <v>1</v>
      </c>
    </row>
    <row r="570" spans="1:29" ht="14.25" hidden="1" x14ac:dyDescent="0.2">
      <c r="A570" s="424"/>
      <c r="B570" s="323" t="s">
        <v>1556</v>
      </c>
      <c r="C570" s="206" t="s">
        <v>1555</v>
      </c>
      <c r="D570" s="277"/>
      <c r="E570" s="325">
        <f>SUM('ADICIONES  2021'!C570:N570)</f>
        <v>1820196924.4300001</v>
      </c>
      <c r="F570" s="277"/>
      <c r="G570" s="277"/>
      <c r="H570" s="277"/>
      <c r="I570" s="277"/>
      <c r="J570" s="277"/>
      <c r="K570" s="281">
        <f t="shared" si="650"/>
        <v>1820196924.4300001</v>
      </c>
      <c r="L570" s="277"/>
      <c r="M570" s="277"/>
      <c r="N570" s="277"/>
      <c r="O570" s="277"/>
      <c r="P570" s="277">
        <v>1820196924.4300001</v>
      </c>
      <c r="Q570" s="277"/>
      <c r="R570" s="281">
        <f t="shared" si="773"/>
        <v>1820196924.4300001</v>
      </c>
      <c r="S570" s="277"/>
      <c r="T570" s="277"/>
      <c r="U570" s="277"/>
      <c r="V570" s="277"/>
      <c r="W570" s="277"/>
      <c r="X570" s="277"/>
      <c r="Y570" s="277"/>
      <c r="Z570" s="277"/>
      <c r="AA570" s="281">
        <f t="shared" si="780"/>
        <v>0</v>
      </c>
      <c r="AB570" s="403">
        <f t="shared" si="655"/>
        <v>1820196924.4300001</v>
      </c>
      <c r="AC570" s="326">
        <f t="shared" si="673"/>
        <v>1</v>
      </c>
    </row>
    <row r="571" spans="1:29" ht="25.5" hidden="1" x14ac:dyDescent="0.2">
      <c r="A571" s="424"/>
      <c r="B571" s="318" t="s">
        <v>1557</v>
      </c>
      <c r="C571" s="319" t="s">
        <v>1558</v>
      </c>
      <c r="D571" s="279">
        <f>+D572</f>
        <v>0</v>
      </c>
      <c r="E571" s="322">
        <f>SUM('ADICIONES  2021'!C571:N571)</f>
        <v>26914974.489999998</v>
      </c>
      <c r="F571" s="279">
        <f>+F572</f>
        <v>0</v>
      </c>
      <c r="G571" s="279">
        <f>+G572</f>
        <v>0</v>
      </c>
      <c r="H571" s="279">
        <f>+H572</f>
        <v>0</v>
      </c>
      <c r="I571" s="279">
        <f>+I572</f>
        <v>0</v>
      </c>
      <c r="J571" s="279">
        <f>+J572</f>
        <v>0</v>
      </c>
      <c r="K571" s="281">
        <f t="shared" si="650"/>
        <v>26914974.489999998</v>
      </c>
      <c r="L571" s="279">
        <f t="shared" ref="L571:Q571" si="785">+L572</f>
        <v>0</v>
      </c>
      <c r="M571" s="279">
        <f t="shared" si="785"/>
        <v>0</v>
      </c>
      <c r="N571" s="279">
        <f t="shared" si="785"/>
        <v>0</v>
      </c>
      <c r="O571" s="279">
        <f t="shared" si="785"/>
        <v>0</v>
      </c>
      <c r="P571" s="279">
        <f t="shared" si="785"/>
        <v>26914974.489999998</v>
      </c>
      <c r="Q571" s="279">
        <f t="shared" si="785"/>
        <v>0</v>
      </c>
      <c r="R571" s="281">
        <f t="shared" si="773"/>
        <v>26914974.489999998</v>
      </c>
      <c r="S571" s="279">
        <f t="shared" ref="S571:Z571" si="786">+S572</f>
        <v>0</v>
      </c>
      <c r="T571" s="279">
        <f t="shared" si="786"/>
        <v>0</v>
      </c>
      <c r="U571" s="279">
        <f t="shared" si="786"/>
        <v>0</v>
      </c>
      <c r="V571" s="279">
        <f t="shared" si="786"/>
        <v>0</v>
      </c>
      <c r="W571" s="279">
        <f t="shared" si="786"/>
        <v>0</v>
      </c>
      <c r="X571" s="279">
        <f t="shared" si="786"/>
        <v>0</v>
      </c>
      <c r="Y571" s="279">
        <f t="shared" si="786"/>
        <v>0</v>
      </c>
      <c r="Z571" s="279">
        <f t="shared" si="786"/>
        <v>0</v>
      </c>
      <c r="AA571" s="281">
        <f t="shared" si="780"/>
        <v>0</v>
      </c>
      <c r="AB571" s="403">
        <f t="shared" si="655"/>
        <v>26914974.489999998</v>
      </c>
      <c r="AC571" s="326">
        <f t="shared" si="673"/>
        <v>1</v>
      </c>
    </row>
    <row r="572" spans="1:29" ht="14.25" hidden="1" x14ac:dyDescent="0.2">
      <c r="A572" s="424"/>
      <c r="B572" s="323" t="s">
        <v>1559</v>
      </c>
      <c r="C572" s="206" t="s">
        <v>1558</v>
      </c>
      <c r="D572" s="277"/>
      <c r="E572" s="325">
        <f>SUM('ADICIONES  2021'!C572:N572)</f>
        <v>26914974.489999998</v>
      </c>
      <c r="F572" s="277"/>
      <c r="G572" s="277"/>
      <c r="H572" s="277"/>
      <c r="I572" s="277"/>
      <c r="J572" s="277"/>
      <c r="K572" s="281">
        <f t="shared" si="650"/>
        <v>26914974.489999998</v>
      </c>
      <c r="L572" s="277"/>
      <c r="M572" s="277"/>
      <c r="N572" s="277"/>
      <c r="O572" s="277"/>
      <c r="P572" s="277">
        <v>26914974.489999998</v>
      </c>
      <c r="Q572" s="277"/>
      <c r="R572" s="281">
        <f t="shared" si="773"/>
        <v>26914974.489999998</v>
      </c>
      <c r="S572" s="277"/>
      <c r="T572" s="277"/>
      <c r="U572" s="277"/>
      <c r="V572" s="277"/>
      <c r="W572" s="277"/>
      <c r="X572" s="277"/>
      <c r="Y572" s="277"/>
      <c r="Z572" s="277"/>
      <c r="AA572" s="281">
        <f t="shared" si="780"/>
        <v>0</v>
      </c>
      <c r="AB572" s="403">
        <f t="shared" si="655"/>
        <v>26914974.489999998</v>
      </c>
      <c r="AC572" s="326">
        <f t="shared" si="673"/>
        <v>1</v>
      </c>
    </row>
    <row r="573" spans="1:29" ht="14.25" hidden="1" x14ac:dyDescent="0.2">
      <c r="A573" s="424"/>
      <c r="B573" s="318" t="s">
        <v>1560</v>
      </c>
      <c r="C573" s="319" t="s">
        <v>1561</v>
      </c>
      <c r="D573" s="279">
        <f>+D574</f>
        <v>0</v>
      </c>
      <c r="E573" s="322">
        <f>SUM('ADICIONES  2021'!C573:N573)</f>
        <v>64231303.409999996</v>
      </c>
      <c r="F573" s="279">
        <f>+F574</f>
        <v>0</v>
      </c>
      <c r="G573" s="279">
        <f>+G574</f>
        <v>0</v>
      </c>
      <c r="H573" s="279">
        <f>+H574</f>
        <v>0</v>
      </c>
      <c r="I573" s="279">
        <f>+I574</f>
        <v>0</v>
      </c>
      <c r="J573" s="279">
        <f>+J574</f>
        <v>0</v>
      </c>
      <c r="K573" s="281">
        <f t="shared" si="650"/>
        <v>64231303.409999996</v>
      </c>
      <c r="L573" s="279">
        <f t="shared" ref="L573:Q573" si="787">+L574</f>
        <v>0</v>
      </c>
      <c r="M573" s="279">
        <f t="shared" si="787"/>
        <v>0</v>
      </c>
      <c r="N573" s="279">
        <f t="shared" si="787"/>
        <v>0</v>
      </c>
      <c r="O573" s="279">
        <f t="shared" si="787"/>
        <v>0</v>
      </c>
      <c r="P573" s="279">
        <f t="shared" si="787"/>
        <v>64231303.409999996</v>
      </c>
      <c r="Q573" s="279">
        <f t="shared" si="787"/>
        <v>0</v>
      </c>
      <c r="R573" s="281">
        <f t="shared" si="773"/>
        <v>64231303.409999996</v>
      </c>
      <c r="S573" s="279">
        <f t="shared" ref="S573:Z573" si="788">+S574</f>
        <v>0</v>
      </c>
      <c r="T573" s="279">
        <f t="shared" si="788"/>
        <v>0</v>
      </c>
      <c r="U573" s="279">
        <f t="shared" si="788"/>
        <v>0</v>
      </c>
      <c r="V573" s="279">
        <f t="shared" si="788"/>
        <v>0</v>
      </c>
      <c r="W573" s="279">
        <f t="shared" si="788"/>
        <v>0</v>
      </c>
      <c r="X573" s="279">
        <f t="shared" si="788"/>
        <v>0</v>
      </c>
      <c r="Y573" s="279">
        <f t="shared" si="788"/>
        <v>0</v>
      </c>
      <c r="Z573" s="279">
        <f t="shared" si="788"/>
        <v>0</v>
      </c>
      <c r="AA573" s="281">
        <f t="shared" si="780"/>
        <v>0</v>
      </c>
      <c r="AB573" s="403">
        <f t="shared" si="655"/>
        <v>64231303.409999996</v>
      </c>
      <c r="AC573" s="326">
        <f t="shared" si="673"/>
        <v>1</v>
      </c>
    </row>
    <row r="574" spans="1:29" ht="14.25" hidden="1" x14ac:dyDescent="0.2">
      <c r="A574" s="424"/>
      <c r="B574" s="323" t="s">
        <v>1562</v>
      </c>
      <c r="C574" s="206" t="s">
        <v>1561</v>
      </c>
      <c r="D574" s="277"/>
      <c r="E574" s="325">
        <f>SUM('ADICIONES  2021'!C574:N574)</f>
        <v>64231303.409999996</v>
      </c>
      <c r="F574" s="277"/>
      <c r="G574" s="277"/>
      <c r="H574" s="277"/>
      <c r="I574" s="277"/>
      <c r="J574" s="277"/>
      <c r="K574" s="281">
        <f t="shared" si="650"/>
        <v>64231303.409999996</v>
      </c>
      <c r="L574" s="277"/>
      <c r="M574" s="277"/>
      <c r="N574" s="277"/>
      <c r="O574" s="277"/>
      <c r="P574" s="277">
        <v>64231303.409999996</v>
      </c>
      <c r="Q574" s="277"/>
      <c r="R574" s="281">
        <f t="shared" si="773"/>
        <v>64231303.409999996</v>
      </c>
      <c r="S574" s="277"/>
      <c r="T574" s="277"/>
      <c r="U574" s="277"/>
      <c r="V574" s="277"/>
      <c r="W574" s="277"/>
      <c r="X574" s="277"/>
      <c r="Y574" s="277"/>
      <c r="Z574" s="277"/>
      <c r="AA574" s="281">
        <f t="shared" si="780"/>
        <v>0</v>
      </c>
      <c r="AB574" s="403">
        <f t="shared" si="655"/>
        <v>64231303.409999996</v>
      </c>
      <c r="AC574" s="326">
        <f t="shared" si="673"/>
        <v>1</v>
      </c>
    </row>
    <row r="575" spans="1:29" ht="14.25" hidden="1" x14ac:dyDescent="0.2">
      <c r="A575" s="424"/>
      <c r="B575" s="318" t="s">
        <v>1563</v>
      </c>
      <c r="C575" s="319" t="s">
        <v>1561</v>
      </c>
      <c r="D575" s="279">
        <f>+D576</f>
        <v>0</v>
      </c>
      <c r="E575" s="322">
        <f>SUM('ADICIONES  2021'!C575:N575)</f>
        <v>18464558</v>
      </c>
      <c r="F575" s="279">
        <f>+F576</f>
        <v>0</v>
      </c>
      <c r="G575" s="279">
        <f>+G576</f>
        <v>0</v>
      </c>
      <c r="H575" s="279">
        <f>+H576</f>
        <v>0</v>
      </c>
      <c r="I575" s="279">
        <f>+I576</f>
        <v>0</v>
      </c>
      <c r="J575" s="279">
        <f>+J576</f>
        <v>0</v>
      </c>
      <c r="K575" s="281">
        <f t="shared" si="650"/>
        <v>18464558</v>
      </c>
      <c r="L575" s="279">
        <f t="shared" ref="L575:Q575" si="789">+L576</f>
        <v>0</v>
      </c>
      <c r="M575" s="279">
        <f t="shared" si="789"/>
        <v>0</v>
      </c>
      <c r="N575" s="279">
        <f t="shared" si="789"/>
        <v>0</v>
      </c>
      <c r="O575" s="279">
        <f t="shared" si="789"/>
        <v>0</v>
      </c>
      <c r="P575" s="279">
        <f t="shared" si="789"/>
        <v>18464558</v>
      </c>
      <c r="Q575" s="279">
        <f t="shared" si="789"/>
        <v>0</v>
      </c>
      <c r="R575" s="281">
        <f t="shared" si="773"/>
        <v>18464558</v>
      </c>
      <c r="S575" s="279">
        <f t="shared" ref="S575:Z575" si="790">+S576</f>
        <v>0</v>
      </c>
      <c r="T575" s="279">
        <f t="shared" si="790"/>
        <v>0</v>
      </c>
      <c r="U575" s="279">
        <f t="shared" si="790"/>
        <v>0</v>
      </c>
      <c r="V575" s="279">
        <f t="shared" si="790"/>
        <v>0</v>
      </c>
      <c r="W575" s="279">
        <f t="shared" si="790"/>
        <v>0</v>
      </c>
      <c r="X575" s="279">
        <f t="shared" si="790"/>
        <v>0</v>
      </c>
      <c r="Y575" s="279">
        <f t="shared" si="790"/>
        <v>0</v>
      </c>
      <c r="Z575" s="279">
        <f t="shared" si="790"/>
        <v>0</v>
      </c>
      <c r="AA575" s="281">
        <f t="shared" si="780"/>
        <v>0</v>
      </c>
      <c r="AB575" s="403">
        <f t="shared" si="655"/>
        <v>18464558</v>
      </c>
      <c r="AC575" s="326">
        <f t="shared" si="673"/>
        <v>1</v>
      </c>
    </row>
    <row r="576" spans="1:29" ht="14.25" hidden="1" x14ac:dyDescent="0.2">
      <c r="A576" s="424"/>
      <c r="B576" s="323" t="s">
        <v>1564</v>
      </c>
      <c r="C576" s="206" t="s">
        <v>1565</v>
      </c>
      <c r="D576" s="277"/>
      <c r="E576" s="325">
        <f>SUM('ADICIONES  2021'!C576:N576)</f>
        <v>18464558</v>
      </c>
      <c r="F576" s="277"/>
      <c r="G576" s="277"/>
      <c r="H576" s="277"/>
      <c r="I576" s="277"/>
      <c r="J576" s="277"/>
      <c r="K576" s="281">
        <f t="shared" si="650"/>
        <v>18464558</v>
      </c>
      <c r="L576" s="277"/>
      <c r="M576" s="277"/>
      <c r="N576" s="277"/>
      <c r="O576" s="277"/>
      <c r="P576" s="277">
        <v>18464558</v>
      </c>
      <c r="Q576" s="277"/>
      <c r="R576" s="281">
        <f t="shared" si="773"/>
        <v>18464558</v>
      </c>
      <c r="S576" s="277"/>
      <c r="T576" s="277"/>
      <c r="U576" s="277"/>
      <c r="V576" s="277"/>
      <c r="W576" s="277"/>
      <c r="X576" s="277"/>
      <c r="Y576" s="277"/>
      <c r="Z576" s="277"/>
      <c r="AA576" s="281">
        <f t="shared" si="780"/>
        <v>0</v>
      </c>
      <c r="AB576" s="403">
        <f t="shared" si="655"/>
        <v>18464558</v>
      </c>
      <c r="AC576" s="326">
        <f t="shared" si="673"/>
        <v>1</v>
      </c>
    </row>
    <row r="577" spans="1:29" ht="14.25" hidden="1" x14ac:dyDescent="0.2">
      <c r="A577" s="424"/>
      <c r="B577" s="318" t="s">
        <v>1566</v>
      </c>
      <c r="C577" s="319" t="s">
        <v>1567</v>
      </c>
      <c r="D577" s="279">
        <f>+D578+D580+D582+D584</f>
        <v>0</v>
      </c>
      <c r="E577" s="322">
        <f>SUM('ADICIONES  2021'!C577:N577)</f>
        <v>594811949.25</v>
      </c>
      <c r="F577" s="279">
        <f t="shared" ref="F577:J577" si="791">+F578+F580+F582+F584</f>
        <v>0</v>
      </c>
      <c r="G577" s="279">
        <f t="shared" si="791"/>
        <v>0</v>
      </c>
      <c r="H577" s="279">
        <f t="shared" si="791"/>
        <v>0</v>
      </c>
      <c r="I577" s="279">
        <f t="shared" si="791"/>
        <v>0</v>
      </c>
      <c r="J577" s="279">
        <f t="shared" si="791"/>
        <v>0</v>
      </c>
      <c r="K577" s="281">
        <f t="shared" si="650"/>
        <v>594811949.25</v>
      </c>
      <c r="L577" s="279">
        <f t="shared" ref="L577:Q577" si="792">+L578+L580+L582+L584</f>
        <v>0</v>
      </c>
      <c r="M577" s="279">
        <f t="shared" si="792"/>
        <v>0</v>
      </c>
      <c r="N577" s="279">
        <f t="shared" si="792"/>
        <v>0</v>
      </c>
      <c r="O577" s="279">
        <f t="shared" si="792"/>
        <v>0</v>
      </c>
      <c r="P577" s="279">
        <f t="shared" si="792"/>
        <v>575059092</v>
      </c>
      <c r="Q577" s="279">
        <f t="shared" si="792"/>
        <v>0</v>
      </c>
      <c r="R577" s="281">
        <f t="shared" si="773"/>
        <v>575059092</v>
      </c>
      <c r="S577" s="279">
        <f t="shared" ref="S577:Z577" si="793">+S578+S580+S582+S584</f>
        <v>0</v>
      </c>
      <c r="T577" s="279">
        <f t="shared" si="793"/>
        <v>0</v>
      </c>
      <c r="U577" s="279">
        <f t="shared" si="793"/>
        <v>0</v>
      </c>
      <c r="V577" s="279">
        <f t="shared" si="793"/>
        <v>0</v>
      </c>
      <c r="W577" s="279">
        <f t="shared" si="793"/>
        <v>39462018.25</v>
      </c>
      <c r="X577" s="279">
        <f t="shared" si="793"/>
        <v>-19709161</v>
      </c>
      <c r="Y577" s="279">
        <f t="shared" si="793"/>
        <v>0</v>
      </c>
      <c r="Z577" s="279">
        <f t="shared" si="793"/>
        <v>0</v>
      </c>
      <c r="AA577" s="281">
        <f t="shared" si="780"/>
        <v>19752857.25</v>
      </c>
      <c r="AB577" s="403">
        <f t="shared" si="655"/>
        <v>594811949.25</v>
      </c>
      <c r="AC577" s="326">
        <f t="shared" si="673"/>
        <v>1</v>
      </c>
    </row>
    <row r="578" spans="1:29" ht="14.25" hidden="1" x14ac:dyDescent="0.2">
      <c r="A578" s="424"/>
      <c r="B578" s="318" t="s">
        <v>1568</v>
      </c>
      <c r="C578" s="319" t="s">
        <v>1569</v>
      </c>
      <c r="D578" s="279">
        <f>+D579</f>
        <v>0</v>
      </c>
      <c r="E578" s="322">
        <f>SUM('ADICIONES  2021'!C578:N578)</f>
        <v>516752058</v>
      </c>
      <c r="F578" s="279">
        <f>+F579</f>
        <v>0</v>
      </c>
      <c r="G578" s="279">
        <f>+G579</f>
        <v>0</v>
      </c>
      <c r="H578" s="279">
        <f>+H579</f>
        <v>0</v>
      </c>
      <c r="I578" s="279">
        <f>+I579</f>
        <v>0</v>
      </c>
      <c r="J578" s="279">
        <f>+J579</f>
        <v>0</v>
      </c>
      <c r="K578" s="281">
        <f t="shared" si="650"/>
        <v>516752058</v>
      </c>
      <c r="L578" s="279">
        <f t="shared" ref="L578:Q578" si="794">+L579</f>
        <v>0</v>
      </c>
      <c r="M578" s="279">
        <f t="shared" si="794"/>
        <v>0</v>
      </c>
      <c r="N578" s="279">
        <f t="shared" si="794"/>
        <v>0</v>
      </c>
      <c r="O578" s="279">
        <f t="shared" si="794"/>
        <v>0</v>
      </c>
      <c r="P578" s="279">
        <f t="shared" si="794"/>
        <v>516752058</v>
      </c>
      <c r="Q578" s="279">
        <f t="shared" si="794"/>
        <v>0</v>
      </c>
      <c r="R578" s="281">
        <f t="shared" si="773"/>
        <v>516752058</v>
      </c>
      <c r="S578" s="279">
        <f t="shared" ref="S578:Z578" si="795">+S579</f>
        <v>0</v>
      </c>
      <c r="T578" s="279">
        <f t="shared" si="795"/>
        <v>0</v>
      </c>
      <c r="U578" s="279">
        <f t="shared" si="795"/>
        <v>0</v>
      </c>
      <c r="V578" s="279">
        <f t="shared" si="795"/>
        <v>0</v>
      </c>
      <c r="W578" s="279">
        <f t="shared" si="795"/>
        <v>0</v>
      </c>
      <c r="X578" s="279">
        <f t="shared" si="795"/>
        <v>0</v>
      </c>
      <c r="Y578" s="279">
        <f t="shared" si="795"/>
        <v>0</v>
      </c>
      <c r="Z578" s="279">
        <f t="shared" si="795"/>
        <v>0</v>
      </c>
      <c r="AA578" s="281">
        <f t="shared" si="780"/>
        <v>0</v>
      </c>
      <c r="AB578" s="403">
        <f t="shared" si="655"/>
        <v>516752058</v>
      </c>
      <c r="AC578" s="326">
        <f t="shared" si="673"/>
        <v>1</v>
      </c>
    </row>
    <row r="579" spans="1:29" ht="14.25" hidden="1" x14ac:dyDescent="0.2">
      <c r="A579" s="424"/>
      <c r="B579" s="323" t="s">
        <v>1570</v>
      </c>
      <c r="C579" s="206" t="s">
        <v>1571</v>
      </c>
      <c r="D579" s="277"/>
      <c r="E579" s="325">
        <f>SUM('ADICIONES  2021'!C579:N579)</f>
        <v>516752058</v>
      </c>
      <c r="F579" s="277"/>
      <c r="G579" s="277"/>
      <c r="H579" s="277"/>
      <c r="I579" s="277"/>
      <c r="J579" s="277"/>
      <c r="K579" s="281">
        <f t="shared" si="650"/>
        <v>516752058</v>
      </c>
      <c r="L579" s="277"/>
      <c r="M579" s="277"/>
      <c r="N579" s="277"/>
      <c r="O579" s="277"/>
      <c r="P579" s="277">
        <v>516752058</v>
      </c>
      <c r="Q579" s="277"/>
      <c r="R579" s="281">
        <f t="shared" si="773"/>
        <v>516752058</v>
      </c>
      <c r="S579" s="277"/>
      <c r="T579" s="277"/>
      <c r="U579" s="277"/>
      <c r="V579" s="277"/>
      <c r="W579" s="277"/>
      <c r="X579" s="277"/>
      <c r="Y579" s="277"/>
      <c r="Z579" s="277"/>
      <c r="AA579" s="281">
        <f t="shared" si="780"/>
        <v>0</v>
      </c>
      <c r="AB579" s="403">
        <f t="shared" si="655"/>
        <v>516752058</v>
      </c>
      <c r="AC579" s="326">
        <f t="shared" si="673"/>
        <v>1</v>
      </c>
    </row>
    <row r="580" spans="1:29" ht="14.25" hidden="1" x14ac:dyDescent="0.2">
      <c r="A580" s="424"/>
      <c r="B580" s="318" t="s">
        <v>1572</v>
      </c>
      <c r="C580" s="319" t="s">
        <v>1573</v>
      </c>
      <c r="D580" s="279">
        <f>+D581</f>
        <v>0</v>
      </c>
      <c r="E580" s="322">
        <f>SUM('ADICIONES  2021'!C580:N580)</f>
        <v>58307034</v>
      </c>
      <c r="F580" s="279">
        <f>+F581</f>
        <v>0</v>
      </c>
      <c r="G580" s="279">
        <f>+G581</f>
        <v>0</v>
      </c>
      <c r="H580" s="279">
        <f>+H581</f>
        <v>0</v>
      </c>
      <c r="I580" s="279">
        <f>+I581</f>
        <v>0</v>
      </c>
      <c r="J580" s="279">
        <f>+J581</f>
        <v>0</v>
      </c>
      <c r="K580" s="281">
        <f t="shared" si="650"/>
        <v>58307034</v>
      </c>
      <c r="L580" s="279">
        <f t="shared" ref="L580:Q580" si="796">+L581</f>
        <v>0</v>
      </c>
      <c r="M580" s="279">
        <f t="shared" si="796"/>
        <v>0</v>
      </c>
      <c r="N580" s="279">
        <f t="shared" si="796"/>
        <v>0</v>
      </c>
      <c r="O580" s="279">
        <f t="shared" si="796"/>
        <v>0</v>
      </c>
      <c r="P580" s="279">
        <f t="shared" si="796"/>
        <v>58307034</v>
      </c>
      <c r="Q580" s="279">
        <f t="shared" si="796"/>
        <v>0</v>
      </c>
      <c r="R580" s="281">
        <f t="shared" si="773"/>
        <v>58307034</v>
      </c>
      <c r="S580" s="279">
        <f t="shared" ref="S580:Z580" si="797">+S581</f>
        <v>0</v>
      </c>
      <c r="T580" s="279">
        <f t="shared" si="797"/>
        <v>0</v>
      </c>
      <c r="U580" s="279">
        <f t="shared" si="797"/>
        <v>0</v>
      </c>
      <c r="V580" s="279">
        <f t="shared" si="797"/>
        <v>0</v>
      </c>
      <c r="W580" s="279">
        <f t="shared" si="797"/>
        <v>0</v>
      </c>
      <c r="X580" s="279">
        <f t="shared" si="797"/>
        <v>0</v>
      </c>
      <c r="Y580" s="279">
        <f t="shared" si="797"/>
        <v>0</v>
      </c>
      <c r="Z580" s="279">
        <f t="shared" si="797"/>
        <v>0</v>
      </c>
      <c r="AA580" s="281">
        <f t="shared" si="780"/>
        <v>0</v>
      </c>
      <c r="AB580" s="403">
        <f t="shared" si="655"/>
        <v>58307034</v>
      </c>
      <c r="AC580" s="326">
        <f t="shared" si="673"/>
        <v>1</v>
      </c>
    </row>
    <row r="581" spans="1:29" ht="14.25" hidden="1" x14ac:dyDescent="0.2">
      <c r="A581" s="424"/>
      <c r="B581" s="323" t="s">
        <v>1574</v>
      </c>
      <c r="C581" s="206" t="s">
        <v>1573</v>
      </c>
      <c r="D581" s="277"/>
      <c r="E581" s="325">
        <f>SUM('ADICIONES  2021'!C581:N581)</f>
        <v>58307034</v>
      </c>
      <c r="F581" s="277"/>
      <c r="G581" s="277"/>
      <c r="H581" s="277"/>
      <c r="I581" s="277"/>
      <c r="J581" s="277"/>
      <c r="K581" s="281">
        <f t="shared" si="650"/>
        <v>58307034</v>
      </c>
      <c r="L581" s="277"/>
      <c r="M581" s="277"/>
      <c r="N581" s="277"/>
      <c r="O581" s="277"/>
      <c r="P581" s="277">
        <v>58307034</v>
      </c>
      <c r="Q581" s="277"/>
      <c r="R581" s="281">
        <f t="shared" si="773"/>
        <v>58307034</v>
      </c>
      <c r="S581" s="277"/>
      <c r="T581" s="277"/>
      <c r="U581" s="277"/>
      <c r="V581" s="277"/>
      <c r="W581" s="277"/>
      <c r="X581" s="277"/>
      <c r="Y581" s="277"/>
      <c r="Z581" s="277"/>
      <c r="AA581" s="281">
        <f t="shared" si="780"/>
        <v>0</v>
      </c>
      <c r="AB581" s="403">
        <f t="shared" si="655"/>
        <v>58307034</v>
      </c>
      <c r="AC581" s="326">
        <f t="shared" si="673"/>
        <v>1</v>
      </c>
    </row>
    <row r="582" spans="1:29" s="61" customFormat="1" ht="15.75" hidden="1" x14ac:dyDescent="0.2">
      <c r="A582" s="425"/>
      <c r="B582" s="318" t="s">
        <v>1879</v>
      </c>
      <c r="C582" s="319" t="s">
        <v>1880</v>
      </c>
      <c r="D582" s="279">
        <f>+D583</f>
        <v>0</v>
      </c>
      <c r="E582" s="322">
        <f>SUM('ADICIONES  2021'!C582:N582)</f>
        <v>43696.25</v>
      </c>
      <c r="F582" s="279">
        <f t="shared" ref="F582:J582" si="798">+F583</f>
        <v>0</v>
      </c>
      <c r="G582" s="279">
        <f t="shared" si="798"/>
        <v>0</v>
      </c>
      <c r="H582" s="279">
        <f t="shared" si="798"/>
        <v>0</v>
      </c>
      <c r="I582" s="279">
        <f t="shared" si="798"/>
        <v>0</v>
      </c>
      <c r="J582" s="279">
        <f t="shared" si="798"/>
        <v>0</v>
      </c>
      <c r="K582" s="276">
        <f t="shared" si="650"/>
        <v>43696.25</v>
      </c>
      <c r="L582" s="279">
        <f t="shared" ref="L582:Q582" si="799">+L583</f>
        <v>0</v>
      </c>
      <c r="M582" s="279">
        <f t="shared" si="799"/>
        <v>0</v>
      </c>
      <c r="N582" s="279">
        <f t="shared" si="799"/>
        <v>0</v>
      </c>
      <c r="O582" s="279">
        <f t="shared" si="799"/>
        <v>0</v>
      </c>
      <c r="P582" s="279">
        <f t="shared" si="799"/>
        <v>0</v>
      </c>
      <c r="Q582" s="279">
        <f t="shared" si="799"/>
        <v>0</v>
      </c>
      <c r="R582" s="276">
        <f t="shared" si="773"/>
        <v>0</v>
      </c>
      <c r="S582" s="279">
        <f t="shared" ref="S582:Z582" si="800">+S583</f>
        <v>0</v>
      </c>
      <c r="T582" s="279">
        <f t="shared" si="800"/>
        <v>0</v>
      </c>
      <c r="U582" s="279">
        <f t="shared" si="800"/>
        <v>0</v>
      </c>
      <c r="V582" s="279">
        <f t="shared" si="800"/>
        <v>0</v>
      </c>
      <c r="W582" s="279">
        <f t="shared" si="800"/>
        <v>43696.25</v>
      </c>
      <c r="X582" s="279">
        <f t="shared" si="800"/>
        <v>0</v>
      </c>
      <c r="Y582" s="279">
        <f t="shared" si="800"/>
        <v>0</v>
      </c>
      <c r="Z582" s="279">
        <f t="shared" si="800"/>
        <v>0</v>
      </c>
      <c r="AA582" s="276">
        <f t="shared" si="780"/>
        <v>43696.25</v>
      </c>
      <c r="AB582" s="402">
        <f t="shared" si="655"/>
        <v>43696.25</v>
      </c>
      <c r="AC582" s="321">
        <f t="shared" si="673"/>
        <v>1</v>
      </c>
    </row>
    <row r="583" spans="1:29" ht="14.25" hidden="1" x14ac:dyDescent="0.2">
      <c r="A583" s="424"/>
      <c r="B583" s="323" t="s">
        <v>1881</v>
      </c>
      <c r="C583" s="206" t="s">
        <v>1880</v>
      </c>
      <c r="D583" s="277"/>
      <c r="E583" s="325">
        <f>SUM('ADICIONES  2021'!C583:N583)</f>
        <v>43696.25</v>
      </c>
      <c r="F583" s="277"/>
      <c r="G583" s="277"/>
      <c r="H583" s="277"/>
      <c r="I583" s="277"/>
      <c r="J583" s="277"/>
      <c r="K583" s="281">
        <f t="shared" si="650"/>
        <v>43696.25</v>
      </c>
      <c r="L583" s="277"/>
      <c r="M583" s="277"/>
      <c r="N583" s="277"/>
      <c r="O583" s="277"/>
      <c r="P583" s="277"/>
      <c r="Q583" s="277"/>
      <c r="R583" s="281">
        <f t="shared" si="773"/>
        <v>0</v>
      </c>
      <c r="S583" s="277"/>
      <c r="T583" s="277"/>
      <c r="U583" s="277"/>
      <c r="V583" s="277"/>
      <c r="W583" s="277">
        <v>43696.25</v>
      </c>
      <c r="X583" s="277"/>
      <c r="Y583" s="277"/>
      <c r="Z583" s="277"/>
      <c r="AA583" s="281">
        <f t="shared" si="780"/>
        <v>43696.25</v>
      </c>
      <c r="AB583" s="403">
        <f t="shared" si="655"/>
        <v>43696.25</v>
      </c>
      <c r="AC583" s="326">
        <f t="shared" si="673"/>
        <v>1</v>
      </c>
    </row>
    <row r="584" spans="1:29" s="61" customFormat="1" ht="15.75" hidden="1" x14ac:dyDescent="0.2">
      <c r="A584" s="425"/>
      <c r="B584" s="318" t="s">
        <v>1892</v>
      </c>
      <c r="C584" s="319" t="s">
        <v>1893</v>
      </c>
      <c r="D584" s="279">
        <f>+D585</f>
        <v>0</v>
      </c>
      <c r="E584" s="322">
        <f>SUM('ADICIONES  2021'!C584:N584)</f>
        <v>19709161</v>
      </c>
      <c r="F584" s="279">
        <f>+F585</f>
        <v>0</v>
      </c>
      <c r="G584" s="279">
        <f t="shared" ref="G584:J584" si="801">+G585</f>
        <v>0</v>
      </c>
      <c r="H584" s="279">
        <f t="shared" si="801"/>
        <v>0</v>
      </c>
      <c r="I584" s="279">
        <f t="shared" si="801"/>
        <v>0</v>
      </c>
      <c r="J584" s="279">
        <f t="shared" si="801"/>
        <v>0</v>
      </c>
      <c r="K584" s="276">
        <f t="shared" si="650"/>
        <v>19709161</v>
      </c>
      <c r="L584" s="279">
        <f>+L585</f>
        <v>0</v>
      </c>
      <c r="M584" s="279">
        <f t="shared" ref="M584:Q584" si="802">+M585</f>
        <v>0</v>
      </c>
      <c r="N584" s="279">
        <f t="shared" si="802"/>
        <v>0</v>
      </c>
      <c r="O584" s="279">
        <f t="shared" si="802"/>
        <v>0</v>
      </c>
      <c r="P584" s="279">
        <f t="shared" si="802"/>
        <v>0</v>
      </c>
      <c r="Q584" s="279">
        <f t="shared" si="802"/>
        <v>0</v>
      </c>
      <c r="R584" s="276">
        <f t="shared" si="773"/>
        <v>0</v>
      </c>
      <c r="S584" s="279">
        <f>+S585</f>
        <v>0</v>
      </c>
      <c r="T584" s="279">
        <f t="shared" ref="T584:Z584" si="803">+T585</f>
        <v>0</v>
      </c>
      <c r="U584" s="279">
        <f t="shared" si="803"/>
        <v>0</v>
      </c>
      <c r="V584" s="279">
        <f t="shared" si="803"/>
        <v>0</v>
      </c>
      <c r="W584" s="279">
        <f t="shared" si="803"/>
        <v>39418322</v>
      </c>
      <c r="X584" s="279">
        <f t="shared" si="803"/>
        <v>-19709161</v>
      </c>
      <c r="Y584" s="279">
        <f t="shared" si="803"/>
        <v>0</v>
      </c>
      <c r="Z584" s="279">
        <f t="shared" si="803"/>
        <v>0</v>
      </c>
      <c r="AA584" s="276">
        <f t="shared" si="780"/>
        <v>19709161</v>
      </c>
      <c r="AB584" s="402">
        <f t="shared" si="655"/>
        <v>19709161</v>
      </c>
      <c r="AC584" s="321">
        <f t="shared" si="673"/>
        <v>1</v>
      </c>
    </row>
    <row r="585" spans="1:29" ht="25.5" hidden="1" x14ac:dyDescent="0.2">
      <c r="A585" s="424"/>
      <c r="B585" s="323" t="s">
        <v>1894</v>
      </c>
      <c r="C585" s="206" t="s">
        <v>1895</v>
      </c>
      <c r="D585" s="277"/>
      <c r="E585" s="325">
        <f>SUM('ADICIONES  2021'!C585:N585)</f>
        <v>19709161</v>
      </c>
      <c r="F585" s="277"/>
      <c r="G585" s="277"/>
      <c r="H585" s="277"/>
      <c r="I585" s="277"/>
      <c r="J585" s="277"/>
      <c r="K585" s="281">
        <f t="shared" si="650"/>
        <v>19709161</v>
      </c>
      <c r="L585" s="277"/>
      <c r="M585" s="277"/>
      <c r="N585" s="277"/>
      <c r="O585" s="277"/>
      <c r="P585" s="277"/>
      <c r="Q585" s="277"/>
      <c r="R585" s="281">
        <f t="shared" si="773"/>
        <v>0</v>
      </c>
      <c r="S585" s="277"/>
      <c r="T585" s="277"/>
      <c r="U585" s="277"/>
      <c r="V585" s="277"/>
      <c r="W585" s="277">
        <v>39418322</v>
      </c>
      <c r="X585" s="277">
        <v>-19709161</v>
      </c>
      <c r="Y585" s="277"/>
      <c r="Z585" s="277"/>
      <c r="AA585" s="281">
        <f t="shared" si="780"/>
        <v>19709161</v>
      </c>
      <c r="AB585" s="403">
        <f t="shared" si="655"/>
        <v>19709161</v>
      </c>
      <c r="AC585" s="326">
        <f t="shared" si="673"/>
        <v>1</v>
      </c>
    </row>
    <row r="586" spans="1:29" ht="14.25" hidden="1" x14ac:dyDescent="0.2">
      <c r="A586" s="424"/>
      <c r="B586" s="318" t="s">
        <v>1575</v>
      </c>
      <c r="C586" s="319" t="s">
        <v>1576</v>
      </c>
      <c r="D586" s="279">
        <f>+D587</f>
        <v>0</v>
      </c>
      <c r="E586" s="322">
        <f>SUM('ADICIONES  2021'!C586:N586)</f>
        <v>40452895.149999999</v>
      </c>
      <c r="F586" s="279">
        <f t="shared" ref="F586:J587" si="804">+F587</f>
        <v>0</v>
      </c>
      <c r="G586" s="279">
        <f t="shared" si="804"/>
        <v>0</v>
      </c>
      <c r="H586" s="279">
        <f t="shared" si="804"/>
        <v>0</v>
      </c>
      <c r="I586" s="279">
        <f t="shared" si="804"/>
        <v>0</v>
      </c>
      <c r="J586" s="279">
        <f t="shared" si="804"/>
        <v>0</v>
      </c>
      <c r="K586" s="276">
        <f t="shared" si="650"/>
        <v>40452895.149999999</v>
      </c>
      <c r="L586" s="279">
        <f t="shared" ref="L586:Q587" si="805">+L587</f>
        <v>0</v>
      </c>
      <c r="M586" s="279">
        <f t="shared" si="805"/>
        <v>0</v>
      </c>
      <c r="N586" s="279">
        <f t="shared" si="805"/>
        <v>0</v>
      </c>
      <c r="O586" s="279">
        <f t="shared" si="805"/>
        <v>0</v>
      </c>
      <c r="P586" s="279">
        <f t="shared" si="805"/>
        <v>40452895.149999999</v>
      </c>
      <c r="Q586" s="279">
        <f t="shared" si="805"/>
        <v>0</v>
      </c>
      <c r="R586" s="276">
        <f t="shared" si="773"/>
        <v>40452895.149999999</v>
      </c>
      <c r="S586" s="279">
        <f t="shared" ref="S586:Z587" si="806">+S587</f>
        <v>0</v>
      </c>
      <c r="T586" s="279">
        <f t="shared" si="806"/>
        <v>0</v>
      </c>
      <c r="U586" s="279">
        <f t="shared" si="806"/>
        <v>0</v>
      </c>
      <c r="V586" s="279">
        <f t="shared" si="806"/>
        <v>0</v>
      </c>
      <c r="W586" s="279">
        <f t="shared" si="806"/>
        <v>0</v>
      </c>
      <c r="X586" s="279">
        <f t="shared" si="806"/>
        <v>0</v>
      </c>
      <c r="Y586" s="279">
        <f t="shared" si="806"/>
        <v>0</v>
      </c>
      <c r="Z586" s="279">
        <f t="shared" si="806"/>
        <v>0</v>
      </c>
      <c r="AA586" s="276">
        <f t="shared" si="780"/>
        <v>0</v>
      </c>
      <c r="AB586" s="402">
        <f t="shared" si="655"/>
        <v>40452895.149999999</v>
      </c>
      <c r="AC586" s="321">
        <f t="shared" si="673"/>
        <v>1</v>
      </c>
    </row>
    <row r="587" spans="1:29" ht="25.5" hidden="1" x14ac:dyDescent="0.2">
      <c r="A587" s="424"/>
      <c r="B587" s="318" t="s">
        <v>1577</v>
      </c>
      <c r="C587" s="319" t="s">
        <v>1578</v>
      </c>
      <c r="D587" s="279">
        <f>+D588</f>
        <v>0</v>
      </c>
      <c r="E587" s="322">
        <f>SUM('ADICIONES  2021'!C587:N587)</f>
        <v>40452895.149999999</v>
      </c>
      <c r="F587" s="279">
        <f t="shared" si="804"/>
        <v>0</v>
      </c>
      <c r="G587" s="279">
        <f t="shared" si="804"/>
        <v>0</v>
      </c>
      <c r="H587" s="279">
        <f t="shared" si="804"/>
        <v>0</v>
      </c>
      <c r="I587" s="279">
        <f t="shared" si="804"/>
        <v>0</v>
      </c>
      <c r="J587" s="279">
        <f t="shared" si="804"/>
        <v>0</v>
      </c>
      <c r="K587" s="281">
        <f t="shared" si="650"/>
        <v>40452895.149999999</v>
      </c>
      <c r="L587" s="279">
        <f t="shared" si="805"/>
        <v>0</v>
      </c>
      <c r="M587" s="279">
        <f t="shared" si="805"/>
        <v>0</v>
      </c>
      <c r="N587" s="279">
        <f t="shared" si="805"/>
        <v>0</v>
      </c>
      <c r="O587" s="279">
        <f t="shared" si="805"/>
        <v>0</v>
      </c>
      <c r="P587" s="279">
        <f t="shared" si="805"/>
        <v>40452895.149999999</v>
      </c>
      <c r="Q587" s="279">
        <f t="shared" si="805"/>
        <v>0</v>
      </c>
      <c r="R587" s="281">
        <f t="shared" si="773"/>
        <v>40452895.149999999</v>
      </c>
      <c r="S587" s="279">
        <f t="shared" si="806"/>
        <v>0</v>
      </c>
      <c r="T587" s="279">
        <f t="shared" si="806"/>
        <v>0</v>
      </c>
      <c r="U587" s="279">
        <f t="shared" si="806"/>
        <v>0</v>
      </c>
      <c r="V587" s="279">
        <f t="shared" si="806"/>
        <v>0</v>
      </c>
      <c r="W587" s="279">
        <f t="shared" si="806"/>
        <v>0</v>
      </c>
      <c r="X587" s="279">
        <f t="shared" si="806"/>
        <v>0</v>
      </c>
      <c r="Y587" s="279">
        <f t="shared" si="806"/>
        <v>0</v>
      </c>
      <c r="Z587" s="279">
        <f t="shared" si="806"/>
        <v>0</v>
      </c>
      <c r="AA587" s="276">
        <f t="shared" si="780"/>
        <v>0</v>
      </c>
      <c r="AB587" s="402">
        <f t="shared" si="655"/>
        <v>40452895.149999999</v>
      </c>
      <c r="AC587" s="321">
        <f t="shared" si="673"/>
        <v>1</v>
      </c>
    </row>
    <row r="588" spans="1:29" ht="25.5" hidden="1" x14ac:dyDescent="0.2">
      <c r="A588" s="424"/>
      <c r="B588" s="323" t="s">
        <v>1579</v>
      </c>
      <c r="C588" s="206" t="s">
        <v>1578</v>
      </c>
      <c r="D588" s="277"/>
      <c r="E588" s="325">
        <f>SUM('ADICIONES  2021'!C588:N588)</f>
        <v>40452895.149999999</v>
      </c>
      <c r="F588" s="277"/>
      <c r="G588" s="277"/>
      <c r="H588" s="277"/>
      <c r="I588" s="277"/>
      <c r="J588" s="277"/>
      <c r="K588" s="281">
        <f t="shared" si="650"/>
        <v>40452895.149999999</v>
      </c>
      <c r="L588" s="277"/>
      <c r="M588" s="277"/>
      <c r="N588" s="277"/>
      <c r="O588" s="277"/>
      <c r="P588" s="277">
        <v>40452895.149999999</v>
      </c>
      <c r="Q588" s="277"/>
      <c r="R588" s="281">
        <f t="shared" si="773"/>
        <v>40452895.149999999</v>
      </c>
      <c r="S588" s="277"/>
      <c r="T588" s="277"/>
      <c r="U588" s="277"/>
      <c r="V588" s="277"/>
      <c r="W588" s="277"/>
      <c r="X588" s="277"/>
      <c r="Y588" s="277"/>
      <c r="Z588" s="277"/>
      <c r="AA588" s="281">
        <f t="shared" si="780"/>
        <v>0</v>
      </c>
      <c r="AB588" s="403">
        <f t="shared" si="655"/>
        <v>40452895.149999999</v>
      </c>
      <c r="AC588" s="326">
        <f t="shared" si="673"/>
        <v>1</v>
      </c>
    </row>
    <row r="589" spans="1:29" ht="14.25" hidden="1" x14ac:dyDescent="0.2">
      <c r="A589" s="424"/>
      <c r="B589" s="318" t="s">
        <v>1580</v>
      </c>
      <c r="C589" s="319" t="s">
        <v>1581</v>
      </c>
      <c r="D589" s="279">
        <f>SUM(D590:D591)</f>
        <v>0</v>
      </c>
      <c r="E589" s="322">
        <f>SUM('ADICIONES  2021'!C589:N589)</f>
        <v>1688537021.8899999</v>
      </c>
      <c r="F589" s="279">
        <f>SUM(F590:F591)</f>
        <v>0</v>
      </c>
      <c r="G589" s="279">
        <f>SUM(G590:G591)</f>
        <v>0</v>
      </c>
      <c r="H589" s="279">
        <f>SUM(H590:H591)</f>
        <v>0</v>
      </c>
      <c r="I589" s="279">
        <f>SUM(I590:I591)</f>
        <v>0</v>
      </c>
      <c r="J589" s="279">
        <f>SUM(J590:J591)</f>
        <v>0</v>
      </c>
      <c r="K589" s="281">
        <f t="shared" si="650"/>
        <v>1688537021.8899999</v>
      </c>
      <c r="L589" s="279">
        <f t="shared" ref="L589:Q589" si="807">SUM(L590:L591)</f>
        <v>0</v>
      </c>
      <c r="M589" s="279">
        <f t="shared" si="807"/>
        <v>0</v>
      </c>
      <c r="N589" s="279">
        <f t="shared" si="807"/>
        <v>0</v>
      </c>
      <c r="O589" s="279">
        <f t="shared" si="807"/>
        <v>0</v>
      </c>
      <c r="P589" s="279">
        <f t="shared" si="807"/>
        <v>0</v>
      </c>
      <c r="Q589" s="279">
        <f t="shared" si="807"/>
        <v>0</v>
      </c>
      <c r="R589" s="281">
        <f t="shared" si="773"/>
        <v>0</v>
      </c>
      <c r="S589" s="279">
        <f t="shared" ref="S589:Z589" si="808">SUM(S590:S591)</f>
        <v>0</v>
      </c>
      <c r="T589" s="279">
        <f t="shared" si="808"/>
        <v>0</v>
      </c>
      <c r="U589" s="279">
        <f t="shared" si="808"/>
        <v>0</v>
      </c>
      <c r="V589" s="279">
        <f t="shared" si="808"/>
        <v>0</v>
      </c>
      <c r="W589" s="279">
        <f t="shared" si="808"/>
        <v>731924064</v>
      </c>
      <c r="X589" s="279">
        <f t="shared" si="808"/>
        <v>956612957.88999999</v>
      </c>
      <c r="Y589" s="279">
        <f t="shared" si="808"/>
        <v>0</v>
      </c>
      <c r="Z589" s="279">
        <f t="shared" si="808"/>
        <v>0</v>
      </c>
      <c r="AA589" s="281">
        <f t="shared" si="780"/>
        <v>1688537021.8899999</v>
      </c>
      <c r="AB589" s="403">
        <f t="shared" si="655"/>
        <v>1688537021.8899999</v>
      </c>
      <c r="AC589" s="326">
        <f t="shared" si="673"/>
        <v>1</v>
      </c>
    </row>
    <row r="590" spans="1:29" ht="38.25" hidden="1" x14ac:dyDescent="0.2">
      <c r="A590" s="424"/>
      <c r="B590" s="323" t="s">
        <v>1582</v>
      </c>
      <c r="C590" s="206" t="s">
        <v>1583</v>
      </c>
      <c r="D590" s="277"/>
      <c r="E590" s="325">
        <f>SUM('ADICIONES  2021'!C590:N590)</f>
        <v>619767114</v>
      </c>
      <c r="F590" s="277"/>
      <c r="G590" s="277"/>
      <c r="H590" s="277"/>
      <c r="I590" s="277"/>
      <c r="J590" s="277"/>
      <c r="K590" s="281">
        <f t="shared" si="650"/>
        <v>619767114</v>
      </c>
      <c r="L590" s="277"/>
      <c r="M590" s="277"/>
      <c r="N590" s="277"/>
      <c r="O590" s="277"/>
      <c r="P590" s="277"/>
      <c r="Q590" s="277"/>
      <c r="R590" s="281">
        <f t="shared" si="773"/>
        <v>0</v>
      </c>
      <c r="S590" s="277"/>
      <c r="T590" s="277"/>
      <c r="U590" s="277"/>
      <c r="V590" s="277"/>
      <c r="W590" s="277">
        <v>619767114</v>
      </c>
      <c r="X590" s="277"/>
      <c r="Y590" s="277"/>
      <c r="Z590" s="277"/>
      <c r="AA590" s="281">
        <f t="shared" si="780"/>
        <v>619767114</v>
      </c>
      <c r="AB590" s="403">
        <f t="shared" si="655"/>
        <v>619767114</v>
      </c>
      <c r="AC590" s="326">
        <f t="shared" si="673"/>
        <v>1</v>
      </c>
    </row>
    <row r="591" spans="1:29" ht="25.5" hidden="1" x14ac:dyDescent="0.2">
      <c r="A591" s="424"/>
      <c r="B591" s="323" t="s">
        <v>1584</v>
      </c>
      <c r="C591" s="206" t="s">
        <v>1585</v>
      </c>
      <c r="D591" s="277"/>
      <c r="E591" s="325">
        <f>SUM('ADICIONES  2021'!C591:N591)</f>
        <v>1068769907.89</v>
      </c>
      <c r="F591" s="277"/>
      <c r="G591" s="277"/>
      <c r="H591" s="277"/>
      <c r="I591" s="277"/>
      <c r="J591" s="277"/>
      <c r="K591" s="281">
        <f t="shared" si="650"/>
        <v>1068769907.89</v>
      </c>
      <c r="L591" s="277"/>
      <c r="M591" s="277"/>
      <c r="N591" s="277"/>
      <c r="O591" s="277"/>
      <c r="P591" s="277"/>
      <c r="Q591" s="277"/>
      <c r="R591" s="281">
        <f t="shared" si="773"/>
        <v>0</v>
      </c>
      <c r="S591" s="277"/>
      <c r="T591" s="277"/>
      <c r="U591" s="277"/>
      <c r="V591" s="277"/>
      <c r="W591" s="277">
        <v>112156950</v>
      </c>
      <c r="X591" s="277">
        <v>956612957.88999999</v>
      </c>
      <c r="Y591" s="277"/>
      <c r="Z591" s="277"/>
      <c r="AA591" s="281">
        <f t="shared" si="780"/>
        <v>1068769907.89</v>
      </c>
      <c r="AB591" s="403">
        <f t="shared" si="655"/>
        <v>1068769907.89</v>
      </c>
      <c r="AC591" s="326">
        <f t="shared" si="673"/>
        <v>1</v>
      </c>
    </row>
    <row r="592" spans="1:29" s="61" customFormat="1" ht="25.5" hidden="1" x14ac:dyDescent="0.2">
      <c r="A592" s="425"/>
      <c r="B592" s="318" t="s">
        <v>1858</v>
      </c>
      <c r="C592" s="319" t="s">
        <v>1859</v>
      </c>
      <c r="D592" s="279">
        <f>+D593</f>
        <v>0</v>
      </c>
      <c r="E592" s="322">
        <f>SUM('ADICIONES  2021'!C592:N592)</f>
        <v>369302179</v>
      </c>
      <c r="F592" s="279">
        <f t="shared" ref="F592:J592" si="809">+F593</f>
        <v>0</v>
      </c>
      <c r="G592" s="279">
        <f t="shared" si="809"/>
        <v>0</v>
      </c>
      <c r="H592" s="279">
        <f t="shared" si="809"/>
        <v>0</v>
      </c>
      <c r="I592" s="279">
        <f t="shared" si="809"/>
        <v>0</v>
      </c>
      <c r="J592" s="279">
        <f t="shared" si="809"/>
        <v>0</v>
      </c>
      <c r="K592" s="281">
        <f t="shared" si="650"/>
        <v>369302179</v>
      </c>
      <c r="L592" s="279">
        <f t="shared" ref="L592:Q592" si="810">+L593</f>
        <v>0</v>
      </c>
      <c r="M592" s="279">
        <f t="shared" si="810"/>
        <v>0</v>
      </c>
      <c r="N592" s="279">
        <f t="shared" si="810"/>
        <v>0</v>
      </c>
      <c r="O592" s="279">
        <f t="shared" si="810"/>
        <v>0</v>
      </c>
      <c r="P592" s="279">
        <f t="shared" si="810"/>
        <v>0</v>
      </c>
      <c r="Q592" s="279">
        <f t="shared" si="810"/>
        <v>0</v>
      </c>
      <c r="R592" s="281">
        <f t="shared" si="773"/>
        <v>0</v>
      </c>
      <c r="S592" s="279">
        <f t="shared" ref="S592:Z592" si="811">+S593</f>
        <v>0</v>
      </c>
      <c r="T592" s="279">
        <f t="shared" si="811"/>
        <v>369302179</v>
      </c>
      <c r="U592" s="279">
        <f t="shared" si="811"/>
        <v>0</v>
      </c>
      <c r="V592" s="279">
        <f t="shared" si="811"/>
        <v>0</v>
      </c>
      <c r="W592" s="279">
        <f t="shared" si="811"/>
        <v>0</v>
      </c>
      <c r="X592" s="279">
        <f t="shared" si="811"/>
        <v>0</v>
      </c>
      <c r="Y592" s="279">
        <f t="shared" si="811"/>
        <v>0</v>
      </c>
      <c r="Z592" s="279">
        <f t="shared" si="811"/>
        <v>0</v>
      </c>
      <c r="AA592" s="281">
        <f t="shared" si="780"/>
        <v>369302179</v>
      </c>
      <c r="AB592" s="403">
        <f t="shared" si="655"/>
        <v>369302179</v>
      </c>
      <c r="AC592" s="326">
        <f t="shared" si="673"/>
        <v>1</v>
      </c>
    </row>
    <row r="593" spans="1:29" ht="14.25" hidden="1" x14ac:dyDescent="0.2">
      <c r="A593" s="424"/>
      <c r="B593" s="323" t="s">
        <v>1860</v>
      </c>
      <c r="C593" s="206" t="s">
        <v>1861</v>
      </c>
      <c r="D593" s="277"/>
      <c r="E593" s="325">
        <f>SUM('ADICIONES  2021'!C593:N593)</f>
        <v>369302179</v>
      </c>
      <c r="F593" s="277"/>
      <c r="G593" s="277"/>
      <c r="H593" s="277"/>
      <c r="I593" s="277"/>
      <c r="J593" s="277"/>
      <c r="K593" s="281">
        <f t="shared" si="650"/>
        <v>369302179</v>
      </c>
      <c r="L593" s="277"/>
      <c r="M593" s="277"/>
      <c r="N593" s="277"/>
      <c r="O593" s="277"/>
      <c r="P593" s="277"/>
      <c r="Q593" s="277"/>
      <c r="R593" s="281">
        <f t="shared" si="773"/>
        <v>0</v>
      </c>
      <c r="S593" s="277"/>
      <c r="T593" s="277">
        <v>369302179</v>
      </c>
      <c r="U593" s="277"/>
      <c r="V593" s="277"/>
      <c r="W593" s="277"/>
      <c r="X593" s="277"/>
      <c r="Y593" s="277"/>
      <c r="Z593" s="277"/>
      <c r="AA593" s="281">
        <f t="shared" si="780"/>
        <v>369302179</v>
      </c>
      <c r="AB593" s="403">
        <f t="shared" si="655"/>
        <v>369302179</v>
      </c>
      <c r="AC593" s="326">
        <f t="shared" si="673"/>
        <v>1</v>
      </c>
    </row>
    <row r="594" spans="1:29" s="61" customFormat="1" ht="25.5" hidden="1" x14ac:dyDescent="0.2">
      <c r="A594" s="425"/>
      <c r="B594" s="318" t="s">
        <v>1882</v>
      </c>
      <c r="C594" s="319" t="s">
        <v>1883</v>
      </c>
      <c r="D594" s="279">
        <f>SUM(D595:D596)</f>
        <v>0</v>
      </c>
      <c r="E594" s="322">
        <f>SUM('ADICIONES  2021'!C594:N594)</f>
        <v>966792170.46000004</v>
      </c>
      <c r="F594" s="279">
        <f t="shared" ref="F594:J594" si="812">SUM(F595:F596)</f>
        <v>0</v>
      </c>
      <c r="G594" s="279">
        <f t="shared" si="812"/>
        <v>0</v>
      </c>
      <c r="H594" s="279">
        <f t="shared" si="812"/>
        <v>0</v>
      </c>
      <c r="I594" s="279">
        <f t="shared" si="812"/>
        <v>0</v>
      </c>
      <c r="J594" s="279">
        <f t="shared" si="812"/>
        <v>0</v>
      </c>
      <c r="K594" s="276">
        <f t="shared" si="650"/>
        <v>966792170.46000004</v>
      </c>
      <c r="L594" s="279">
        <f t="shared" ref="L594:Q594" si="813">SUM(L595:L596)</f>
        <v>0</v>
      </c>
      <c r="M594" s="279">
        <f t="shared" si="813"/>
        <v>0</v>
      </c>
      <c r="N594" s="279">
        <f t="shared" si="813"/>
        <v>0</v>
      </c>
      <c r="O594" s="279">
        <f t="shared" si="813"/>
        <v>0</v>
      </c>
      <c r="P594" s="279">
        <f t="shared" si="813"/>
        <v>0</v>
      </c>
      <c r="Q594" s="279">
        <f t="shared" si="813"/>
        <v>0</v>
      </c>
      <c r="R594" s="276">
        <f t="shared" si="773"/>
        <v>0</v>
      </c>
      <c r="S594" s="279">
        <f t="shared" ref="S594:Z594" si="814">SUM(S595:S596)</f>
        <v>0</v>
      </c>
      <c r="T594" s="279">
        <f t="shared" si="814"/>
        <v>0</v>
      </c>
      <c r="U594" s="279">
        <f t="shared" si="814"/>
        <v>0</v>
      </c>
      <c r="V594" s="279">
        <f t="shared" si="814"/>
        <v>0</v>
      </c>
      <c r="W594" s="279">
        <f t="shared" si="814"/>
        <v>966792170.46000004</v>
      </c>
      <c r="X594" s="279">
        <f t="shared" si="814"/>
        <v>0</v>
      </c>
      <c r="Y594" s="279">
        <f t="shared" si="814"/>
        <v>0</v>
      </c>
      <c r="Z594" s="279">
        <f t="shared" si="814"/>
        <v>0</v>
      </c>
      <c r="AA594" s="276">
        <f t="shared" ref="AA594:AA604" si="815">SUM(S594:Z594)</f>
        <v>966792170.46000004</v>
      </c>
      <c r="AB594" s="402">
        <f t="shared" si="655"/>
        <v>966792170.46000004</v>
      </c>
      <c r="AC594" s="321">
        <f t="shared" si="673"/>
        <v>1</v>
      </c>
    </row>
    <row r="595" spans="1:29" ht="25.5" hidden="1" x14ac:dyDescent="0.2">
      <c r="A595" s="424"/>
      <c r="B595" s="323" t="s">
        <v>1862</v>
      </c>
      <c r="C595" s="206" t="s">
        <v>1863</v>
      </c>
      <c r="D595" s="277"/>
      <c r="E595" s="325">
        <f>SUM('ADICIONES  2021'!C595:N595)</f>
        <v>966707087.46000004</v>
      </c>
      <c r="F595" s="277"/>
      <c r="G595" s="277"/>
      <c r="H595" s="277"/>
      <c r="I595" s="277"/>
      <c r="J595" s="277"/>
      <c r="K595" s="281">
        <f t="shared" si="650"/>
        <v>966707087.46000004</v>
      </c>
      <c r="L595" s="277"/>
      <c r="M595" s="277"/>
      <c r="N595" s="277"/>
      <c r="O595" s="277"/>
      <c r="P595" s="277"/>
      <c r="Q595" s="277"/>
      <c r="R595" s="281">
        <f t="shared" si="773"/>
        <v>0</v>
      </c>
      <c r="S595" s="277"/>
      <c r="T595" s="277"/>
      <c r="U595" s="277"/>
      <c r="V595" s="277"/>
      <c r="W595" s="277">
        <v>966707087.46000004</v>
      </c>
      <c r="X595" s="277"/>
      <c r="Y595" s="277"/>
      <c r="Z595" s="277"/>
      <c r="AA595" s="281">
        <f t="shared" si="815"/>
        <v>966707087.46000004</v>
      </c>
      <c r="AB595" s="403">
        <f t="shared" si="655"/>
        <v>966707087.46000004</v>
      </c>
      <c r="AC595" s="326">
        <f t="shared" si="673"/>
        <v>1</v>
      </c>
    </row>
    <row r="596" spans="1:29" ht="25.5" hidden="1" x14ac:dyDescent="0.2">
      <c r="A596" s="424"/>
      <c r="B596" s="323" t="s">
        <v>1864</v>
      </c>
      <c r="C596" s="206" t="s">
        <v>1865</v>
      </c>
      <c r="D596" s="277"/>
      <c r="E596" s="325">
        <f>SUM('ADICIONES  2021'!C596:N596)</f>
        <v>85083</v>
      </c>
      <c r="F596" s="277"/>
      <c r="G596" s="277"/>
      <c r="H596" s="277"/>
      <c r="I596" s="277"/>
      <c r="J596" s="277"/>
      <c r="K596" s="281">
        <f t="shared" si="650"/>
        <v>85083</v>
      </c>
      <c r="L596" s="277"/>
      <c r="M596" s="277"/>
      <c r="N596" s="277"/>
      <c r="O596" s="277"/>
      <c r="P596" s="277"/>
      <c r="Q596" s="277"/>
      <c r="R596" s="281">
        <f t="shared" si="773"/>
        <v>0</v>
      </c>
      <c r="S596" s="277"/>
      <c r="T596" s="277"/>
      <c r="U596" s="277"/>
      <c r="V596" s="277"/>
      <c r="W596" s="277">
        <v>85083</v>
      </c>
      <c r="X596" s="277"/>
      <c r="Y596" s="277"/>
      <c r="Z596" s="277"/>
      <c r="AA596" s="281">
        <f t="shared" si="815"/>
        <v>85083</v>
      </c>
      <c r="AB596" s="403">
        <f t="shared" si="655"/>
        <v>85083</v>
      </c>
      <c r="AC596" s="326">
        <f t="shared" si="673"/>
        <v>1</v>
      </c>
    </row>
    <row r="597" spans="1:29" s="61" customFormat="1" ht="25.5" hidden="1" x14ac:dyDescent="0.2">
      <c r="A597" s="425"/>
      <c r="B597" s="318" t="s">
        <v>1884</v>
      </c>
      <c r="C597" s="319" t="s">
        <v>1867</v>
      </c>
      <c r="D597" s="279">
        <f>SUM(D598)</f>
        <v>0</v>
      </c>
      <c r="E597" s="322">
        <f>SUM('ADICIONES  2021'!C597:N597)</f>
        <v>59424.45</v>
      </c>
      <c r="F597" s="279">
        <f t="shared" ref="F597:J597" si="816">SUM(F598)</f>
        <v>0</v>
      </c>
      <c r="G597" s="279">
        <f t="shared" si="816"/>
        <v>0</v>
      </c>
      <c r="H597" s="279">
        <f t="shared" si="816"/>
        <v>0</v>
      </c>
      <c r="I597" s="279">
        <f t="shared" si="816"/>
        <v>0</v>
      </c>
      <c r="J597" s="279">
        <f t="shared" si="816"/>
        <v>0</v>
      </c>
      <c r="K597" s="276">
        <f t="shared" si="650"/>
        <v>59424.45</v>
      </c>
      <c r="L597" s="279">
        <f t="shared" ref="L597:Q597" si="817">SUM(L598)</f>
        <v>0</v>
      </c>
      <c r="M597" s="279">
        <f t="shared" si="817"/>
        <v>0</v>
      </c>
      <c r="N597" s="279">
        <f t="shared" si="817"/>
        <v>0</v>
      </c>
      <c r="O597" s="279">
        <f t="shared" si="817"/>
        <v>0</v>
      </c>
      <c r="P597" s="279">
        <f t="shared" si="817"/>
        <v>0</v>
      </c>
      <c r="Q597" s="279">
        <f t="shared" si="817"/>
        <v>0</v>
      </c>
      <c r="R597" s="276">
        <f t="shared" si="773"/>
        <v>0</v>
      </c>
      <c r="S597" s="279">
        <f t="shared" ref="S597:Z597" si="818">SUM(S598)</f>
        <v>0</v>
      </c>
      <c r="T597" s="279">
        <f t="shared" si="818"/>
        <v>0</v>
      </c>
      <c r="U597" s="279">
        <f t="shared" si="818"/>
        <v>0</v>
      </c>
      <c r="V597" s="279">
        <f t="shared" si="818"/>
        <v>0</v>
      </c>
      <c r="W597" s="279">
        <f t="shared" si="818"/>
        <v>59424.45</v>
      </c>
      <c r="X597" s="279">
        <f t="shared" si="818"/>
        <v>0</v>
      </c>
      <c r="Y597" s="279">
        <f t="shared" si="818"/>
        <v>0</v>
      </c>
      <c r="Z597" s="279">
        <f t="shared" si="818"/>
        <v>0</v>
      </c>
      <c r="AA597" s="276">
        <f t="shared" si="815"/>
        <v>59424.45</v>
      </c>
      <c r="AB597" s="402">
        <f t="shared" si="655"/>
        <v>59424.45</v>
      </c>
      <c r="AC597" s="321">
        <f t="shared" si="673"/>
        <v>1</v>
      </c>
    </row>
    <row r="598" spans="1:29" ht="25.5" hidden="1" x14ac:dyDescent="0.2">
      <c r="A598" s="424"/>
      <c r="B598" s="323" t="s">
        <v>1866</v>
      </c>
      <c r="C598" s="206" t="s">
        <v>1867</v>
      </c>
      <c r="D598" s="277"/>
      <c r="E598" s="325">
        <f>SUM('ADICIONES  2021'!C598:N598)</f>
        <v>59424.45</v>
      </c>
      <c r="F598" s="277"/>
      <c r="G598" s="277"/>
      <c r="H598" s="277"/>
      <c r="I598" s="277"/>
      <c r="J598" s="277"/>
      <c r="K598" s="281">
        <f t="shared" si="650"/>
        <v>59424.45</v>
      </c>
      <c r="L598" s="277"/>
      <c r="M598" s="277"/>
      <c r="N598" s="277"/>
      <c r="O598" s="277"/>
      <c r="P598" s="277"/>
      <c r="Q598" s="277"/>
      <c r="R598" s="281">
        <f t="shared" si="773"/>
        <v>0</v>
      </c>
      <c r="S598" s="277"/>
      <c r="T598" s="277"/>
      <c r="U598" s="277"/>
      <c r="V598" s="277"/>
      <c r="W598" s="277">
        <v>59424.45</v>
      </c>
      <c r="X598" s="277"/>
      <c r="Y598" s="277"/>
      <c r="Z598" s="277"/>
      <c r="AA598" s="281">
        <f t="shared" si="815"/>
        <v>59424.45</v>
      </c>
      <c r="AB598" s="403">
        <f t="shared" si="655"/>
        <v>59424.45</v>
      </c>
      <c r="AC598" s="326">
        <f t="shared" si="673"/>
        <v>1</v>
      </c>
    </row>
    <row r="599" spans="1:29" s="61" customFormat="1" ht="25.5" hidden="1" x14ac:dyDescent="0.2">
      <c r="A599" s="425"/>
      <c r="B599" s="318" t="s">
        <v>1885</v>
      </c>
      <c r="C599" s="319" t="s">
        <v>1867</v>
      </c>
      <c r="D599" s="279">
        <f>SUM(D600)</f>
        <v>0</v>
      </c>
      <c r="E599" s="322">
        <f>SUM('ADICIONES  2021'!C599:N599)</f>
        <v>18213</v>
      </c>
      <c r="F599" s="279">
        <f t="shared" ref="F599:J599" si="819">SUM(F600)</f>
        <v>0</v>
      </c>
      <c r="G599" s="279">
        <f t="shared" si="819"/>
        <v>0</v>
      </c>
      <c r="H599" s="279">
        <f t="shared" si="819"/>
        <v>0</v>
      </c>
      <c r="I599" s="279">
        <f t="shared" si="819"/>
        <v>0</v>
      </c>
      <c r="J599" s="279">
        <f t="shared" si="819"/>
        <v>0</v>
      </c>
      <c r="K599" s="276">
        <f t="shared" si="650"/>
        <v>18213</v>
      </c>
      <c r="L599" s="279">
        <f t="shared" ref="L599:Q599" si="820">SUM(L600)</f>
        <v>0</v>
      </c>
      <c r="M599" s="279">
        <f t="shared" si="820"/>
        <v>0</v>
      </c>
      <c r="N599" s="279">
        <f t="shared" si="820"/>
        <v>0</v>
      </c>
      <c r="O599" s="279">
        <f t="shared" si="820"/>
        <v>0</v>
      </c>
      <c r="P599" s="279">
        <f t="shared" si="820"/>
        <v>0</v>
      </c>
      <c r="Q599" s="279">
        <f t="shared" si="820"/>
        <v>0</v>
      </c>
      <c r="R599" s="276">
        <f t="shared" si="773"/>
        <v>0</v>
      </c>
      <c r="S599" s="279">
        <f t="shared" ref="S599:Z599" si="821">SUM(S600)</f>
        <v>0</v>
      </c>
      <c r="T599" s="279">
        <f t="shared" si="821"/>
        <v>0</v>
      </c>
      <c r="U599" s="279">
        <f t="shared" si="821"/>
        <v>0</v>
      </c>
      <c r="V599" s="279">
        <f t="shared" si="821"/>
        <v>0</v>
      </c>
      <c r="W599" s="279">
        <f t="shared" si="821"/>
        <v>18213</v>
      </c>
      <c r="X599" s="279">
        <f t="shared" si="821"/>
        <v>0</v>
      </c>
      <c r="Y599" s="279">
        <f t="shared" si="821"/>
        <v>0</v>
      </c>
      <c r="Z599" s="279">
        <f t="shared" si="821"/>
        <v>0</v>
      </c>
      <c r="AA599" s="276">
        <f t="shared" si="815"/>
        <v>18213</v>
      </c>
      <c r="AB599" s="402">
        <f t="shared" si="655"/>
        <v>18213</v>
      </c>
      <c r="AC599" s="321">
        <f t="shared" si="673"/>
        <v>1</v>
      </c>
    </row>
    <row r="600" spans="1:29" ht="25.5" hidden="1" x14ac:dyDescent="0.2">
      <c r="A600" s="424"/>
      <c r="B600" s="323" t="s">
        <v>1868</v>
      </c>
      <c r="C600" s="206" t="s">
        <v>1869</v>
      </c>
      <c r="D600" s="277"/>
      <c r="E600" s="325">
        <f>SUM('ADICIONES  2021'!C600:N600)</f>
        <v>18213</v>
      </c>
      <c r="F600" s="277"/>
      <c r="G600" s="277"/>
      <c r="H600" s="277"/>
      <c r="I600" s="277"/>
      <c r="J600" s="277"/>
      <c r="K600" s="281">
        <f t="shared" si="650"/>
        <v>18213</v>
      </c>
      <c r="L600" s="277"/>
      <c r="M600" s="277"/>
      <c r="N600" s="277"/>
      <c r="O600" s="277"/>
      <c r="P600" s="277"/>
      <c r="Q600" s="277"/>
      <c r="R600" s="281">
        <f t="shared" si="773"/>
        <v>0</v>
      </c>
      <c r="S600" s="277"/>
      <c r="T600" s="277"/>
      <c r="U600" s="277"/>
      <c r="V600" s="277"/>
      <c r="W600" s="277">
        <v>18213</v>
      </c>
      <c r="X600" s="277"/>
      <c r="Y600" s="277"/>
      <c r="Z600" s="277"/>
      <c r="AA600" s="281">
        <f t="shared" si="815"/>
        <v>18213</v>
      </c>
      <c r="AB600" s="403">
        <f t="shared" si="655"/>
        <v>18213</v>
      </c>
      <c r="AC600" s="326">
        <f t="shared" si="673"/>
        <v>1</v>
      </c>
    </row>
    <row r="601" spans="1:29" s="61" customFormat="1" ht="25.5" hidden="1" x14ac:dyDescent="0.2">
      <c r="A601" s="425"/>
      <c r="B601" s="318" t="s">
        <v>1886</v>
      </c>
      <c r="C601" s="319" t="s">
        <v>1871</v>
      </c>
      <c r="D601" s="279">
        <f>SUM(D602)</f>
        <v>0</v>
      </c>
      <c r="E601" s="322">
        <f>SUM('ADICIONES  2021'!C601:N601)</f>
        <v>53228.82</v>
      </c>
      <c r="F601" s="279">
        <f t="shared" ref="F601:J601" si="822">SUM(F602)</f>
        <v>0</v>
      </c>
      <c r="G601" s="279">
        <f t="shared" si="822"/>
        <v>0</v>
      </c>
      <c r="H601" s="279">
        <f t="shared" si="822"/>
        <v>0</v>
      </c>
      <c r="I601" s="279">
        <f t="shared" si="822"/>
        <v>0</v>
      </c>
      <c r="J601" s="279">
        <f t="shared" si="822"/>
        <v>0</v>
      </c>
      <c r="K601" s="276">
        <f t="shared" si="650"/>
        <v>53228.82</v>
      </c>
      <c r="L601" s="279">
        <f t="shared" ref="L601:Q601" si="823">SUM(L602)</f>
        <v>0</v>
      </c>
      <c r="M601" s="279">
        <f t="shared" si="823"/>
        <v>0</v>
      </c>
      <c r="N601" s="279">
        <f t="shared" si="823"/>
        <v>0</v>
      </c>
      <c r="O601" s="279">
        <f t="shared" si="823"/>
        <v>0</v>
      </c>
      <c r="P601" s="279">
        <f t="shared" si="823"/>
        <v>0</v>
      </c>
      <c r="Q601" s="279">
        <f t="shared" si="823"/>
        <v>0</v>
      </c>
      <c r="R601" s="276">
        <f t="shared" si="773"/>
        <v>0</v>
      </c>
      <c r="S601" s="279">
        <f t="shared" ref="S601:Z601" si="824">SUM(S602)</f>
        <v>0</v>
      </c>
      <c r="T601" s="279">
        <f t="shared" si="824"/>
        <v>0</v>
      </c>
      <c r="U601" s="279">
        <f t="shared" si="824"/>
        <v>0</v>
      </c>
      <c r="V601" s="279">
        <f t="shared" si="824"/>
        <v>0</v>
      </c>
      <c r="W601" s="279">
        <f t="shared" si="824"/>
        <v>53228.82</v>
      </c>
      <c r="X601" s="279">
        <f t="shared" si="824"/>
        <v>0</v>
      </c>
      <c r="Y601" s="279">
        <f t="shared" si="824"/>
        <v>0</v>
      </c>
      <c r="Z601" s="279">
        <f t="shared" si="824"/>
        <v>0</v>
      </c>
      <c r="AA601" s="276">
        <f t="shared" si="815"/>
        <v>53228.82</v>
      </c>
      <c r="AB601" s="402">
        <f t="shared" si="655"/>
        <v>53228.82</v>
      </c>
      <c r="AC601" s="321">
        <f t="shared" si="673"/>
        <v>1</v>
      </c>
    </row>
    <row r="602" spans="1:29" ht="25.5" hidden="1" x14ac:dyDescent="0.2">
      <c r="A602" s="424"/>
      <c r="B602" s="323" t="s">
        <v>1870</v>
      </c>
      <c r="C602" s="206" t="s">
        <v>1871</v>
      </c>
      <c r="D602" s="277"/>
      <c r="E602" s="325">
        <f>SUM('ADICIONES  2021'!C602:N602)</f>
        <v>53228.82</v>
      </c>
      <c r="F602" s="277"/>
      <c r="G602" s="277"/>
      <c r="H602" s="277"/>
      <c r="I602" s="277"/>
      <c r="J602" s="277"/>
      <c r="K602" s="281">
        <f t="shared" si="650"/>
        <v>53228.82</v>
      </c>
      <c r="L602" s="277"/>
      <c r="M602" s="277"/>
      <c r="N602" s="277"/>
      <c r="O602" s="277"/>
      <c r="P602" s="277"/>
      <c r="Q602" s="277"/>
      <c r="R602" s="281">
        <f t="shared" si="773"/>
        <v>0</v>
      </c>
      <c r="S602" s="277"/>
      <c r="T602" s="277"/>
      <c r="U602" s="277"/>
      <c r="V602" s="277"/>
      <c r="W602" s="277">
        <v>53228.82</v>
      </c>
      <c r="X602" s="277"/>
      <c r="Y602" s="277"/>
      <c r="Z602" s="277"/>
      <c r="AA602" s="281">
        <f t="shared" si="815"/>
        <v>53228.82</v>
      </c>
      <c r="AB602" s="403">
        <f t="shared" si="655"/>
        <v>53228.82</v>
      </c>
      <c r="AC602" s="326">
        <f t="shared" si="673"/>
        <v>1</v>
      </c>
    </row>
    <row r="603" spans="1:29" s="61" customFormat="1" ht="38.25" hidden="1" x14ac:dyDescent="0.2">
      <c r="A603" s="425"/>
      <c r="B603" s="318" t="s">
        <v>1887</v>
      </c>
      <c r="C603" s="319" t="s">
        <v>1873</v>
      </c>
      <c r="D603" s="279">
        <f>SUM(D604)</f>
        <v>0</v>
      </c>
      <c r="E603" s="322">
        <f>SUM('ADICIONES  2021'!C603:N603)</f>
        <v>2883</v>
      </c>
      <c r="F603" s="279">
        <f t="shared" ref="F603:J603" si="825">SUM(F604)</f>
        <v>0</v>
      </c>
      <c r="G603" s="279">
        <f t="shared" si="825"/>
        <v>0</v>
      </c>
      <c r="H603" s="279">
        <f t="shared" si="825"/>
        <v>0</v>
      </c>
      <c r="I603" s="279">
        <f t="shared" si="825"/>
        <v>0</v>
      </c>
      <c r="J603" s="279">
        <f t="shared" si="825"/>
        <v>0</v>
      </c>
      <c r="K603" s="276">
        <f t="shared" si="650"/>
        <v>2883</v>
      </c>
      <c r="L603" s="279">
        <f t="shared" ref="L603:Q603" si="826">SUM(L604)</f>
        <v>0</v>
      </c>
      <c r="M603" s="279">
        <f t="shared" si="826"/>
        <v>0</v>
      </c>
      <c r="N603" s="279">
        <f t="shared" si="826"/>
        <v>0</v>
      </c>
      <c r="O603" s="279">
        <f t="shared" si="826"/>
        <v>0</v>
      </c>
      <c r="P603" s="279">
        <f t="shared" si="826"/>
        <v>0</v>
      </c>
      <c r="Q603" s="279">
        <f t="shared" si="826"/>
        <v>0</v>
      </c>
      <c r="R603" s="276">
        <f t="shared" si="773"/>
        <v>0</v>
      </c>
      <c r="S603" s="279">
        <f t="shared" ref="S603:Z603" si="827">SUM(S604)</f>
        <v>0</v>
      </c>
      <c r="T603" s="279">
        <f t="shared" si="827"/>
        <v>0</v>
      </c>
      <c r="U603" s="279">
        <f t="shared" si="827"/>
        <v>0</v>
      </c>
      <c r="V603" s="279">
        <f t="shared" si="827"/>
        <v>0</v>
      </c>
      <c r="W603" s="279">
        <f t="shared" si="827"/>
        <v>2883</v>
      </c>
      <c r="X603" s="279">
        <f t="shared" si="827"/>
        <v>0</v>
      </c>
      <c r="Y603" s="279">
        <f t="shared" si="827"/>
        <v>0</v>
      </c>
      <c r="Z603" s="279">
        <f t="shared" si="827"/>
        <v>0</v>
      </c>
      <c r="AA603" s="276">
        <f t="shared" si="815"/>
        <v>2883</v>
      </c>
      <c r="AB603" s="402">
        <f t="shared" si="655"/>
        <v>2883</v>
      </c>
      <c r="AC603" s="321">
        <f t="shared" si="673"/>
        <v>1</v>
      </c>
    </row>
    <row r="604" spans="1:29" ht="38.25" hidden="1" x14ac:dyDescent="0.2">
      <c r="A604" s="424"/>
      <c r="B604" s="323" t="s">
        <v>1872</v>
      </c>
      <c r="C604" s="206" t="s">
        <v>1873</v>
      </c>
      <c r="D604" s="277"/>
      <c r="E604" s="325">
        <f>SUM('ADICIONES  2021'!C604:N604)</f>
        <v>2883</v>
      </c>
      <c r="F604" s="277"/>
      <c r="G604" s="277"/>
      <c r="H604" s="277"/>
      <c r="I604" s="277"/>
      <c r="J604" s="277"/>
      <c r="K604" s="281">
        <f t="shared" si="650"/>
        <v>2883</v>
      </c>
      <c r="L604" s="277"/>
      <c r="M604" s="277"/>
      <c r="N604" s="277"/>
      <c r="O604" s="277"/>
      <c r="P604" s="277"/>
      <c r="Q604" s="277"/>
      <c r="R604" s="281">
        <f t="shared" si="773"/>
        <v>0</v>
      </c>
      <c r="S604" s="277"/>
      <c r="T604" s="277"/>
      <c r="U604" s="277"/>
      <c r="V604" s="277"/>
      <c r="W604" s="277">
        <v>2883</v>
      </c>
      <c r="X604" s="277"/>
      <c r="Y604" s="277"/>
      <c r="Z604" s="277"/>
      <c r="AA604" s="281">
        <f t="shared" si="815"/>
        <v>2883</v>
      </c>
      <c r="AB604" s="403">
        <f t="shared" si="655"/>
        <v>2883</v>
      </c>
      <c r="AC604" s="326">
        <f t="shared" si="673"/>
        <v>1</v>
      </c>
    </row>
    <row r="605" spans="1:29" s="19" customFormat="1" x14ac:dyDescent="0.2">
      <c r="A605" s="429">
        <v>1</v>
      </c>
      <c r="B605" s="323" t="s">
        <v>837</v>
      </c>
      <c r="C605" s="206" t="s">
        <v>838</v>
      </c>
      <c r="D605" s="283">
        <f>+D606+D609</f>
        <v>87617897000</v>
      </c>
      <c r="E605" s="322">
        <f>SUM('ADICIONES  2021'!C605:N605)</f>
        <v>0</v>
      </c>
      <c r="F605" s="275">
        <f t="shared" ref="F605:J605" si="828">+F606+F609</f>
        <v>0</v>
      </c>
      <c r="G605" s="275">
        <f t="shared" si="828"/>
        <v>0</v>
      </c>
      <c r="H605" s="275">
        <f t="shared" si="828"/>
        <v>0</v>
      </c>
      <c r="I605" s="275">
        <f t="shared" si="828"/>
        <v>0</v>
      </c>
      <c r="J605" s="275">
        <f t="shared" si="828"/>
        <v>0</v>
      </c>
      <c r="K605" s="281">
        <f t="shared" si="650"/>
        <v>87617897000</v>
      </c>
      <c r="L605" s="275">
        <f t="shared" ref="L605:Q605" si="829">+L606+L609</f>
        <v>0</v>
      </c>
      <c r="M605" s="275">
        <f t="shared" si="829"/>
        <v>0</v>
      </c>
      <c r="N605" s="275">
        <f t="shared" si="829"/>
        <v>0</v>
      </c>
      <c r="O605" s="275">
        <f t="shared" si="829"/>
        <v>0</v>
      </c>
      <c r="P605" s="275">
        <f t="shared" si="829"/>
        <v>0</v>
      </c>
      <c r="Q605" s="275">
        <f t="shared" si="829"/>
        <v>0</v>
      </c>
      <c r="R605" s="281">
        <f t="shared" si="653"/>
        <v>0</v>
      </c>
      <c r="S605" s="278">
        <f t="shared" ref="S605:Z605" si="830">+S606+S609</f>
        <v>0</v>
      </c>
      <c r="T605" s="278">
        <f t="shared" si="830"/>
        <v>0</v>
      </c>
      <c r="U605" s="278">
        <f t="shared" si="830"/>
        <v>24459095082.849998</v>
      </c>
      <c r="V605" s="278">
        <f t="shared" si="830"/>
        <v>0</v>
      </c>
      <c r="W605" s="278">
        <f t="shared" si="830"/>
        <v>13528682000</v>
      </c>
      <c r="X605" s="278">
        <f t="shared" si="830"/>
        <v>40754426958</v>
      </c>
      <c r="Y605" s="278">
        <f t="shared" si="830"/>
        <v>0</v>
      </c>
      <c r="Z605" s="275">
        <f t="shared" si="830"/>
        <v>0</v>
      </c>
      <c r="AA605" s="276">
        <f t="shared" si="600"/>
        <v>78742204040.850006</v>
      </c>
      <c r="AB605" s="403">
        <f t="shared" si="655"/>
        <v>78742204040.850006</v>
      </c>
      <c r="AC605" s="326">
        <f t="shared" si="673"/>
        <v>0.89870000007932171</v>
      </c>
    </row>
    <row r="606" spans="1:29" s="61" customFormat="1" ht="38.25" hidden="1" x14ac:dyDescent="0.2">
      <c r="A606" s="425"/>
      <c r="B606" s="318" t="s">
        <v>839</v>
      </c>
      <c r="C606" s="319" t="s">
        <v>840</v>
      </c>
      <c r="D606" s="283">
        <f>SUM(D607:D608)</f>
        <v>33000000000</v>
      </c>
      <c r="E606" s="322">
        <f>SUM('ADICIONES  2021'!C606:N606)</f>
        <v>0</v>
      </c>
      <c r="F606" s="275">
        <f t="shared" ref="F606:J606" si="831">SUM(F607:F608)</f>
        <v>0</v>
      </c>
      <c r="G606" s="275">
        <f t="shared" si="831"/>
        <v>0</v>
      </c>
      <c r="H606" s="275">
        <f t="shared" si="831"/>
        <v>0</v>
      </c>
      <c r="I606" s="275">
        <f t="shared" si="831"/>
        <v>0</v>
      </c>
      <c r="J606" s="275">
        <f t="shared" si="831"/>
        <v>0</v>
      </c>
      <c r="K606" s="276">
        <f t="shared" si="650"/>
        <v>33000000000</v>
      </c>
      <c r="L606" s="275">
        <f t="shared" ref="L606:Q606" si="832">SUM(L607:L608)</f>
        <v>0</v>
      </c>
      <c r="M606" s="275">
        <f t="shared" si="832"/>
        <v>0</v>
      </c>
      <c r="N606" s="275">
        <f t="shared" si="832"/>
        <v>0</v>
      </c>
      <c r="O606" s="275">
        <f t="shared" si="832"/>
        <v>0</v>
      </c>
      <c r="P606" s="275">
        <f t="shared" si="832"/>
        <v>0</v>
      </c>
      <c r="Q606" s="275">
        <f t="shared" si="832"/>
        <v>0</v>
      </c>
      <c r="R606" s="276">
        <f t="shared" si="653"/>
        <v>0</v>
      </c>
      <c r="S606" s="275">
        <f t="shared" ref="S606:Z606" si="833">SUM(S607:S608)</f>
        <v>0</v>
      </c>
      <c r="T606" s="275">
        <f t="shared" si="833"/>
        <v>0</v>
      </c>
      <c r="U606" s="275">
        <f t="shared" si="833"/>
        <v>0</v>
      </c>
      <c r="V606" s="275">
        <f t="shared" si="833"/>
        <v>0</v>
      </c>
      <c r="W606" s="275">
        <f t="shared" si="833"/>
        <v>13528682000</v>
      </c>
      <c r="X606" s="275">
        <f t="shared" si="833"/>
        <v>0</v>
      </c>
      <c r="Y606" s="275">
        <f t="shared" si="833"/>
        <v>0</v>
      </c>
      <c r="Z606" s="275">
        <f t="shared" si="833"/>
        <v>0</v>
      </c>
      <c r="AA606" s="276">
        <f t="shared" si="600"/>
        <v>13528682000</v>
      </c>
      <c r="AB606" s="402">
        <f t="shared" si="655"/>
        <v>13528682000</v>
      </c>
      <c r="AC606" s="321">
        <f t="shared" si="673"/>
        <v>0.40996006060606061</v>
      </c>
    </row>
    <row r="607" spans="1:29" ht="25.5" hidden="1" x14ac:dyDescent="0.2">
      <c r="A607" s="424"/>
      <c r="B607" s="323" t="s">
        <v>841</v>
      </c>
      <c r="C607" s="206" t="s">
        <v>842</v>
      </c>
      <c r="D607" s="328">
        <v>30000000000</v>
      </c>
      <c r="E607" s="325">
        <f>SUM('ADICIONES  2021'!C607:N607)</f>
        <v>0</v>
      </c>
      <c r="F607" s="277"/>
      <c r="G607" s="277"/>
      <c r="H607" s="277"/>
      <c r="I607" s="277"/>
      <c r="J607" s="277"/>
      <c r="K607" s="281">
        <f t="shared" ref="K607:K816" si="834">+D607+E607-F607+G607-H607</f>
        <v>30000000000</v>
      </c>
      <c r="L607" s="277"/>
      <c r="M607" s="277"/>
      <c r="N607" s="277"/>
      <c r="O607" s="277"/>
      <c r="P607" s="277"/>
      <c r="Q607" s="277"/>
      <c r="R607" s="281">
        <f t="shared" si="653"/>
        <v>0</v>
      </c>
      <c r="S607" s="277"/>
      <c r="T607" s="277"/>
      <c r="U607" s="277"/>
      <c r="V607" s="277"/>
      <c r="W607" s="277">
        <v>13528682000</v>
      </c>
      <c r="X607" s="277"/>
      <c r="Y607" s="277"/>
      <c r="Z607" s="277"/>
      <c r="AA607" s="281">
        <f t="shared" ref="AA607:AA677" si="835">SUM(S607:Z607)</f>
        <v>13528682000</v>
      </c>
      <c r="AB607" s="403">
        <f t="shared" si="655"/>
        <v>13528682000</v>
      </c>
      <c r="AC607" s="326">
        <f t="shared" si="673"/>
        <v>0.45095606666666666</v>
      </c>
    </row>
    <row r="608" spans="1:29" ht="25.5" hidden="1" x14ac:dyDescent="0.2">
      <c r="A608" s="424"/>
      <c r="B608" s="323" t="s">
        <v>843</v>
      </c>
      <c r="C608" s="206" t="s">
        <v>844</v>
      </c>
      <c r="D608" s="328">
        <v>3000000000</v>
      </c>
      <c r="E608" s="325">
        <f>SUM('ADICIONES  2021'!C608:N608)</f>
        <v>0</v>
      </c>
      <c r="F608" s="281"/>
      <c r="G608" s="281"/>
      <c r="H608" s="281"/>
      <c r="I608" s="281"/>
      <c r="J608" s="281"/>
      <c r="K608" s="281">
        <f t="shared" si="834"/>
        <v>3000000000</v>
      </c>
      <c r="L608" s="281"/>
      <c r="M608" s="281"/>
      <c r="N608" s="281"/>
      <c r="O608" s="281"/>
      <c r="P608" s="281"/>
      <c r="Q608" s="281"/>
      <c r="R608" s="281">
        <f t="shared" si="653"/>
        <v>0</v>
      </c>
      <c r="S608" s="281"/>
      <c r="T608" s="281"/>
      <c r="U608" s="281"/>
      <c r="V608" s="281"/>
      <c r="W608" s="281"/>
      <c r="X608" s="281"/>
      <c r="Y608" s="281"/>
      <c r="Z608" s="281"/>
      <c r="AA608" s="281">
        <f t="shared" si="835"/>
        <v>0</v>
      </c>
      <c r="AB608" s="403">
        <f t="shared" si="655"/>
        <v>0</v>
      </c>
      <c r="AC608" s="326">
        <v>0</v>
      </c>
    </row>
    <row r="609" spans="1:29" s="61" customFormat="1" ht="38.25" hidden="1" x14ac:dyDescent="0.2">
      <c r="A609" s="425"/>
      <c r="B609" s="318" t="s">
        <v>845</v>
      </c>
      <c r="C609" s="319" t="s">
        <v>846</v>
      </c>
      <c r="D609" s="283">
        <f>+D610</f>
        <v>54617897000</v>
      </c>
      <c r="E609" s="322">
        <f>SUM('ADICIONES  2021'!C609:N609)</f>
        <v>0</v>
      </c>
      <c r="F609" s="275">
        <f t="shared" ref="F609:J609" si="836">+F610</f>
        <v>0</v>
      </c>
      <c r="G609" s="275">
        <f t="shared" si="836"/>
        <v>0</v>
      </c>
      <c r="H609" s="275">
        <f t="shared" si="836"/>
        <v>0</v>
      </c>
      <c r="I609" s="275">
        <f t="shared" si="836"/>
        <v>0</v>
      </c>
      <c r="J609" s="275">
        <f t="shared" si="836"/>
        <v>0</v>
      </c>
      <c r="K609" s="276">
        <f t="shared" si="834"/>
        <v>54617897000</v>
      </c>
      <c r="L609" s="275">
        <f t="shared" ref="L609:Q609" si="837">+L610</f>
        <v>0</v>
      </c>
      <c r="M609" s="275">
        <f t="shared" si="837"/>
        <v>0</v>
      </c>
      <c r="N609" s="275">
        <f t="shared" si="837"/>
        <v>0</v>
      </c>
      <c r="O609" s="275">
        <f t="shared" si="837"/>
        <v>0</v>
      </c>
      <c r="P609" s="275">
        <f t="shared" si="837"/>
        <v>0</v>
      </c>
      <c r="Q609" s="275">
        <f t="shared" si="837"/>
        <v>0</v>
      </c>
      <c r="R609" s="276">
        <f t="shared" si="653"/>
        <v>0</v>
      </c>
      <c r="S609" s="275">
        <f t="shared" ref="S609:Z609" si="838">+S610</f>
        <v>0</v>
      </c>
      <c r="T609" s="275">
        <f t="shared" si="838"/>
        <v>0</v>
      </c>
      <c r="U609" s="275">
        <f t="shared" si="838"/>
        <v>24459095082.849998</v>
      </c>
      <c r="V609" s="275">
        <f t="shared" si="838"/>
        <v>0</v>
      </c>
      <c r="W609" s="275">
        <f t="shared" si="838"/>
        <v>0</v>
      </c>
      <c r="X609" s="275">
        <f t="shared" si="838"/>
        <v>40754426958</v>
      </c>
      <c r="Y609" s="275">
        <f t="shared" si="838"/>
        <v>0</v>
      </c>
      <c r="Z609" s="275">
        <f t="shared" si="838"/>
        <v>0</v>
      </c>
      <c r="AA609" s="276">
        <f t="shared" si="835"/>
        <v>65213522040.849998</v>
      </c>
      <c r="AB609" s="402">
        <f t="shared" ref="AB609:AB816" si="839">+R609+AA609</f>
        <v>65213522040.849998</v>
      </c>
      <c r="AC609" s="321">
        <v>0</v>
      </c>
    </row>
    <row r="610" spans="1:29" ht="14.25" hidden="1" x14ac:dyDescent="0.2">
      <c r="A610" s="424"/>
      <c r="B610" s="323" t="s">
        <v>847</v>
      </c>
      <c r="C610" s="206" t="s">
        <v>848</v>
      </c>
      <c r="D610" s="332">
        <v>54617897000</v>
      </c>
      <c r="E610" s="325">
        <f>SUM('ADICIONES  2021'!C610:N610)</f>
        <v>0</v>
      </c>
      <c r="F610" s="277"/>
      <c r="G610" s="277"/>
      <c r="H610" s="277"/>
      <c r="I610" s="277"/>
      <c r="J610" s="277"/>
      <c r="K610" s="281">
        <f t="shared" si="834"/>
        <v>54617897000</v>
      </c>
      <c r="L610" s="277"/>
      <c r="M610" s="277"/>
      <c r="N610" s="277"/>
      <c r="O610" s="277"/>
      <c r="P610" s="277"/>
      <c r="Q610" s="277"/>
      <c r="R610" s="281">
        <f t="shared" si="653"/>
        <v>0</v>
      </c>
      <c r="S610" s="277"/>
      <c r="T610" s="277"/>
      <c r="U610" s="277">
        <v>24459095082.849998</v>
      </c>
      <c r="V610" s="277"/>
      <c r="W610" s="277"/>
      <c r="X610" s="277">
        <v>40754426958</v>
      </c>
      <c r="Y610" s="277"/>
      <c r="Z610" s="277"/>
      <c r="AA610" s="281">
        <f t="shared" si="835"/>
        <v>65213522040.849998</v>
      </c>
      <c r="AB610" s="403">
        <f t="shared" si="839"/>
        <v>65213522040.849998</v>
      </c>
      <c r="AC610" s="326">
        <f t="shared" si="673"/>
        <v>1.1939954780911832</v>
      </c>
    </row>
    <row r="611" spans="1:29" s="19" customFormat="1" x14ac:dyDescent="0.2">
      <c r="A611" s="429">
        <v>1</v>
      </c>
      <c r="B611" s="323" t="s">
        <v>849</v>
      </c>
      <c r="C611" s="206" t="s">
        <v>850</v>
      </c>
      <c r="D611" s="283">
        <f>+D612</f>
        <v>0</v>
      </c>
      <c r="E611" s="322">
        <f>SUM('ADICIONES  2021'!C611:N611)</f>
        <v>12104278467.360001</v>
      </c>
      <c r="F611" s="283">
        <f t="shared" ref="F611:J611" si="840">+F612</f>
        <v>0</v>
      </c>
      <c r="G611" s="283">
        <f t="shared" si="840"/>
        <v>0</v>
      </c>
      <c r="H611" s="283">
        <f t="shared" si="840"/>
        <v>0</v>
      </c>
      <c r="I611" s="283">
        <f t="shared" si="840"/>
        <v>0</v>
      </c>
      <c r="J611" s="283">
        <f t="shared" si="840"/>
        <v>0</v>
      </c>
      <c r="K611" s="281">
        <f t="shared" si="834"/>
        <v>12104278467.360001</v>
      </c>
      <c r="L611" s="283">
        <f t="shared" ref="L611:Q611" si="841">+L612</f>
        <v>0</v>
      </c>
      <c r="M611" s="283">
        <f t="shared" si="841"/>
        <v>1918229.27</v>
      </c>
      <c r="N611" s="283">
        <f t="shared" si="841"/>
        <v>7687727647.8199997</v>
      </c>
      <c r="O611" s="283">
        <f t="shared" si="841"/>
        <v>444797404.14999992</v>
      </c>
      <c r="P611" s="283">
        <f t="shared" si="841"/>
        <v>1029998416.52</v>
      </c>
      <c r="Q611" s="283">
        <f t="shared" si="841"/>
        <v>29323357.130000003</v>
      </c>
      <c r="R611" s="281">
        <f>SUM(L611:Q611)</f>
        <v>9193765054.8899994</v>
      </c>
      <c r="S611" s="328">
        <f t="shared" ref="S611:Z611" si="842">+S612</f>
        <v>135777600.78999999</v>
      </c>
      <c r="T611" s="328">
        <f t="shared" si="842"/>
        <v>296300430.87</v>
      </c>
      <c r="U611" s="328">
        <f t="shared" si="842"/>
        <v>2008884259.5700002</v>
      </c>
      <c r="V611" s="328">
        <f t="shared" si="842"/>
        <v>15863625.25</v>
      </c>
      <c r="W611" s="328">
        <f t="shared" si="842"/>
        <v>3522185097.6900001</v>
      </c>
      <c r="X611" s="328">
        <f t="shared" si="842"/>
        <v>53299311.880000114</v>
      </c>
      <c r="Y611" s="328">
        <f t="shared" si="842"/>
        <v>0</v>
      </c>
      <c r="Z611" s="283">
        <f t="shared" si="842"/>
        <v>0</v>
      </c>
      <c r="AA611" s="276">
        <f t="shared" si="835"/>
        <v>6032310326.0500002</v>
      </c>
      <c r="AB611" s="403">
        <f t="shared" si="839"/>
        <v>15226075380.939999</v>
      </c>
      <c r="AC611" s="326">
        <v>0</v>
      </c>
    </row>
    <row r="612" spans="1:29" s="61" customFormat="1" ht="15.75" hidden="1" x14ac:dyDescent="0.2">
      <c r="A612" s="425"/>
      <c r="B612" s="318" t="s">
        <v>851</v>
      </c>
      <c r="C612" s="319" t="s">
        <v>852</v>
      </c>
      <c r="D612" s="283">
        <f>+D613+D614+D617+D637+D638+D639+D640+D641+D643+D644+D645+D646+D647+D648+D649+D650+D651+D652+D653+D654+D655+D658+D659+D660+D662+D663+D665+D666+D667+D668+D669+D670+D671+D672+D673+D674+D675+D676+D677+D679+D680+D681+D682+D683+D684+D685+D687+D688+D689+D690+D691+D692+D693+D694+D695+D642+D664+D615+D616+D656+D657+D661+D678+D686</f>
        <v>0</v>
      </c>
      <c r="E612" s="322">
        <f>SUM('ADICIONES  2021'!C612:N612)</f>
        <v>12104278467.360001</v>
      </c>
      <c r="F612" s="283">
        <f t="shared" ref="F612:J612" si="843">+F613+F614+F617+F637+F638+F639+F640+F641+F643+F644+F645+F646+F647+F648+F649+F650+F651+F652+F653+F654+F655+F658+F659+F660+F662+F663+F665+F666+F667+F668+F669+F670+F671+F672+F673+F674+F675+F676+F677+F679+F680+F681+F682+F683+F684+F685+F687+F688+F689+F690+F691+F692+F693+F694+F695+F642+F664+F615+F616+F656+F657+F661+F678+F686</f>
        <v>0</v>
      </c>
      <c r="G612" s="283">
        <f t="shared" si="843"/>
        <v>0</v>
      </c>
      <c r="H612" s="283">
        <f t="shared" si="843"/>
        <v>0</v>
      </c>
      <c r="I612" s="283">
        <f t="shared" si="843"/>
        <v>0</v>
      </c>
      <c r="J612" s="283">
        <f t="shared" si="843"/>
        <v>0</v>
      </c>
      <c r="K612" s="276">
        <f t="shared" si="834"/>
        <v>12104278467.360001</v>
      </c>
      <c r="L612" s="283">
        <f t="shared" ref="L612:Q612" si="844">+L613+L614+L617+L637+L638+L639+L640+L641+L643+L644+L645+L646+L647+L648+L649+L650+L651+L652+L653+L654+L655+L658+L659+L660+L662+L663+L665+L666+L667+L668+L669+L670+L671+L672+L673+L674+L675+L676+L677+L679+L680+L681+L682+L683+L684+L685+L687+L688+L689+L690+L691+L692+L693+L694+L695+L642+L664+L615+L616+L656+L657+L661+L678+L686</f>
        <v>0</v>
      </c>
      <c r="M612" s="283">
        <f t="shared" si="844"/>
        <v>1918229.27</v>
      </c>
      <c r="N612" s="283">
        <f t="shared" si="844"/>
        <v>7687727647.8199997</v>
      </c>
      <c r="O612" s="283">
        <f t="shared" si="844"/>
        <v>444797404.14999992</v>
      </c>
      <c r="P612" s="283">
        <f t="shared" si="844"/>
        <v>1029998416.52</v>
      </c>
      <c r="Q612" s="283">
        <f t="shared" si="844"/>
        <v>29323357.130000003</v>
      </c>
      <c r="R612" s="276">
        <f>SUM(L612:Q612)</f>
        <v>9193765054.8899994</v>
      </c>
      <c r="S612" s="283">
        <f t="shared" ref="S612:Z612" si="845">+S613+S614+S617+S637+S638+S639+S640+S641+S643+S644+S645+S646+S647+S648+S649+S650+S651+S652+S653+S654+S655+S658+S659+S660+S662+S663+S665+S666+S667+S668+S669+S670+S671+S672+S673+S674+S675+S676+S677+S679+S680+S681+S682+S683+S684+S685+S687+S688+S689+S690+S691+S692+S693+S694+S695+S642+S664+S615+S616+S656+S657+S661+S678+S686</f>
        <v>135777600.78999999</v>
      </c>
      <c r="T612" s="283">
        <f t="shared" si="845"/>
        <v>296300430.87</v>
      </c>
      <c r="U612" s="283">
        <f t="shared" si="845"/>
        <v>2008884259.5700002</v>
      </c>
      <c r="V612" s="283">
        <f t="shared" si="845"/>
        <v>15863625.25</v>
      </c>
      <c r="W612" s="283">
        <f t="shared" si="845"/>
        <v>3522185097.6900001</v>
      </c>
      <c r="X612" s="283">
        <f t="shared" si="845"/>
        <v>53299311.880000114</v>
      </c>
      <c r="Y612" s="283">
        <f t="shared" si="845"/>
        <v>0</v>
      </c>
      <c r="Z612" s="283">
        <f t="shared" si="845"/>
        <v>0</v>
      </c>
      <c r="AA612" s="276">
        <f t="shared" si="835"/>
        <v>6032310326.0500002</v>
      </c>
      <c r="AB612" s="402">
        <f t="shared" si="839"/>
        <v>15226075380.939999</v>
      </c>
      <c r="AC612" s="321">
        <v>0</v>
      </c>
    </row>
    <row r="613" spans="1:29" ht="14.25" hidden="1" x14ac:dyDescent="0.2">
      <c r="A613" s="424"/>
      <c r="B613" s="323" t="s">
        <v>853</v>
      </c>
      <c r="C613" s="206" t="s">
        <v>284</v>
      </c>
      <c r="D613" s="332"/>
      <c r="E613" s="325">
        <f>SUM('ADICIONES  2021'!C613:N613)</f>
        <v>0</v>
      </c>
      <c r="F613" s="281"/>
      <c r="G613" s="281"/>
      <c r="H613" s="281"/>
      <c r="I613" s="281"/>
      <c r="J613" s="281"/>
      <c r="K613" s="281">
        <f t="shared" si="834"/>
        <v>0</v>
      </c>
      <c r="L613" s="281"/>
      <c r="M613" s="281"/>
      <c r="N613" s="281">
        <v>0</v>
      </c>
      <c r="O613" s="281">
        <v>0</v>
      </c>
      <c r="P613" s="281"/>
      <c r="Q613" s="281"/>
      <c r="R613" s="281">
        <f t="shared" si="653"/>
        <v>0</v>
      </c>
      <c r="S613" s="281">
        <v>0</v>
      </c>
      <c r="T613" s="281"/>
      <c r="U613" s="281">
        <v>0</v>
      </c>
      <c r="V613" s="281"/>
      <c r="W613" s="281"/>
      <c r="X613" s="281">
        <v>0</v>
      </c>
      <c r="Y613" s="281"/>
      <c r="Z613" s="281"/>
      <c r="AA613" s="281">
        <f t="shared" si="835"/>
        <v>0</v>
      </c>
      <c r="AB613" s="403">
        <f t="shared" si="839"/>
        <v>0</v>
      </c>
      <c r="AC613" s="326" t="e">
        <f t="shared" si="673"/>
        <v>#DIV/0!</v>
      </c>
    </row>
    <row r="614" spans="1:29" ht="14.25" hidden="1" x14ac:dyDescent="0.2">
      <c r="A614" s="424"/>
      <c r="B614" s="323" t="s">
        <v>854</v>
      </c>
      <c r="C614" s="206" t="s">
        <v>285</v>
      </c>
      <c r="D614" s="332"/>
      <c r="E614" s="325">
        <f>SUM('ADICIONES  2021'!C614:N614)</f>
        <v>0</v>
      </c>
      <c r="F614" s="281"/>
      <c r="G614" s="281"/>
      <c r="H614" s="281"/>
      <c r="I614" s="281"/>
      <c r="J614" s="281"/>
      <c r="K614" s="281">
        <f t="shared" si="834"/>
        <v>0</v>
      </c>
      <c r="L614" s="281"/>
      <c r="M614" s="281"/>
      <c r="N614" s="281">
        <v>768917292</v>
      </c>
      <c r="O614" s="281">
        <v>437763467.76999998</v>
      </c>
      <c r="P614" s="281"/>
      <c r="Q614" s="281"/>
      <c r="R614" s="281">
        <f t="shared" si="653"/>
        <v>1206680759.77</v>
      </c>
      <c r="S614" s="281">
        <v>12664945.039999999</v>
      </c>
      <c r="T614" s="281">
        <v>75421961.400000006</v>
      </c>
      <c r="U614" s="281">
        <v>7184674.1200000001</v>
      </c>
      <c r="V614" s="281"/>
      <c r="W614" s="281"/>
      <c r="X614" s="281">
        <v>-1267936017.3299999</v>
      </c>
      <c r="Y614" s="281"/>
      <c r="Z614" s="281"/>
      <c r="AA614" s="281">
        <f t="shared" si="835"/>
        <v>-1172664436.77</v>
      </c>
      <c r="AB614" s="403">
        <f t="shared" si="839"/>
        <v>34016323</v>
      </c>
      <c r="AC614" s="326">
        <v>0</v>
      </c>
    </row>
    <row r="615" spans="1:29" ht="14.25" hidden="1" x14ac:dyDescent="0.2">
      <c r="A615" s="424"/>
      <c r="B615" s="323" t="s">
        <v>854</v>
      </c>
      <c r="C615" s="206" t="s">
        <v>285</v>
      </c>
      <c r="D615" s="332"/>
      <c r="E615" s="325">
        <f>SUM('ADICIONES  2021'!C615:N615)</f>
        <v>427564239.73000002</v>
      </c>
      <c r="F615" s="281"/>
      <c r="G615" s="281"/>
      <c r="H615" s="281"/>
      <c r="I615" s="281"/>
      <c r="J615" s="281"/>
      <c r="K615" s="281">
        <f t="shared" si="834"/>
        <v>427564239.73000002</v>
      </c>
      <c r="L615" s="281"/>
      <c r="M615" s="281"/>
      <c r="N615" s="281"/>
      <c r="O615" s="281"/>
      <c r="P615" s="281"/>
      <c r="Q615" s="281"/>
      <c r="R615" s="281">
        <f t="shared" si="653"/>
        <v>0</v>
      </c>
      <c r="S615" s="281">
        <v>0</v>
      </c>
      <c r="T615" s="281"/>
      <c r="U615" s="281">
        <v>0</v>
      </c>
      <c r="V615" s="281"/>
      <c r="W615" s="281"/>
      <c r="X615" s="281">
        <v>427564239.73000002</v>
      </c>
      <c r="Y615" s="281"/>
      <c r="Z615" s="281"/>
      <c r="AA615" s="281">
        <f t="shared" si="835"/>
        <v>427564239.73000002</v>
      </c>
      <c r="AB615" s="403">
        <f t="shared" si="839"/>
        <v>427564239.73000002</v>
      </c>
      <c r="AC615" s="326">
        <f t="shared" ref="AC615:AC616" si="846">+AB615/K615</f>
        <v>1</v>
      </c>
    </row>
    <row r="616" spans="1:29" ht="14.25" hidden="1" x14ac:dyDescent="0.2">
      <c r="A616" s="424"/>
      <c r="B616" s="323" t="s">
        <v>854</v>
      </c>
      <c r="C616" s="206" t="s">
        <v>285</v>
      </c>
      <c r="D616" s="332"/>
      <c r="E616" s="325">
        <f>SUM('ADICIONES  2021'!C616:N616)</f>
        <v>777263256</v>
      </c>
      <c r="F616" s="281"/>
      <c r="G616" s="281"/>
      <c r="H616" s="281"/>
      <c r="I616" s="281"/>
      <c r="J616" s="281"/>
      <c r="K616" s="281">
        <f t="shared" si="834"/>
        <v>777263256</v>
      </c>
      <c r="L616" s="281"/>
      <c r="M616" s="281"/>
      <c r="N616" s="281"/>
      <c r="O616" s="281"/>
      <c r="P616" s="281"/>
      <c r="Q616" s="281"/>
      <c r="R616" s="281">
        <f t="shared" si="653"/>
        <v>0</v>
      </c>
      <c r="S616" s="281"/>
      <c r="T616" s="281"/>
      <c r="U616" s="281">
        <v>0</v>
      </c>
      <c r="V616" s="281"/>
      <c r="W616" s="281"/>
      <c r="X616" s="281">
        <v>881751892.97000003</v>
      </c>
      <c r="Y616" s="281"/>
      <c r="Z616" s="281"/>
      <c r="AA616" s="281">
        <f t="shared" si="835"/>
        <v>881751892.97000003</v>
      </c>
      <c r="AB616" s="403">
        <f t="shared" si="839"/>
        <v>881751892.97000003</v>
      </c>
      <c r="AC616" s="326">
        <f t="shared" si="846"/>
        <v>1.1344314634242791</v>
      </c>
    </row>
    <row r="617" spans="1:29" s="61" customFormat="1" ht="15.75" hidden="1" x14ac:dyDescent="0.2">
      <c r="A617" s="425"/>
      <c r="B617" s="318" t="s">
        <v>855</v>
      </c>
      <c r="C617" s="319" t="s">
        <v>856</v>
      </c>
      <c r="D617" s="283">
        <f>+D618+D621+D623+D625+D627+D630+D632</f>
        <v>0</v>
      </c>
      <c r="E617" s="322">
        <f>SUM('ADICIONES  2021'!C617:N617)</f>
        <v>5104099797.3099995</v>
      </c>
      <c r="F617" s="275">
        <f t="shared" ref="F617:J617" si="847">+F618+F621+F623+F625+F627+F630+F632</f>
        <v>0</v>
      </c>
      <c r="G617" s="275">
        <f t="shared" si="847"/>
        <v>0</v>
      </c>
      <c r="H617" s="275">
        <f t="shared" si="847"/>
        <v>0</v>
      </c>
      <c r="I617" s="275">
        <f t="shared" si="847"/>
        <v>0</v>
      </c>
      <c r="J617" s="275">
        <f t="shared" si="847"/>
        <v>0</v>
      </c>
      <c r="K617" s="276">
        <f t="shared" si="834"/>
        <v>5104099797.3099995</v>
      </c>
      <c r="L617" s="275">
        <f t="shared" ref="L617:Q617" si="848">+L618+L621+L623+L625+L627+L630+L632</f>
        <v>0</v>
      </c>
      <c r="M617" s="275">
        <f t="shared" si="848"/>
        <v>1705.27</v>
      </c>
      <c r="N617" s="275">
        <f t="shared" si="848"/>
        <v>4599999256.04</v>
      </c>
      <c r="O617" s="275">
        <f t="shared" si="848"/>
        <v>4882325</v>
      </c>
      <c r="P617" s="275">
        <f t="shared" si="848"/>
        <v>776957799.90999997</v>
      </c>
      <c r="Q617" s="275">
        <f t="shared" si="848"/>
        <v>0</v>
      </c>
      <c r="R617" s="276">
        <f t="shared" si="653"/>
        <v>5381841086.2200003</v>
      </c>
      <c r="S617" s="275">
        <f t="shared" ref="S617:Z617" si="849">+S618+S621+S623+S625+S627+S630+S632</f>
        <v>84399477.319999993</v>
      </c>
      <c r="T617" s="275">
        <f t="shared" si="849"/>
        <v>103467120.56999999</v>
      </c>
      <c r="U617" s="275">
        <f t="shared" si="849"/>
        <v>45953295.439999998</v>
      </c>
      <c r="V617" s="275">
        <f t="shared" si="849"/>
        <v>0</v>
      </c>
      <c r="W617" s="275">
        <f t="shared" si="849"/>
        <v>102869838.34</v>
      </c>
      <c r="X617" s="275">
        <f t="shared" si="849"/>
        <v>0</v>
      </c>
      <c r="Y617" s="275">
        <f t="shared" si="849"/>
        <v>0</v>
      </c>
      <c r="Z617" s="275">
        <f t="shared" si="849"/>
        <v>0</v>
      </c>
      <c r="AA617" s="276">
        <f t="shared" si="835"/>
        <v>336689731.66999996</v>
      </c>
      <c r="AB617" s="402">
        <f t="shared" si="839"/>
        <v>5718530817.8900003</v>
      </c>
      <c r="AC617" s="321">
        <v>0</v>
      </c>
    </row>
    <row r="618" spans="1:29" s="61" customFormat="1" ht="15.75" hidden="1" x14ac:dyDescent="0.2">
      <c r="A618" s="425"/>
      <c r="B618" s="318" t="s">
        <v>857</v>
      </c>
      <c r="C618" s="319" t="s">
        <v>286</v>
      </c>
      <c r="D618" s="283">
        <f>SUM(D619:D620)</f>
        <v>0</v>
      </c>
      <c r="E618" s="322">
        <f>SUM('ADICIONES  2021'!C618:N618)</f>
        <v>861358292</v>
      </c>
      <c r="F618" s="283">
        <f t="shared" ref="F618:J618" si="850">SUM(F619:F620)</f>
        <v>0</v>
      </c>
      <c r="G618" s="283">
        <f t="shared" si="850"/>
        <v>0</v>
      </c>
      <c r="H618" s="283">
        <f t="shared" si="850"/>
        <v>0</v>
      </c>
      <c r="I618" s="283">
        <f t="shared" si="850"/>
        <v>0</v>
      </c>
      <c r="J618" s="283">
        <f t="shared" si="850"/>
        <v>0</v>
      </c>
      <c r="K618" s="276">
        <f t="shared" si="834"/>
        <v>861358292</v>
      </c>
      <c r="L618" s="283">
        <f t="shared" ref="L618:Q618" si="851">SUM(L619:L620)</f>
        <v>0</v>
      </c>
      <c r="M618" s="283">
        <f t="shared" si="851"/>
        <v>1705.27</v>
      </c>
      <c r="N618" s="283">
        <f t="shared" si="851"/>
        <v>0</v>
      </c>
      <c r="O618" s="283">
        <f t="shared" si="851"/>
        <v>0</v>
      </c>
      <c r="P618" s="283">
        <f t="shared" si="851"/>
        <v>776957799.90999997</v>
      </c>
      <c r="Q618" s="283">
        <f t="shared" si="851"/>
        <v>0</v>
      </c>
      <c r="R618" s="276">
        <f t="shared" si="653"/>
        <v>776959505.17999995</v>
      </c>
      <c r="S618" s="283">
        <f t="shared" ref="S618:Y618" si="852">SUM(S619:S620)</f>
        <v>84398787.319999993</v>
      </c>
      <c r="T618" s="283">
        <f t="shared" si="852"/>
        <v>0</v>
      </c>
      <c r="U618" s="283">
        <f t="shared" si="852"/>
        <v>45876842.18</v>
      </c>
      <c r="V618" s="283">
        <f t="shared" si="852"/>
        <v>0</v>
      </c>
      <c r="W618" s="283">
        <f t="shared" si="852"/>
        <v>25436852.870000005</v>
      </c>
      <c r="X618" s="283">
        <f t="shared" si="852"/>
        <v>0</v>
      </c>
      <c r="Y618" s="283">
        <f t="shared" si="852"/>
        <v>0</v>
      </c>
      <c r="Z618" s="283">
        <f>SUM(Z619:Z620)</f>
        <v>0</v>
      </c>
      <c r="AA618" s="276">
        <f t="shared" si="835"/>
        <v>155712482.37</v>
      </c>
      <c r="AB618" s="402">
        <f t="shared" si="839"/>
        <v>932671987.54999995</v>
      </c>
      <c r="AC618" s="326">
        <v>0</v>
      </c>
    </row>
    <row r="619" spans="1:29" ht="14.25" hidden="1" x14ac:dyDescent="0.2">
      <c r="A619" s="424"/>
      <c r="B619" s="323" t="s">
        <v>858</v>
      </c>
      <c r="C619" s="206" t="s">
        <v>286</v>
      </c>
      <c r="D619" s="332"/>
      <c r="E619" s="325">
        <f>SUM('ADICIONES  2021'!C619:N619)</f>
        <v>0</v>
      </c>
      <c r="F619" s="281"/>
      <c r="G619" s="281"/>
      <c r="H619" s="281"/>
      <c r="I619" s="281"/>
      <c r="J619" s="281"/>
      <c r="K619" s="281">
        <f t="shared" si="834"/>
        <v>0</v>
      </c>
      <c r="L619" s="281"/>
      <c r="M619" s="281">
        <v>1705.27</v>
      </c>
      <c r="N619" s="281"/>
      <c r="O619" s="281"/>
      <c r="P619" s="281">
        <v>776957799.90999997</v>
      </c>
      <c r="Q619" s="281"/>
      <c r="R619" s="281">
        <f t="shared" si="653"/>
        <v>776959505.17999995</v>
      </c>
      <c r="S619" s="281">
        <v>84398787.319999993</v>
      </c>
      <c r="T619" s="281"/>
      <c r="U619" s="281">
        <v>45876842.18</v>
      </c>
      <c r="V619" s="281"/>
      <c r="W619" s="281">
        <v>-907235134.67999995</v>
      </c>
      <c r="X619" s="281"/>
      <c r="Y619" s="281"/>
      <c r="Z619" s="281"/>
      <c r="AA619" s="281">
        <f t="shared" si="835"/>
        <v>-776959505.17999995</v>
      </c>
      <c r="AB619" s="403">
        <f t="shared" si="839"/>
        <v>0</v>
      </c>
      <c r="AC619" s="326">
        <v>0</v>
      </c>
    </row>
    <row r="620" spans="1:29" ht="14.25" hidden="1" x14ac:dyDescent="0.2">
      <c r="A620" s="424"/>
      <c r="B620" s="323" t="s">
        <v>858</v>
      </c>
      <c r="C620" s="206" t="s">
        <v>286</v>
      </c>
      <c r="D620" s="332"/>
      <c r="E620" s="325">
        <f>SUM('ADICIONES  2021'!C620:N620)</f>
        <v>861358292</v>
      </c>
      <c r="F620" s="281"/>
      <c r="G620" s="281"/>
      <c r="H620" s="281"/>
      <c r="I620" s="281"/>
      <c r="J620" s="281"/>
      <c r="K620" s="281">
        <f t="shared" si="834"/>
        <v>861358292</v>
      </c>
      <c r="L620" s="281"/>
      <c r="M620" s="281"/>
      <c r="N620" s="281"/>
      <c r="O620" s="281"/>
      <c r="P620" s="281"/>
      <c r="Q620" s="281"/>
      <c r="R620" s="281">
        <f t="shared" si="653"/>
        <v>0</v>
      </c>
      <c r="S620" s="281"/>
      <c r="T620" s="281"/>
      <c r="U620" s="281"/>
      <c r="V620" s="281"/>
      <c r="W620" s="281">
        <v>932671987.54999995</v>
      </c>
      <c r="X620" s="281"/>
      <c r="Y620" s="281"/>
      <c r="Z620" s="281"/>
      <c r="AA620" s="281">
        <f t="shared" si="835"/>
        <v>932671987.54999995</v>
      </c>
      <c r="AB620" s="403">
        <f t="shared" si="839"/>
        <v>932671987.54999995</v>
      </c>
      <c r="AC620" s="326">
        <v>1</v>
      </c>
    </row>
    <row r="621" spans="1:29" s="61" customFormat="1" ht="15.75" hidden="1" x14ac:dyDescent="0.2">
      <c r="A621" s="425"/>
      <c r="B621" s="318" t="s">
        <v>859</v>
      </c>
      <c r="C621" s="319" t="s">
        <v>287</v>
      </c>
      <c r="D621" s="283">
        <f>+D622</f>
        <v>0</v>
      </c>
      <c r="E621" s="322">
        <f>SUM('ADICIONES  2021'!C621:N621)</f>
        <v>0</v>
      </c>
      <c r="F621" s="275">
        <f t="shared" ref="F621:J621" si="853">+F622</f>
        <v>0</v>
      </c>
      <c r="G621" s="275">
        <f t="shared" si="853"/>
        <v>0</v>
      </c>
      <c r="H621" s="275">
        <f t="shared" si="853"/>
        <v>0</v>
      </c>
      <c r="I621" s="275">
        <f t="shared" si="853"/>
        <v>0</v>
      </c>
      <c r="J621" s="275">
        <f t="shared" si="853"/>
        <v>0</v>
      </c>
      <c r="K621" s="276">
        <f t="shared" si="834"/>
        <v>0</v>
      </c>
      <c r="L621" s="275">
        <f t="shared" ref="L621:Q621" si="854">+L622</f>
        <v>0</v>
      </c>
      <c r="M621" s="275">
        <f t="shared" si="854"/>
        <v>0</v>
      </c>
      <c r="N621" s="275">
        <f t="shared" si="854"/>
        <v>0</v>
      </c>
      <c r="O621" s="275">
        <f t="shared" si="854"/>
        <v>0</v>
      </c>
      <c r="P621" s="275">
        <f t="shared" si="854"/>
        <v>0</v>
      </c>
      <c r="Q621" s="275">
        <f t="shared" si="854"/>
        <v>0</v>
      </c>
      <c r="R621" s="276">
        <f t="shared" si="653"/>
        <v>0</v>
      </c>
      <c r="S621" s="275">
        <f t="shared" ref="S621:Z621" si="855">+S622</f>
        <v>0</v>
      </c>
      <c r="T621" s="275">
        <f t="shared" si="855"/>
        <v>97009369.569999993</v>
      </c>
      <c r="U621" s="275">
        <f t="shared" si="855"/>
        <v>0</v>
      </c>
      <c r="V621" s="275">
        <f t="shared" si="855"/>
        <v>0</v>
      </c>
      <c r="W621" s="275">
        <f t="shared" si="855"/>
        <v>25125429.449999999</v>
      </c>
      <c r="X621" s="275">
        <f t="shared" si="855"/>
        <v>0</v>
      </c>
      <c r="Y621" s="275">
        <f t="shared" si="855"/>
        <v>0</v>
      </c>
      <c r="Z621" s="275">
        <f t="shared" si="855"/>
        <v>0</v>
      </c>
      <c r="AA621" s="276">
        <f t="shared" si="835"/>
        <v>122134799.02</v>
      </c>
      <c r="AB621" s="402">
        <f t="shared" si="839"/>
        <v>122134799.02</v>
      </c>
      <c r="AC621" s="326">
        <v>0</v>
      </c>
    </row>
    <row r="622" spans="1:29" ht="14.25" hidden="1" x14ac:dyDescent="0.2">
      <c r="A622" s="424"/>
      <c r="B622" s="323" t="s">
        <v>860</v>
      </c>
      <c r="C622" s="206" t="s">
        <v>861</v>
      </c>
      <c r="D622" s="332"/>
      <c r="E622" s="325">
        <f>SUM('ADICIONES  2021'!C622:N622)</f>
        <v>0</v>
      </c>
      <c r="F622" s="281"/>
      <c r="G622" s="281"/>
      <c r="H622" s="281"/>
      <c r="I622" s="281"/>
      <c r="J622" s="281"/>
      <c r="K622" s="281">
        <f t="shared" si="834"/>
        <v>0</v>
      </c>
      <c r="L622" s="281"/>
      <c r="M622" s="281"/>
      <c r="N622" s="281"/>
      <c r="O622" s="281"/>
      <c r="P622" s="281"/>
      <c r="Q622" s="281"/>
      <c r="R622" s="281">
        <f t="shared" si="653"/>
        <v>0</v>
      </c>
      <c r="S622" s="281"/>
      <c r="T622" s="281">
        <v>97009369.569999993</v>
      </c>
      <c r="U622" s="281"/>
      <c r="V622" s="281"/>
      <c r="W622" s="281">
        <v>25125429.449999999</v>
      </c>
      <c r="X622" s="281"/>
      <c r="Y622" s="281"/>
      <c r="Z622" s="281"/>
      <c r="AA622" s="281">
        <f t="shared" si="835"/>
        <v>122134799.02</v>
      </c>
      <c r="AB622" s="403">
        <f t="shared" si="839"/>
        <v>122134799.02</v>
      </c>
      <c r="AC622" s="326">
        <v>0</v>
      </c>
    </row>
    <row r="623" spans="1:29" s="61" customFormat="1" ht="15.75" hidden="1" x14ac:dyDescent="0.2">
      <c r="A623" s="425"/>
      <c r="B623" s="318" t="s">
        <v>862</v>
      </c>
      <c r="C623" s="319" t="s">
        <v>288</v>
      </c>
      <c r="D623" s="283">
        <f>+D624</f>
        <v>0</v>
      </c>
      <c r="E623" s="322">
        <f>SUM('ADICIONES  2021'!C623:N623)</f>
        <v>0</v>
      </c>
      <c r="F623" s="275">
        <f t="shared" ref="F623:J623" si="856">+F624</f>
        <v>0</v>
      </c>
      <c r="G623" s="275">
        <f t="shared" si="856"/>
        <v>0</v>
      </c>
      <c r="H623" s="275">
        <f t="shared" si="856"/>
        <v>0</v>
      </c>
      <c r="I623" s="275">
        <f t="shared" si="856"/>
        <v>0</v>
      </c>
      <c r="J623" s="275">
        <f t="shared" si="856"/>
        <v>0</v>
      </c>
      <c r="K623" s="276">
        <f t="shared" si="834"/>
        <v>0</v>
      </c>
      <c r="L623" s="275">
        <f t="shared" ref="L623:Q623" si="857">+L624</f>
        <v>0</v>
      </c>
      <c r="M623" s="275">
        <f t="shared" si="857"/>
        <v>0</v>
      </c>
      <c r="N623" s="275">
        <f t="shared" si="857"/>
        <v>0</v>
      </c>
      <c r="O623" s="275">
        <f t="shared" si="857"/>
        <v>0</v>
      </c>
      <c r="P623" s="275">
        <f t="shared" si="857"/>
        <v>0</v>
      </c>
      <c r="Q623" s="275">
        <f t="shared" si="857"/>
        <v>0</v>
      </c>
      <c r="R623" s="276">
        <f t="shared" si="653"/>
        <v>0</v>
      </c>
      <c r="S623" s="275">
        <f t="shared" ref="S623:Z623" si="858">+S624</f>
        <v>0</v>
      </c>
      <c r="T623" s="275">
        <f t="shared" si="858"/>
        <v>6000000</v>
      </c>
      <c r="U623" s="275">
        <f t="shared" si="858"/>
        <v>0</v>
      </c>
      <c r="V623" s="275">
        <f t="shared" si="858"/>
        <v>0</v>
      </c>
      <c r="W623" s="275">
        <f t="shared" si="858"/>
        <v>0</v>
      </c>
      <c r="X623" s="275">
        <f t="shared" si="858"/>
        <v>0</v>
      </c>
      <c r="Y623" s="275">
        <f t="shared" si="858"/>
        <v>0</v>
      </c>
      <c r="Z623" s="275">
        <f t="shared" si="858"/>
        <v>0</v>
      </c>
      <c r="AA623" s="276">
        <f t="shared" si="835"/>
        <v>6000000</v>
      </c>
      <c r="AB623" s="402">
        <f t="shared" si="839"/>
        <v>6000000</v>
      </c>
      <c r="AC623" s="326">
        <v>0</v>
      </c>
    </row>
    <row r="624" spans="1:29" ht="14.25" hidden="1" x14ac:dyDescent="0.2">
      <c r="A624" s="424"/>
      <c r="B624" s="323" t="s">
        <v>863</v>
      </c>
      <c r="C624" s="206" t="s">
        <v>864</v>
      </c>
      <c r="D624" s="332"/>
      <c r="E624" s="325">
        <f>SUM('ADICIONES  2021'!C624:N624)</f>
        <v>0</v>
      </c>
      <c r="F624" s="281"/>
      <c r="G624" s="281"/>
      <c r="H624" s="281"/>
      <c r="I624" s="281"/>
      <c r="J624" s="281"/>
      <c r="K624" s="281">
        <f t="shared" si="834"/>
        <v>0</v>
      </c>
      <c r="L624" s="281"/>
      <c r="M624" s="281"/>
      <c r="N624" s="281"/>
      <c r="O624" s="281"/>
      <c r="P624" s="281"/>
      <c r="Q624" s="281"/>
      <c r="R624" s="281">
        <f t="shared" si="653"/>
        <v>0</v>
      </c>
      <c r="S624" s="281"/>
      <c r="T624" s="281">
        <v>6000000</v>
      </c>
      <c r="U624" s="281"/>
      <c r="V624" s="281"/>
      <c r="W624" s="281"/>
      <c r="X624" s="281"/>
      <c r="Y624" s="281"/>
      <c r="Z624" s="281"/>
      <c r="AA624" s="281">
        <f t="shared" si="835"/>
        <v>6000000</v>
      </c>
      <c r="AB624" s="403">
        <f t="shared" si="839"/>
        <v>6000000</v>
      </c>
      <c r="AC624" s="326">
        <v>0</v>
      </c>
    </row>
    <row r="625" spans="1:29" s="61" customFormat="1" ht="15.75" hidden="1" x14ac:dyDescent="0.2">
      <c r="A625" s="425"/>
      <c r="B625" s="318" t="s">
        <v>865</v>
      </c>
      <c r="C625" s="319" t="s">
        <v>289</v>
      </c>
      <c r="D625" s="283">
        <f>+D626</f>
        <v>0</v>
      </c>
      <c r="E625" s="322">
        <f>SUM('ADICIONES  2021'!C625:N625)</f>
        <v>0</v>
      </c>
      <c r="F625" s="275">
        <f t="shared" ref="F625:J625" si="859">+F626</f>
        <v>0</v>
      </c>
      <c r="G625" s="275">
        <f t="shared" si="859"/>
        <v>0</v>
      </c>
      <c r="H625" s="275">
        <f t="shared" si="859"/>
        <v>0</v>
      </c>
      <c r="I625" s="275">
        <f t="shared" si="859"/>
        <v>0</v>
      </c>
      <c r="J625" s="275">
        <f t="shared" si="859"/>
        <v>0</v>
      </c>
      <c r="K625" s="276">
        <f t="shared" si="834"/>
        <v>0</v>
      </c>
      <c r="L625" s="275">
        <f t="shared" ref="L625:Q625" si="860">+L626</f>
        <v>0</v>
      </c>
      <c r="M625" s="275">
        <f t="shared" si="860"/>
        <v>0</v>
      </c>
      <c r="N625" s="275">
        <f t="shared" si="860"/>
        <v>0</v>
      </c>
      <c r="O625" s="275">
        <f t="shared" si="860"/>
        <v>0</v>
      </c>
      <c r="P625" s="275">
        <f t="shared" si="860"/>
        <v>0</v>
      </c>
      <c r="Q625" s="275">
        <f t="shared" si="860"/>
        <v>0</v>
      </c>
      <c r="R625" s="276">
        <f t="shared" si="653"/>
        <v>0</v>
      </c>
      <c r="S625" s="275">
        <f t="shared" ref="S625:Z625" si="861">+S626</f>
        <v>0</v>
      </c>
      <c r="T625" s="275">
        <f t="shared" si="861"/>
        <v>0</v>
      </c>
      <c r="U625" s="275">
        <f t="shared" si="861"/>
        <v>76453.259999999995</v>
      </c>
      <c r="V625" s="275">
        <f t="shared" si="861"/>
        <v>0</v>
      </c>
      <c r="W625" s="275">
        <f t="shared" si="861"/>
        <v>0</v>
      </c>
      <c r="X625" s="275">
        <f t="shared" si="861"/>
        <v>0</v>
      </c>
      <c r="Y625" s="275">
        <f t="shared" si="861"/>
        <v>0</v>
      </c>
      <c r="Z625" s="275">
        <f t="shared" si="861"/>
        <v>0</v>
      </c>
      <c r="AA625" s="276">
        <f t="shared" si="835"/>
        <v>76453.259999999995</v>
      </c>
      <c r="AB625" s="402">
        <f t="shared" si="839"/>
        <v>76453.259999999995</v>
      </c>
      <c r="AC625" s="326">
        <v>0</v>
      </c>
    </row>
    <row r="626" spans="1:29" ht="14.25" hidden="1" x14ac:dyDescent="0.2">
      <c r="A626" s="424"/>
      <c r="B626" s="323" t="s">
        <v>866</v>
      </c>
      <c r="C626" s="206" t="s">
        <v>867</v>
      </c>
      <c r="D626" s="332"/>
      <c r="E626" s="325">
        <f>SUM('ADICIONES  2021'!C626:N626)</f>
        <v>0</v>
      </c>
      <c r="F626" s="281"/>
      <c r="G626" s="281"/>
      <c r="H626" s="281"/>
      <c r="I626" s="281"/>
      <c r="J626" s="281"/>
      <c r="K626" s="281">
        <f t="shared" si="834"/>
        <v>0</v>
      </c>
      <c r="L626" s="281"/>
      <c r="M626" s="281"/>
      <c r="N626" s="281"/>
      <c r="O626" s="281"/>
      <c r="P626" s="281"/>
      <c r="Q626" s="281"/>
      <c r="R626" s="281">
        <f t="shared" si="653"/>
        <v>0</v>
      </c>
      <c r="S626" s="281"/>
      <c r="T626" s="281"/>
      <c r="U626" s="281">
        <v>76453.259999999995</v>
      </c>
      <c r="V626" s="281"/>
      <c r="W626" s="281"/>
      <c r="X626" s="281"/>
      <c r="Y626" s="281"/>
      <c r="Z626" s="281"/>
      <c r="AA626" s="281">
        <f t="shared" si="835"/>
        <v>76453.259999999995</v>
      </c>
      <c r="AB626" s="403">
        <f t="shared" si="839"/>
        <v>76453.259999999995</v>
      </c>
      <c r="AC626" s="326">
        <v>0</v>
      </c>
    </row>
    <row r="627" spans="1:29" s="61" customFormat="1" ht="15.75" hidden="1" x14ac:dyDescent="0.2">
      <c r="A627" s="425"/>
      <c r="B627" s="318" t="s">
        <v>868</v>
      </c>
      <c r="C627" s="319" t="s">
        <v>290</v>
      </c>
      <c r="D627" s="283">
        <f>+D628+D629</f>
        <v>0</v>
      </c>
      <c r="E627" s="322">
        <f>SUM('ADICIONES  2021'!C627:N627)</f>
        <v>4190433949.29</v>
      </c>
      <c r="F627" s="275">
        <f t="shared" ref="F627:J627" si="862">+F628+F629</f>
        <v>0</v>
      </c>
      <c r="G627" s="275">
        <f t="shared" si="862"/>
        <v>0</v>
      </c>
      <c r="H627" s="275">
        <f t="shared" si="862"/>
        <v>0</v>
      </c>
      <c r="I627" s="275">
        <f t="shared" si="862"/>
        <v>0</v>
      </c>
      <c r="J627" s="275">
        <f t="shared" si="862"/>
        <v>0</v>
      </c>
      <c r="K627" s="276">
        <f t="shared" si="834"/>
        <v>4190433949.29</v>
      </c>
      <c r="L627" s="275">
        <f t="shared" ref="L627:Q627" si="863">+L628+L629</f>
        <v>0</v>
      </c>
      <c r="M627" s="275">
        <f t="shared" si="863"/>
        <v>0</v>
      </c>
      <c r="N627" s="275">
        <f t="shared" si="863"/>
        <v>4599999256.04</v>
      </c>
      <c r="O627" s="275">
        <f t="shared" si="863"/>
        <v>0</v>
      </c>
      <c r="P627" s="275">
        <f t="shared" si="863"/>
        <v>0</v>
      </c>
      <c r="Q627" s="275">
        <f t="shared" si="863"/>
        <v>0</v>
      </c>
      <c r="R627" s="276">
        <f t="shared" si="653"/>
        <v>4599999256.04</v>
      </c>
      <c r="S627" s="275">
        <f t="shared" ref="S627:Y627" si="864">+S628+S629</f>
        <v>0</v>
      </c>
      <c r="T627" s="275">
        <f t="shared" si="864"/>
        <v>0</v>
      </c>
      <c r="U627" s="275">
        <f t="shared" si="864"/>
        <v>0</v>
      </c>
      <c r="V627" s="275">
        <f t="shared" si="864"/>
        <v>0</v>
      </c>
      <c r="W627" s="275">
        <f t="shared" si="864"/>
        <v>0</v>
      </c>
      <c r="X627" s="275">
        <f t="shared" si="864"/>
        <v>0</v>
      </c>
      <c r="Y627" s="275">
        <f t="shared" si="864"/>
        <v>0</v>
      </c>
      <c r="Z627" s="275">
        <f>+Z628+Z629</f>
        <v>0</v>
      </c>
      <c r="AA627" s="276">
        <f t="shared" si="835"/>
        <v>0</v>
      </c>
      <c r="AB627" s="402">
        <f t="shared" si="839"/>
        <v>4599999256.04</v>
      </c>
      <c r="AC627" s="326">
        <f t="shared" ref="AC627:AC693" si="865">+AB627/K627</f>
        <v>1.0977381607027583</v>
      </c>
    </row>
    <row r="628" spans="1:29" ht="14.25" hidden="1" x14ac:dyDescent="0.2">
      <c r="A628" s="424"/>
      <c r="B628" s="323" t="s">
        <v>869</v>
      </c>
      <c r="C628" s="206" t="s">
        <v>870</v>
      </c>
      <c r="D628" s="332"/>
      <c r="E628" s="325">
        <f>SUM('ADICIONES  2021'!C628:N628)</f>
        <v>0</v>
      </c>
      <c r="F628" s="281"/>
      <c r="G628" s="281"/>
      <c r="H628" s="281"/>
      <c r="I628" s="281"/>
      <c r="J628" s="281"/>
      <c r="K628" s="281">
        <f t="shared" si="834"/>
        <v>0</v>
      </c>
      <c r="L628" s="281"/>
      <c r="M628" s="281"/>
      <c r="N628" s="281">
        <v>4599999256.04</v>
      </c>
      <c r="O628" s="281"/>
      <c r="P628" s="281"/>
      <c r="Q628" s="281"/>
      <c r="R628" s="281">
        <f t="shared" si="653"/>
        <v>4599999256.04</v>
      </c>
      <c r="S628" s="281"/>
      <c r="T628" s="281"/>
      <c r="U628" s="281"/>
      <c r="V628" s="281"/>
      <c r="W628" s="281">
        <v>-4599999256.04</v>
      </c>
      <c r="X628" s="281"/>
      <c r="Y628" s="281"/>
      <c r="Z628" s="281"/>
      <c r="AA628" s="281">
        <f t="shared" si="835"/>
        <v>-4599999256.04</v>
      </c>
      <c r="AB628" s="403">
        <f t="shared" si="839"/>
        <v>0</v>
      </c>
      <c r="AC628" s="326">
        <v>0</v>
      </c>
    </row>
    <row r="629" spans="1:29" ht="14.25" hidden="1" x14ac:dyDescent="0.2">
      <c r="A629" s="424"/>
      <c r="B629" s="323" t="s">
        <v>869</v>
      </c>
      <c r="C629" s="206" t="s">
        <v>870</v>
      </c>
      <c r="D629" s="332"/>
      <c r="E629" s="325">
        <f>SUM('ADICIONES  2021'!C629:N629)</f>
        <v>4190433949.29</v>
      </c>
      <c r="F629" s="281"/>
      <c r="G629" s="281"/>
      <c r="H629" s="281"/>
      <c r="I629" s="281"/>
      <c r="J629" s="281"/>
      <c r="K629" s="281">
        <f t="shared" si="834"/>
        <v>4190433949.29</v>
      </c>
      <c r="L629" s="281"/>
      <c r="M629" s="281"/>
      <c r="N629" s="281"/>
      <c r="O629" s="281"/>
      <c r="P629" s="281"/>
      <c r="Q629" s="281"/>
      <c r="R629" s="281">
        <f t="shared" si="653"/>
        <v>0</v>
      </c>
      <c r="S629" s="281"/>
      <c r="T629" s="281"/>
      <c r="U629" s="281"/>
      <c r="V629" s="281"/>
      <c r="W629" s="281">
        <v>4599999256.04</v>
      </c>
      <c r="X629" s="281"/>
      <c r="Y629" s="281"/>
      <c r="Z629" s="281"/>
      <c r="AA629" s="281">
        <f t="shared" si="835"/>
        <v>4599999256.04</v>
      </c>
      <c r="AB629" s="403">
        <f t="shared" si="839"/>
        <v>4599999256.04</v>
      </c>
      <c r="AC629" s="326">
        <f t="shared" si="865"/>
        <v>1.0977381607027583</v>
      </c>
    </row>
    <row r="630" spans="1:29" s="61" customFormat="1" ht="15.75" hidden="1" x14ac:dyDescent="0.2">
      <c r="A630" s="425"/>
      <c r="B630" s="318" t="s">
        <v>871</v>
      </c>
      <c r="C630" s="319" t="s">
        <v>291</v>
      </c>
      <c r="D630" s="283">
        <f>+D631</f>
        <v>0</v>
      </c>
      <c r="E630" s="322">
        <f>SUM('ADICIONES  2021'!C630:N630)</f>
        <v>0</v>
      </c>
      <c r="F630" s="275">
        <f t="shared" ref="F630:J630" si="866">+F631</f>
        <v>0</v>
      </c>
      <c r="G630" s="275">
        <f t="shared" si="866"/>
        <v>0</v>
      </c>
      <c r="H630" s="275">
        <f t="shared" si="866"/>
        <v>0</v>
      </c>
      <c r="I630" s="275">
        <f t="shared" si="866"/>
        <v>0</v>
      </c>
      <c r="J630" s="275">
        <f t="shared" si="866"/>
        <v>0</v>
      </c>
      <c r="K630" s="276">
        <f t="shared" si="834"/>
        <v>0</v>
      </c>
      <c r="L630" s="275">
        <f t="shared" ref="L630:Q630" si="867">+L631</f>
        <v>0</v>
      </c>
      <c r="M630" s="275">
        <f t="shared" si="867"/>
        <v>0</v>
      </c>
      <c r="N630" s="275">
        <f t="shared" si="867"/>
        <v>0</v>
      </c>
      <c r="O630" s="275">
        <f t="shared" si="867"/>
        <v>0</v>
      </c>
      <c r="P630" s="275">
        <f t="shared" si="867"/>
        <v>0</v>
      </c>
      <c r="Q630" s="275">
        <f t="shared" si="867"/>
        <v>0</v>
      </c>
      <c r="R630" s="276">
        <f t="shared" si="653"/>
        <v>0</v>
      </c>
      <c r="S630" s="275">
        <f t="shared" ref="S630:Z630" si="868">+S631</f>
        <v>0</v>
      </c>
      <c r="T630" s="275">
        <f t="shared" si="868"/>
        <v>0</v>
      </c>
      <c r="U630" s="275">
        <f t="shared" si="868"/>
        <v>0</v>
      </c>
      <c r="V630" s="275">
        <f t="shared" si="868"/>
        <v>0</v>
      </c>
      <c r="W630" s="275">
        <f t="shared" si="868"/>
        <v>0</v>
      </c>
      <c r="X630" s="275">
        <f t="shared" si="868"/>
        <v>0</v>
      </c>
      <c r="Y630" s="275">
        <f t="shared" si="868"/>
        <v>0</v>
      </c>
      <c r="Z630" s="275">
        <f t="shared" si="868"/>
        <v>0</v>
      </c>
      <c r="AA630" s="276">
        <f t="shared" si="835"/>
        <v>0</v>
      </c>
      <c r="AB630" s="402">
        <f t="shared" si="839"/>
        <v>0</v>
      </c>
      <c r="AC630" s="326" t="e">
        <f t="shared" si="865"/>
        <v>#DIV/0!</v>
      </c>
    </row>
    <row r="631" spans="1:29" ht="14.25" hidden="1" x14ac:dyDescent="0.2">
      <c r="A631" s="424"/>
      <c r="B631" s="323" t="s">
        <v>872</v>
      </c>
      <c r="C631" s="206" t="s">
        <v>291</v>
      </c>
      <c r="D631" s="332"/>
      <c r="E631" s="325">
        <f>SUM('ADICIONES  2021'!C631:N631)</f>
        <v>0</v>
      </c>
      <c r="F631" s="281"/>
      <c r="G631" s="281"/>
      <c r="H631" s="281"/>
      <c r="I631" s="281"/>
      <c r="J631" s="281"/>
      <c r="K631" s="281">
        <f t="shared" si="834"/>
        <v>0</v>
      </c>
      <c r="L631" s="281"/>
      <c r="M631" s="281"/>
      <c r="N631" s="281"/>
      <c r="O631" s="281"/>
      <c r="P631" s="281"/>
      <c r="Q631" s="281"/>
      <c r="R631" s="281">
        <f t="shared" si="653"/>
        <v>0</v>
      </c>
      <c r="S631" s="281"/>
      <c r="T631" s="281"/>
      <c r="U631" s="281"/>
      <c r="V631" s="281"/>
      <c r="W631" s="281"/>
      <c r="X631" s="281"/>
      <c r="Y631" s="281"/>
      <c r="Z631" s="281"/>
      <c r="AA631" s="281">
        <f t="shared" si="835"/>
        <v>0</v>
      </c>
      <c r="AB631" s="403">
        <f t="shared" si="839"/>
        <v>0</v>
      </c>
      <c r="AC631" s="326" t="e">
        <f t="shared" si="865"/>
        <v>#DIV/0!</v>
      </c>
    </row>
    <row r="632" spans="1:29" s="61" customFormat="1" ht="15.75" hidden="1" x14ac:dyDescent="0.2">
      <c r="A632" s="425"/>
      <c r="B632" s="318" t="s">
        <v>873</v>
      </c>
      <c r="C632" s="319" t="s">
        <v>874</v>
      </c>
      <c r="D632" s="283">
        <f>SUM(D633:D636)</f>
        <v>0</v>
      </c>
      <c r="E632" s="322">
        <f>SUM('ADICIONES  2021'!C632:N632)</f>
        <v>52307556.020000003</v>
      </c>
      <c r="F632" s="275">
        <f t="shared" ref="F632:J632" si="869">SUM(F633:F636)</f>
        <v>0</v>
      </c>
      <c r="G632" s="275">
        <f t="shared" si="869"/>
        <v>0</v>
      </c>
      <c r="H632" s="275">
        <f t="shared" si="869"/>
        <v>0</v>
      </c>
      <c r="I632" s="275">
        <f t="shared" si="869"/>
        <v>0</v>
      </c>
      <c r="J632" s="275">
        <f t="shared" si="869"/>
        <v>0</v>
      </c>
      <c r="K632" s="276">
        <f t="shared" si="834"/>
        <v>52307556.020000003</v>
      </c>
      <c r="L632" s="275">
        <f t="shared" ref="L632:Q632" si="870">SUM(L633:L636)</f>
        <v>0</v>
      </c>
      <c r="M632" s="275">
        <f t="shared" si="870"/>
        <v>0</v>
      </c>
      <c r="N632" s="275">
        <f t="shared" si="870"/>
        <v>0</v>
      </c>
      <c r="O632" s="275">
        <f t="shared" si="870"/>
        <v>4882325</v>
      </c>
      <c r="P632" s="275">
        <f t="shared" si="870"/>
        <v>0</v>
      </c>
      <c r="Q632" s="275">
        <f t="shared" si="870"/>
        <v>0</v>
      </c>
      <c r="R632" s="276">
        <f t="shared" si="653"/>
        <v>4882325</v>
      </c>
      <c r="S632" s="275">
        <f t="shared" ref="S632:Z632" si="871">SUM(S633:S636)</f>
        <v>690</v>
      </c>
      <c r="T632" s="275">
        <f t="shared" si="871"/>
        <v>457751</v>
      </c>
      <c r="U632" s="275">
        <f t="shared" si="871"/>
        <v>0</v>
      </c>
      <c r="V632" s="275">
        <f t="shared" si="871"/>
        <v>0</v>
      </c>
      <c r="W632" s="275">
        <f t="shared" si="871"/>
        <v>52307556.020000003</v>
      </c>
      <c r="X632" s="275">
        <f t="shared" si="871"/>
        <v>0</v>
      </c>
      <c r="Y632" s="275">
        <f t="shared" si="871"/>
        <v>0</v>
      </c>
      <c r="Z632" s="275">
        <f t="shared" si="871"/>
        <v>0</v>
      </c>
      <c r="AA632" s="276">
        <f t="shared" si="835"/>
        <v>52765997.020000003</v>
      </c>
      <c r="AB632" s="402">
        <f t="shared" si="839"/>
        <v>57648322.020000003</v>
      </c>
      <c r="AC632" s="326">
        <v>0</v>
      </c>
    </row>
    <row r="633" spans="1:29" ht="14.25" hidden="1" x14ac:dyDescent="0.2">
      <c r="A633" s="424"/>
      <c r="B633" s="323" t="s">
        <v>875</v>
      </c>
      <c r="C633" s="206" t="s">
        <v>292</v>
      </c>
      <c r="D633" s="332"/>
      <c r="E633" s="325">
        <f>SUM('ADICIONES  2021'!C633:N633)</f>
        <v>0</v>
      </c>
      <c r="F633" s="277"/>
      <c r="G633" s="277"/>
      <c r="H633" s="277"/>
      <c r="I633" s="277"/>
      <c r="J633" s="277"/>
      <c r="K633" s="281">
        <f t="shared" si="834"/>
        <v>0</v>
      </c>
      <c r="L633" s="277"/>
      <c r="M633" s="277"/>
      <c r="N633" s="277"/>
      <c r="O633" s="277">
        <v>4882325</v>
      </c>
      <c r="P633" s="277"/>
      <c r="Q633" s="277"/>
      <c r="R633" s="281">
        <f t="shared" si="653"/>
        <v>4882325</v>
      </c>
      <c r="S633" s="277">
        <v>690</v>
      </c>
      <c r="T633" s="277"/>
      <c r="U633" s="277"/>
      <c r="V633" s="277"/>
      <c r="W633" s="277"/>
      <c r="X633" s="277"/>
      <c r="Y633" s="277"/>
      <c r="Z633" s="277"/>
      <c r="AA633" s="281">
        <f t="shared" si="835"/>
        <v>690</v>
      </c>
      <c r="AB633" s="403">
        <f t="shared" si="839"/>
        <v>4883015</v>
      </c>
      <c r="AC633" s="326">
        <v>0</v>
      </c>
    </row>
    <row r="634" spans="1:29" ht="25.5" hidden="1" x14ac:dyDescent="0.2">
      <c r="A634" s="424"/>
      <c r="B634" s="323" t="s">
        <v>876</v>
      </c>
      <c r="C634" s="206" t="s">
        <v>293</v>
      </c>
      <c r="D634" s="332"/>
      <c r="E634" s="325">
        <f>SUM('ADICIONES  2021'!C634:N634)</f>
        <v>0</v>
      </c>
      <c r="F634" s="277"/>
      <c r="G634" s="277"/>
      <c r="H634" s="277"/>
      <c r="I634" s="277"/>
      <c r="J634" s="277"/>
      <c r="K634" s="281">
        <f t="shared" si="834"/>
        <v>0</v>
      </c>
      <c r="L634" s="277"/>
      <c r="M634" s="277"/>
      <c r="N634" s="277"/>
      <c r="O634" s="277"/>
      <c r="P634" s="277"/>
      <c r="Q634" s="277"/>
      <c r="R634" s="281">
        <f t="shared" si="653"/>
        <v>0</v>
      </c>
      <c r="S634" s="277"/>
      <c r="T634" s="277">
        <v>457751</v>
      </c>
      <c r="U634" s="277"/>
      <c r="V634" s="277"/>
      <c r="W634" s="277"/>
      <c r="X634" s="277"/>
      <c r="Y634" s="277"/>
      <c r="Z634" s="277"/>
      <c r="AA634" s="281">
        <f t="shared" si="835"/>
        <v>457751</v>
      </c>
      <c r="AB634" s="403">
        <f t="shared" si="839"/>
        <v>457751</v>
      </c>
      <c r="AC634" s="326">
        <v>0</v>
      </c>
    </row>
    <row r="635" spans="1:29" ht="25.5" hidden="1" x14ac:dyDescent="0.2">
      <c r="A635" s="424"/>
      <c r="B635" s="323" t="s">
        <v>876</v>
      </c>
      <c r="C635" s="206" t="s">
        <v>293</v>
      </c>
      <c r="D635" s="332"/>
      <c r="E635" s="325">
        <f>SUM('ADICIONES  2021'!C635:N635)</f>
        <v>52307556.020000003</v>
      </c>
      <c r="F635" s="277"/>
      <c r="G635" s="277"/>
      <c r="H635" s="277"/>
      <c r="I635" s="277"/>
      <c r="J635" s="277"/>
      <c r="K635" s="281">
        <f t="shared" si="834"/>
        <v>52307556.020000003</v>
      </c>
      <c r="L635" s="277"/>
      <c r="M635" s="277"/>
      <c r="N635" s="277"/>
      <c r="O635" s="277"/>
      <c r="P635" s="277"/>
      <c r="Q635" s="277"/>
      <c r="R635" s="281">
        <f t="shared" si="653"/>
        <v>0</v>
      </c>
      <c r="S635" s="277"/>
      <c r="T635" s="277"/>
      <c r="U635" s="277"/>
      <c r="V635" s="277"/>
      <c r="W635" s="277">
        <v>52307556.020000003</v>
      </c>
      <c r="X635" s="277"/>
      <c r="Y635" s="277"/>
      <c r="Z635" s="277"/>
      <c r="AA635" s="281">
        <f t="shared" si="835"/>
        <v>52307556.020000003</v>
      </c>
      <c r="AB635" s="403">
        <f t="shared" si="839"/>
        <v>52307556.020000003</v>
      </c>
      <c r="AC635" s="326">
        <v>1</v>
      </c>
    </row>
    <row r="636" spans="1:29" ht="25.5" hidden="1" x14ac:dyDescent="0.2">
      <c r="A636" s="424"/>
      <c r="B636" s="323" t="s">
        <v>877</v>
      </c>
      <c r="C636" s="206" t="s">
        <v>294</v>
      </c>
      <c r="D636" s="332"/>
      <c r="E636" s="325">
        <f>SUM('ADICIONES  2021'!C636:N636)</f>
        <v>0</v>
      </c>
      <c r="F636" s="277"/>
      <c r="G636" s="277"/>
      <c r="H636" s="277"/>
      <c r="I636" s="277"/>
      <c r="J636" s="277"/>
      <c r="K636" s="281">
        <f t="shared" si="834"/>
        <v>0</v>
      </c>
      <c r="L636" s="277"/>
      <c r="M636" s="277"/>
      <c r="N636" s="277"/>
      <c r="O636" s="277"/>
      <c r="P636" s="277"/>
      <c r="Q636" s="277"/>
      <c r="R636" s="281">
        <f t="shared" si="653"/>
        <v>0</v>
      </c>
      <c r="S636" s="277"/>
      <c r="T636" s="277"/>
      <c r="U636" s="277"/>
      <c r="V636" s="277"/>
      <c r="W636" s="277"/>
      <c r="X636" s="277"/>
      <c r="Y636" s="277"/>
      <c r="Z636" s="277"/>
      <c r="AA636" s="281">
        <f t="shared" si="835"/>
        <v>0</v>
      </c>
      <c r="AB636" s="403">
        <f t="shared" si="839"/>
        <v>0</v>
      </c>
      <c r="AC636" s="326" t="e">
        <f t="shared" si="865"/>
        <v>#DIV/0!</v>
      </c>
    </row>
    <row r="637" spans="1:29" ht="14.25" hidden="1" x14ac:dyDescent="0.2">
      <c r="A637" s="424"/>
      <c r="B637" s="323" t="s">
        <v>878</v>
      </c>
      <c r="C637" s="206" t="s">
        <v>295</v>
      </c>
      <c r="D637" s="332"/>
      <c r="E637" s="325">
        <f>SUM('ADICIONES  2021'!C637:N637)</f>
        <v>0</v>
      </c>
      <c r="F637" s="277"/>
      <c r="G637" s="277"/>
      <c r="H637" s="277"/>
      <c r="I637" s="277"/>
      <c r="J637" s="277"/>
      <c r="K637" s="281">
        <f t="shared" si="834"/>
        <v>0</v>
      </c>
      <c r="L637" s="277"/>
      <c r="M637" s="277"/>
      <c r="N637" s="277"/>
      <c r="O637" s="277"/>
      <c r="P637" s="277"/>
      <c r="Q637" s="277"/>
      <c r="R637" s="281">
        <f t="shared" si="653"/>
        <v>0</v>
      </c>
      <c r="S637" s="277"/>
      <c r="T637" s="277"/>
      <c r="U637" s="277"/>
      <c r="V637" s="277"/>
      <c r="W637" s="277"/>
      <c r="X637" s="277"/>
      <c r="Y637" s="277"/>
      <c r="Z637" s="277"/>
      <c r="AA637" s="281">
        <f t="shared" si="835"/>
        <v>0</v>
      </c>
      <c r="AB637" s="403">
        <f t="shared" si="839"/>
        <v>0</v>
      </c>
      <c r="AC637" s="326" t="e">
        <f t="shared" si="865"/>
        <v>#DIV/0!</v>
      </c>
    </row>
    <row r="638" spans="1:29" ht="14.25" hidden="1" x14ac:dyDescent="0.2">
      <c r="A638" s="424"/>
      <c r="B638" s="323" t="s">
        <v>879</v>
      </c>
      <c r="C638" s="206" t="s">
        <v>296</v>
      </c>
      <c r="D638" s="332"/>
      <c r="E638" s="325">
        <f>SUM('ADICIONES  2021'!C638:N638)</f>
        <v>0</v>
      </c>
      <c r="F638" s="277"/>
      <c r="G638" s="277"/>
      <c r="H638" s="277"/>
      <c r="I638" s="277"/>
      <c r="J638" s="277"/>
      <c r="K638" s="281">
        <f t="shared" si="834"/>
        <v>0</v>
      </c>
      <c r="L638" s="277"/>
      <c r="M638" s="277"/>
      <c r="N638" s="277"/>
      <c r="O638" s="277"/>
      <c r="P638" s="277"/>
      <c r="Q638" s="277"/>
      <c r="R638" s="281">
        <f t="shared" si="653"/>
        <v>0</v>
      </c>
      <c r="S638" s="277"/>
      <c r="T638" s="277"/>
      <c r="U638" s="277"/>
      <c r="V638" s="277"/>
      <c r="W638" s="277"/>
      <c r="X638" s="277"/>
      <c r="Y638" s="277"/>
      <c r="Z638" s="277"/>
      <c r="AA638" s="281">
        <f t="shared" si="835"/>
        <v>0</v>
      </c>
      <c r="AB638" s="403">
        <f t="shared" si="839"/>
        <v>0</v>
      </c>
      <c r="AC638" s="326" t="e">
        <f t="shared" si="865"/>
        <v>#DIV/0!</v>
      </c>
    </row>
    <row r="639" spans="1:29" ht="14.25" hidden="1" x14ac:dyDescent="0.2">
      <c r="A639" s="424"/>
      <c r="B639" s="323" t="s">
        <v>880</v>
      </c>
      <c r="C639" s="206" t="s">
        <v>297</v>
      </c>
      <c r="D639" s="332"/>
      <c r="E639" s="325">
        <f>SUM('ADICIONES  2021'!C639:N639)</f>
        <v>0</v>
      </c>
      <c r="F639" s="277"/>
      <c r="G639" s="277"/>
      <c r="H639" s="277"/>
      <c r="I639" s="277"/>
      <c r="J639" s="277"/>
      <c r="K639" s="281">
        <f t="shared" si="834"/>
        <v>0</v>
      </c>
      <c r="L639" s="277"/>
      <c r="M639" s="277"/>
      <c r="N639" s="277"/>
      <c r="O639" s="277"/>
      <c r="P639" s="277"/>
      <c r="Q639" s="277"/>
      <c r="R639" s="281">
        <f t="shared" si="653"/>
        <v>0</v>
      </c>
      <c r="S639" s="277"/>
      <c r="T639" s="277"/>
      <c r="U639" s="277"/>
      <c r="V639" s="277"/>
      <c r="W639" s="277"/>
      <c r="X639" s="277"/>
      <c r="Y639" s="277"/>
      <c r="Z639" s="277"/>
      <c r="AA639" s="281">
        <f t="shared" si="835"/>
        <v>0</v>
      </c>
      <c r="AB639" s="403">
        <f t="shared" si="839"/>
        <v>0</v>
      </c>
      <c r="AC639" s="326" t="e">
        <f t="shared" si="865"/>
        <v>#DIV/0!</v>
      </c>
    </row>
    <row r="640" spans="1:29" ht="14.25" hidden="1" x14ac:dyDescent="0.2">
      <c r="A640" s="424"/>
      <c r="B640" s="323" t="s">
        <v>881</v>
      </c>
      <c r="C640" s="206" t="s">
        <v>298</v>
      </c>
      <c r="D640" s="332"/>
      <c r="E640" s="325">
        <f>SUM('ADICIONES  2021'!C640:N640)</f>
        <v>0</v>
      </c>
      <c r="F640" s="277"/>
      <c r="G640" s="277"/>
      <c r="H640" s="277"/>
      <c r="I640" s="277"/>
      <c r="J640" s="277"/>
      <c r="K640" s="281">
        <f t="shared" si="834"/>
        <v>0</v>
      </c>
      <c r="L640" s="277"/>
      <c r="M640" s="277"/>
      <c r="N640" s="277"/>
      <c r="O640" s="277"/>
      <c r="P640" s="277"/>
      <c r="Q640" s="277"/>
      <c r="R640" s="281">
        <f t="shared" si="653"/>
        <v>0</v>
      </c>
      <c r="S640" s="277"/>
      <c r="T640" s="277"/>
      <c r="U640" s="277"/>
      <c r="V640" s="277"/>
      <c r="W640" s="277"/>
      <c r="X640" s="277"/>
      <c r="Y640" s="277"/>
      <c r="Z640" s="277"/>
      <c r="AA640" s="281">
        <f t="shared" si="835"/>
        <v>0</v>
      </c>
      <c r="AB640" s="403">
        <f t="shared" si="839"/>
        <v>0</v>
      </c>
      <c r="AC640" s="326" t="e">
        <f t="shared" si="865"/>
        <v>#DIV/0!</v>
      </c>
    </row>
    <row r="641" spans="1:29" ht="14.25" hidden="1" x14ac:dyDescent="0.2">
      <c r="A641" s="424"/>
      <c r="B641" s="323" t="s">
        <v>882</v>
      </c>
      <c r="C641" s="206" t="s">
        <v>299</v>
      </c>
      <c r="D641" s="332"/>
      <c r="E641" s="325">
        <f>SUM('ADICIONES  2021'!C641:N641)</f>
        <v>0</v>
      </c>
      <c r="F641" s="277"/>
      <c r="G641" s="277"/>
      <c r="H641" s="277"/>
      <c r="I641" s="277"/>
      <c r="J641" s="277"/>
      <c r="K641" s="281">
        <f t="shared" si="834"/>
        <v>0</v>
      </c>
      <c r="L641" s="277"/>
      <c r="M641" s="277"/>
      <c r="N641" s="277">
        <v>2281458860.8000002</v>
      </c>
      <c r="O641" s="277"/>
      <c r="P641" s="277"/>
      <c r="Q641" s="277"/>
      <c r="R641" s="281">
        <f t="shared" si="653"/>
        <v>2281458860.8000002</v>
      </c>
      <c r="S641" s="277"/>
      <c r="T641" s="277"/>
      <c r="U641" s="277"/>
      <c r="V641" s="277"/>
      <c r="W641" s="277"/>
      <c r="X641" s="277"/>
      <c r="Y641" s="277"/>
      <c r="Z641" s="277"/>
      <c r="AA641" s="281">
        <f t="shared" si="835"/>
        <v>0</v>
      </c>
      <c r="AB641" s="403">
        <f t="shared" si="839"/>
        <v>2281458860.8000002</v>
      </c>
      <c r="AC641" s="326">
        <v>0</v>
      </c>
    </row>
    <row r="642" spans="1:29" ht="14.25" hidden="1" x14ac:dyDescent="0.2">
      <c r="A642" s="424"/>
      <c r="B642" s="323" t="s">
        <v>882</v>
      </c>
      <c r="C642" s="206" t="s">
        <v>299</v>
      </c>
      <c r="D642" s="332"/>
      <c r="E642" s="325">
        <f>SUM('ADICIONES  2021'!C642:N642)</f>
        <v>2281458860.8000002</v>
      </c>
      <c r="F642" s="277"/>
      <c r="G642" s="277"/>
      <c r="H642" s="277"/>
      <c r="I642" s="277"/>
      <c r="J642" s="277"/>
      <c r="K642" s="281">
        <f t="shared" si="834"/>
        <v>2281458860.8000002</v>
      </c>
      <c r="L642" s="277"/>
      <c r="M642" s="277"/>
      <c r="N642" s="277"/>
      <c r="O642" s="277"/>
      <c r="P642" s="277"/>
      <c r="Q642" s="277"/>
      <c r="R642" s="281">
        <f t="shared" si="653"/>
        <v>0</v>
      </c>
      <c r="S642" s="277"/>
      <c r="T642" s="277"/>
      <c r="U642" s="277"/>
      <c r="V642" s="277"/>
      <c r="W642" s="277"/>
      <c r="X642" s="277"/>
      <c r="Y642" s="277"/>
      <c r="Z642" s="277"/>
      <c r="AA642" s="281">
        <f t="shared" si="835"/>
        <v>0</v>
      </c>
      <c r="AB642" s="403">
        <f t="shared" si="839"/>
        <v>0</v>
      </c>
      <c r="AC642" s="326">
        <f t="shared" si="865"/>
        <v>0</v>
      </c>
    </row>
    <row r="643" spans="1:29" ht="14.25" hidden="1" x14ac:dyDescent="0.2">
      <c r="A643" s="424"/>
      <c r="B643" s="323" t="s">
        <v>883</v>
      </c>
      <c r="C643" s="206" t="s">
        <v>300</v>
      </c>
      <c r="D643" s="332"/>
      <c r="E643" s="325">
        <f>SUM('ADICIONES  2021'!C643:N643)</f>
        <v>0</v>
      </c>
      <c r="F643" s="277"/>
      <c r="G643" s="277"/>
      <c r="H643" s="277"/>
      <c r="I643" s="277"/>
      <c r="J643" s="277"/>
      <c r="K643" s="281">
        <f t="shared" si="834"/>
        <v>0</v>
      </c>
      <c r="L643" s="277"/>
      <c r="M643" s="277"/>
      <c r="N643" s="277"/>
      <c r="O643" s="277"/>
      <c r="P643" s="277"/>
      <c r="Q643" s="277"/>
      <c r="R643" s="281">
        <f t="shared" si="653"/>
        <v>0</v>
      </c>
      <c r="S643" s="277"/>
      <c r="T643" s="277"/>
      <c r="U643" s="277"/>
      <c r="V643" s="277"/>
      <c r="W643" s="277"/>
      <c r="X643" s="277"/>
      <c r="Y643" s="277"/>
      <c r="Z643" s="277"/>
      <c r="AA643" s="281">
        <f t="shared" si="835"/>
        <v>0</v>
      </c>
      <c r="AB643" s="403">
        <f t="shared" si="839"/>
        <v>0</v>
      </c>
      <c r="AC643" s="326" t="e">
        <f t="shared" si="865"/>
        <v>#DIV/0!</v>
      </c>
    </row>
    <row r="644" spans="1:29" ht="14.25" hidden="1" x14ac:dyDescent="0.2">
      <c r="A644" s="424"/>
      <c r="B644" s="323" t="s">
        <v>884</v>
      </c>
      <c r="C644" s="206" t="s">
        <v>301</v>
      </c>
      <c r="D644" s="332"/>
      <c r="E644" s="325">
        <f>SUM('ADICIONES  2021'!C644:N644)</f>
        <v>0</v>
      </c>
      <c r="F644" s="277"/>
      <c r="G644" s="277"/>
      <c r="H644" s="277"/>
      <c r="I644" s="277"/>
      <c r="J644" s="277"/>
      <c r="K644" s="281">
        <f t="shared" si="834"/>
        <v>0</v>
      </c>
      <c r="L644" s="277"/>
      <c r="M644" s="277"/>
      <c r="N644" s="277"/>
      <c r="O644" s="277"/>
      <c r="P644" s="277"/>
      <c r="Q644" s="277"/>
      <c r="R644" s="281">
        <f t="shared" si="653"/>
        <v>0</v>
      </c>
      <c r="S644" s="277"/>
      <c r="T644" s="277"/>
      <c r="U644" s="277"/>
      <c r="V644" s="277"/>
      <c r="W644" s="277"/>
      <c r="X644" s="277"/>
      <c r="Y644" s="277"/>
      <c r="Z644" s="277"/>
      <c r="AA644" s="281">
        <f t="shared" si="835"/>
        <v>0</v>
      </c>
      <c r="AB644" s="403">
        <f t="shared" si="839"/>
        <v>0</v>
      </c>
      <c r="AC644" s="326" t="e">
        <f t="shared" si="865"/>
        <v>#DIV/0!</v>
      </c>
    </row>
    <row r="645" spans="1:29" ht="25.5" hidden="1" x14ac:dyDescent="0.2">
      <c r="A645" s="424"/>
      <c r="B645" s="323" t="s">
        <v>885</v>
      </c>
      <c r="C645" s="206" t="s">
        <v>302</v>
      </c>
      <c r="D645" s="332"/>
      <c r="E645" s="325">
        <f>SUM('ADICIONES  2021'!C645:N645)</f>
        <v>0</v>
      </c>
      <c r="F645" s="277"/>
      <c r="G645" s="277"/>
      <c r="H645" s="277"/>
      <c r="I645" s="277"/>
      <c r="J645" s="277"/>
      <c r="K645" s="281">
        <f t="shared" si="834"/>
        <v>0</v>
      </c>
      <c r="L645" s="277"/>
      <c r="M645" s="277"/>
      <c r="N645" s="277"/>
      <c r="O645" s="277"/>
      <c r="P645" s="277"/>
      <c r="Q645" s="277"/>
      <c r="R645" s="281">
        <f t="shared" si="653"/>
        <v>0</v>
      </c>
      <c r="S645" s="277"/>
      <c r="T645" s="277"/>
      <c r="U645" s="277"/>
      <c r="V645" s="277"/>
      <c r="W645" s="277"/>
      <c r="X645" s="277"/>
      <c r="Y645" s="277"/>
      <c r="Z645" s="277"/>
      <c r="AA645" s="281">
        <f t="shared" si="835"/>
        <v>0</v>
      </c>
      <c r="AB645" s="403">
        <f t="shared" si="839"/>
        <v>0</v>
      </c>
      <c r="AC645" s="326" t="e">
        <f t="shared" si="865"/>
        <v>#DIV/0!</v>
      </c>
    </row>
    <row r="646" spans="1:29" ht="14.25" hidden="1" x14ac:dyDescent="0.2">
      <c r="A646" s="424"/>
      <c r="B646" s="323" t="s">
        <v>886</v>
      </c>
      <c r="C646" s="206" t="s">
        <v>303</v>
      </c>
      <c r="D646" s="332"/>
      <c r="E646" s="325">
        <f>SUM('ADICIONES  2021'!C646:N646)</f>
        <v>0</v>
      </c>
      <c r="F646" s="277"/>
      <c r="G646" s="277"/>
      <c r="H646" s="277"/>
      <c r="I646" s="277"/>
      <c r="J646" s="277"/>
      <c r="K646" s="281">
        <f t="shared" si="834"/>
        <v>0</v>
      </c>
      <c r="L646" s="277"/>
      <c r="M646" s="277"/>
      <c r="N646" s="277"/>
      <c r="O646" s="277"/>
      <c r="P646" s="277"/>
      <c r="Q646" s="277"/>
      <c r="R646" s="281">
        <f t="shared" si="653"/>
        <v>0</v>
      </c>
      <c r="S646" s="277"/>
      <c r="T646" s="277"/>
      <c r="U646" s="277"/>
      <c r="V646" s="277"/>
      <c r="W646" s="277"/>
      <c r="X646" s="277"/>
      <c r="Y646" s="277"/>
      <c r="Z646" s="277"/>
      <c r="AA646" s="281">
        <f t="shared" si="835"/>
        <v>0</v>
      </c>
      <c r="AB646" s="403">
        <f t="shared" si="839"/>
        <v>0</v>
      </c>
      <c r="AC646" s="326" t="e">
        <f t="shared" si="865"/>
        <v>#DIV/0!</v>
      </c>
    </row>
    <row r="647" spans="1:29" ht="14.25" hidden="1" x14ac:dyDescent="0.2">
      <c r="A647" s="424"/>
      <c r="B647" s="323" t="s">
        <v>887</v>
      </c>
      <c r="C647" s="206" t="s">
        <v>304</v>
      </c>
      <c r="D647" s="332"/>
      <c r="E647" s="325">
        <f>SUM('ADICIONES  2021'!C647:N647)</f>
        <v>0</v>
      </c>
      <c r="F647" s="277"/>
      <c r="G647" s="277"/>
      <c r="H647" s="277"/>
      <c r="I647" s="277"/>
      <c r="J647" s="277"/>
      <c r="K647" s="281">
        <f t="shared" si="834"/>
        <v>0</v>
      </c>
      <c r="L647" s="277"/>
      <c r="M647" s="277"/>
      <c r="N647" s="277"/>
      <c r="O647" s="277"/>
      <c r="P647" s="277"/>
      <c r="Q647" s="277"/>
      <c r="R647" s="281">
        <f t="shared" si="653"/>
        <v>0</v>
      </c>
      <c r="S647" s="277"/>
      <c r="T647" s="277"/>
      <c r="U647" s="277"/>
      <c r="V647" s="277"/>
      <c r="W647" s="277"/>
      <c r="X647" s="277"/>
      <c r="Y647" s="277"/>
      <c r="Z647" s="277"/>
      <c r="AA647" s="281">
        <f t="shared" si="835"/>
        <v>0</v>
      </c>
      <c r="AB647" s="403">
        <f t="shared" si="839"/>
        <v>0</v>
      </c>
      <c r="AC647" s="326" t="e">
        <f t="shared" si="865"/>
        <v>#DIV/0!</v>
      </c>
    </row>
    <row r="648" spans="1:29" ht="14.25" hidden="1" x14ac:dyDescent="0.2">
      <c r="A648" s="424"/>
      <c r="B648" s="323" t="s">
        <v>888</v>
      </c>
      <c r="C648" s="206" t="s">
        <v>889</v>
      </c>
      <c r="D648" s="332"/>
      <c r="E648" s="325">
        <f>SUM('ADICIONES  2021'!C648:N648)</f>
        <v>0</v>
      </c>
      <c r="F648" s="277"/>
      <c r="G648" s="277"/>
      <c r="H648" s="277"/>
      <c r="I648" s="277"/>
      <c r="J648" s="277"/>
      <c r="K648" s="281">
        <f t="shared" si="834"/>
        <v>0</v>
      </c>
      <c r="L648" s="277"/>
      <c r="M648" s="277"/>
      <c r="N648" s="277"/>
      <c r="O648" s="277"/>
      <c r="P648" s="277"/>
      <c r="Q648" s="277"/>
      <c r="R648" s="281">
        <f t="shared" si="653"/>
        <v>0</v>
      </c>
      <c r="S648" s="277"/>
      <c r="T648" s="277"/>
      <c r="U648" s="277"/>
      <c r="V648" s="277"/>
      <c r="W648" s="277"/>
      <c r="X648" s="277"/>
      <c r="Y648" s="277"/>
      <c r="Z648" s="277"/>
      <c r="AA648" s="281">
        <f t="shared" si="835"/>
        <v>0</v>
      </c>
      <c r="AB648" s="403">
        <f t="shared" si="839"/>
        <v>0</v>
      </c>
      <c r="AC648" s="326" t="e">
        <f t="shared" si="865"/>
        <v>#DIV/0!</v>
      </c>
    </row>
    <row r="649" spans="1:29" ht="14.25" hidden="1" x14ac:dyDescent="0.2">
      <c r="A649" s="424"/>
      <c r="B649" s="323" t="s">
        <v>890</v>
      </c>
      <c r="C649" s="206" t="s">
        <v>305</v>
      </c>
      <c r="D649" s="332"/>
      <c r="E649" s="325">
        <f>SUM('ADICIONES  2021'!C649:N649)</f>
        <v>0</v>
      </c>
      <c r="F649" s="277"/>
      <c r="G649" s="277"/>
      <c r="H649" s="277"/>
      <c r="I649" s="277"/>
      <c r="J649" s="277"/>
      <c r="K649" s="281">
        <f t="shared" si="834"/>
        <v>0</v>
      </c>
      <c r="L649" s="277"/>
      <c r="M649" s="277"/>
      <c r="N649" s="277"/>
      <c r="O649" s="277"/>
      <c r="P649" s="277"/>
      <c r="Q649" s="277"/>
      <c r="R649" s="281">
        <f t="shared" si="653"/>
        <v>0</v>
      </c>
      <c r="S649" s="277"/>
      <c r="T649" s="277"/>
      <c r="U649" s="277"/>
      <c r="V649" s="277"/>
      <c r="W649" s="277"/>
      <c r="X649" s="277"/>
      <c r="Y649" s="277"/>
      <c r="Z649" s="277"/>
      <c r="AA649" s="281">
        <f t="shared" si="835"/>
        <v>0</v>
      </c>
      <c r="AB649" s="403">
        <f t="shared" si="839"/>
        <v>0</v>
      </c>
      <c r="AC649" s="326" t="e">
        <f t="shared" si="865"/>
        <v>#DIV/0!</v>
      </c>
    </row>
    <row r="650" spans="1:29" ht="14.25" hidden="1" x14ac:dyDescent="0.2">
      <c r="A650" s="424"/>
      <c r="B650" s="323" t="s">
        <v>891</v>
      </c>
      <c r="C650" s="206" t="s">
        <v>306</v>
      </c>
      <c r="D650" s="332"/>
      <c r="E650" s="325">
        <f>SUM('ADICIONES  2021'!C650:N650)</f>
        <v>0</v>
      </c>
      <c r="F650" s="277"/>
      <c r="G650" s="277"/>
      <c r="H650" s="277"/>
      <c r="I650" s="277"/>
      <c r="J650" s="277"/>
      <c r="K650" s="281">
        <f t="shared" si="834"/>
        <v>0</v>
      </c>
      <c r="L650" s="277"/>
      <c r="M650" s="277"/>
      <c r="N650" s="277"/>
      <c r="O650" s="277"/>
      <c r="P650" s="277"/>
      <c r="Q650" s="277"/>
      <c r="R650" s="281">
        <f t="shared" si="653"/>
        <v>0</v>
      </c>
      <c r="S650" s="277"/>
      <c r="T650" s="277"/>
      <c r="U650" s="277"/>
      <c r="V650" s="277"/>
      <c r="W650" s="277"/>
      <c r="X650" s="277"/>
      <c r="Y650" s="277"/>
      <c r="Z650" s="277"/>
      <c r="AA650" s="281">
        <f t="shared" si="835"/>
        <v>0</v>
      </c>
      <c r="AB650" s="403">
        <f t="shared" si="839"/>
        <v>0</v>
      </c>
      <c r="AC650" s="326" t="e">
        <f t="shared" si="865"/>
        <v>#DIV/0!</v>
      </c>
    </row>
    <row r="651" spans="1:29" ht="25.5" hidden="1" x14ac:dyDescent="0.2">
      <c r="A651" s="424"/>
      <c r="B651" s="323" t="s">
        <v>892</v>
      </c>
      <c r="C651" s="206" t="s">
        <v>893</v>
      </c>
      <c r="D651" s="332"/>
      <c r="E651" s="325">
        <f>SUM('ADICIONES  2021'!C651:N651)</f>
        <v>0</v>
      </c>
      <c r="F651" s="277"/>
      <c r="G651" s="277"/>
      <c r="H651" s="277"/>
      <c r="I651" s="277"/>
      <c r="J651" s="277"/>
      <c r="K651" s="281">
        <f t="shared" si="834"/>
        <v>0</v>
      </c>
      <c r="L651" s="277"/>
      <c r="M651" s="277"/>
      <c r="N651" s="277"/>
      <c r="O651" s="277"/>
      <c r="P651" s="277"/>
      <c r="Q651" s="277"/>
      <c r="R651" s="281">
        <f t="shared" si="653"/>
        <v>0</v>
      </c>
      <c r="S651" s="277"/>
      <c r="T651" s="277"/>
      <c r="U651" s="277"/>
      <c r="V651" s="277"/>
      <c r="W651" s="277"/>
      <c r="X651" s="277"/>
      <c r="Y651" s="277"/>
      <c r="Z651" s="277"/>
      <c r="AA651" s="281">
        <f t="shared" si="835"/>
        <v>0</v>
      </c>
      <c r="AB651" s="403">
        <f t="shared" si="839"/>
        <v>0</v>
      </c>
      <c r="AC651" s="326" t="e">
        <f t="shared" si="865"/>
        <v>#DIV/0!</v>
      </c>
    </row>
    <row r="652" spans="1:29" ht="14.25" hidden="1" x14ac:dyDescent="0.2">
      <c r="A652" s="424"/>
      <c r="B652" s="323" t="s">
        <v>894</v>
      </c>
      <c r="C652" s="206" t="s">
        <v>895</v>
      </c>
      <c r="D652" s="332"/>
      <c r="E652" s="325">
        <f>SUM('ADICIONES  2021'!C652:N652)</f>
        <v>0</v>
      </c>
      <c r="F652" s="277"/>
      <c r="G652" s="277"/>
      <c r="H652" s="277"/>
      <c r="I652" s="277"/>
      <c r="J652" s="277"/>
      <c r="K652" s="281">
        <f t="shared" si="834"/>
        <v>0</v>
      </c>
      <c r="L652" s="277"/>
      <c r="M652" s="277"/>
      <c r="N652" s="277"/>
      <c r="O652" s="277"/>
      <c r="P652" s="277"/>
      <c r="Q652" s="277"/>
      <c r="R652" s="281">
        <f t="shared" si="653"/>
        <v>0</v>
      </c>
      <c r="S652" s="277"/>
      <c r="T652" s="277"/>
      <c r="U652" s="277"/>
      <c r="V652" s="277"/>
      <c r="W652" s="277"/>
      <c r="X652" s="277"/>
      <c r="Y652" s="277"/>
      <c r="Z652" s="277"/>
      <c r="AA652" s="281">
        <f t="shared" si="835"/>
        <v>0</v>
      </c>
      <c r="AB652" s="403">
        <f t="shared" si="839"/>
        <v>0</v>
      </c>
      <c r="AC652" s="326" t="e">
        <f t="shared" si="865"/>
        <v>#DIV/0!</v>
      </c>
    </row>
    <row r="653" spans="1:29" ht="14.25" hidden="1" x14ac:dyDescent="0.2">
      <c r="A653" s="424"/>
      <c r="B653" s="323" t="s">
        <v>896</v>
      </c>
      <c r="C653" s="206" t="s">
        <v>897</v>
      </c>
      <c r="D653" s="332"/>
      <c r="E653" s="325">
        <f>SUM('ADICIONES  2021'!C653:N653)</f>
        <v>0</v>
      </c>
      <c r="F653" s="281"/>
      <c r="G653" s="281"/>
      <c r="H653" s="281"/>
      <c r="I653" s="281"/>
      <c r="J653" s="281"/>
      <c r="K653" s="281">
        <f t="shared" si="834"/>
        <v>0</v>
      </c>
      <c r="L653" s="281"/>
      <c r="M653" s="281"/>
      <c r="N653" s="281"/>
      <c r="O653" s="281"/>
      <c r="P653" s="281"/>
      <c r="Q653" s="281"/>
      <c r="R653" s="281">
        <f t="shared" si="653"/>
        <v>0</v>
      </c>
      <c r="S653" s="281"/>
      <c r="T653" s="281"/>
      <c r="U653" s="281"/>
      <c r="V653" s="281"/>
      <c r="W653" s="281"/>
      <c r="X653" s="281"/>
      <c r="Y653" s="281"/>
      <c r="Z653" s="281"/>
      <c r="AA653" s="281">
        <f t="shared" si="835"/>
        <v>0</v>
      </c>
      <c r="AB653" s="403">
        <f t="shared" si="839"/>
        <v>0</v>
      </c>
      <c r="AC653" s="326" t="e">
        <f t="shared" si="865"/>
        <v>#DIV/0!</v>
      </c>
    </row>
    <row r="654" spans="1:29" ht="14.25" hidden="1" x14ac:dyDescent="0.2">
      <c r="A654" s="424"/>
      <c r="B654" s="323" t="s">
        <v>898</v>
      </c>
      <c r="C654" s="206" t="s">
        <v>899</v>
      </c>
      <c r="D654" s="332"/>
      <c r="E654" s="325">
        <f>SUM('ADICIONES  2021'!C654:N654)</f>
        <v>0</v>
      </c>
      <c r="F654" s="277"/>
      <c r="G654" s="277"/>
      <c r="H654" s="277"/>
      <c r="I654" s="277"/>
      <c r="J654" s="277"/>
      <c r="K654" s="281">
        <f t="shared" si="834"/>
        <v>0</v>
      </c>
      <c r="L654" s="277"/>
      <c r="M654" s="277"/>
      <c r="N654" s="277"/>
      <c r="O654" s="277"/>
      <c r="P654" s="277"/>
      <c r="Q654" s="277"/>
      <c r="R654" s="281">
        <f t="shared" si="653"/>
        <v>0</v>
      </c>
      <c r="S654" s="277"/>
      <c r="T654" s="277"/>
      <c r="U654" s="277"/>
      <c r="V654" s="277"/>
      <c r="W654" s="277"/>
      <c r="X654" s="277"/>
      <c r="Y654" s="277"/>
      <c r="Z654" s="277"/>
      <c r="AA654" s="281">
        <f t="shared" si="835"/>
        <v>0</v>
      </c>
      <c r="AB654" s="403">
        <f t="shared" si="839"/>
        <v>0</v>
      </c>
      <c r="AC654" s="326" t="e">
        <f t="shared" si="865"/>
        <v>#DIV/0!</v>
      </c>
    </row>
    <row r="655" spans="1:29" ht="14.25" hidden="1" x14ac:dyDescent="0.2">
      <c r="A655" s="424"/>
      <c r="B655" s="323" t="s">
        <v>900</v>
      </c>
      <c r="C655" s="206" t="s">
        <v>325</v>
      </c>
      <c r="D655" s="332"/>
      <c r="E655" s="325">
        <f>SUM('ADICIONES  2021'!C655:N655)</f>
        <v>123766124</v>
      </c>
      <c r="F655" s="281"/>
      <c r="G655" s="281"/>
      <c r="H655" s="281"/>
      <c r="I655" s="281"/>
      <c r="J655" s="281"/>
      <c r="K655" s="281">
        <f t="shared" si="834"/>
        <v>123766124</v>
      </c>
      <c r="L655" s="281"/>
      <c r="M655" s="281"/>
      <c r="N655" s="281"/>
      <c r="O655" s="281"/>
      <c r="P655" s="281"/>
      <c r="Q655" s="281"/>
      <c r="R655" s="281">
        <f t="shared" si="653"/>
        <v>0</v>
      </c>
      <c r="S655" s="281"/>
      <c r="T655" s="281"/>
      <c r="U655" s="281"/>
      <c r="V655" s="281"/>
      <c r="W655" s="281"/>
      <c r="X655" s="281"/>
      <c r="Y655" s="281"/>
      <c r="Z655" s="281"/>
      <c r="AA655" s="281">
        <f t="shared" si="835"/>
        <v>0</v>
      </c>
      <c r="AB655" s="403">
        <f t="shared" si="839"/>
        <v>0</v>
      </c>
      <c r="AC655" s="326">
        <f t="shared" si="865"/>
        <v>0</v>
      </c>
    </row>
    <row r="656" spans="1:29" ht="14.25" hidden="1" x14ac:dyDescent="0.2">
      <c r="A656" s="424"/>
      <c r="B656" s="323" t="s">
        <v>1896</v>
      </c>
      <c r="C656" s="206" t="s">
        <v>1897</v>
      </c>
      <c r="D656" s="332"/>
      <c r="E656" s="325">
        <f>SUM('ADICIONES  2021'!C656:N656)</f>
        <v>912138000</v>
      </c>
      <c r="F656" s="281"/>
      <c r="G656" s="281"/>
      <c r="H656" s="281"/>
      <c r="I656" s="281"/>
      <c r="J656" s="281"/>
      <c r="K656" s="281">
        <f t="shared" si="834"/>
        <v>912138000</v>
      </c>
      <c r="L656" s="281"/>
      <c r="M656" s="281"/>
      <c r="N656" s="281"/>
      <c r="O656" s="281"/>
      <c r="P656" s="281"/>
      <c r="Q656" s="281"/>
      <c r="R656" s="281">
        <f t="shared" si="653"/>
        <v>0</v>
      </c>
      <c r="S656" s="281"/>
      <c r="T656" s="281"/>
      <c r="U656" s="281"/>
      <c r="V656" s="281"/>
      <c r="W656" s="281">
        <v>123766124</v>
      </c>
      <c r="X656" s="281"/>
      <c r="Y656" s="281"/>
      <c r="Z656" s="281"/>
      <c r="AA656" s="281">
        <f t="shared" si="835"/>
        <v>123766124</v>
      </c>
      <c r="AB656" s="403">
        <f t="shared" si="839"/>
        <v>123766124</v>
      </c>
      <c r="AC656" s="326">
        <f t="shared" si="865"/>
        <v>0.13568793757085001</v>
      </c>
    </row>
    <row r="657" spans="1:29" ht="14.25" hidden="1" x14ac:dyDescent="0.2">
      <c r="A657" s="424"/>
      <c r="B657" s="323" t="s">
        <v>1898</v>
      </c>
      <c r="C657" s="206" t="s">
        <v>1899</v>
      </c>
      <c r="D657" s="332"/>
      <c r="E657" s="325">
        <f>SUM('ADICIONES  2021'!C657:N657)</f>
        <v>0</v>
      </c>
      <c r="F657" s="281"/>
      <c r="G657" s="281"/>
      <c r="H657" s="281"/>
      <c r="I657" s="281"/>
      <c r="J657" s="281"/>
      <c r="K657" s="281">
        <f t="shared" si="834"/>
        <v>0</v>
      </c>
      <c r="L657" s="281"/>
      <c r="M657" s="281"/>
      <c r="N657" s="281"/>
      <c r="O657" s="281"/>
      <c r="P657" s="281"/>
      <c r="Q657" s="281"/>
      <c r="R657" s="281">
        <f t="shared" si="653"/>
        <v>0</v>
      </c>
      <c r="S657" s="281"/>
      <c r="T657" s="281"/>
      <c r="U657" s="281"/>
      <c r="V657" s="281"/>
      <c r="W657" s="281">
        <v>912138000</v>
      </c>
      <c r="X657" s="281"/>
      <c r="Y657" s="281"/>
      <c r="Z657" s="281"/>
      <c r="AA657" s="281">
        <f t="shared" si="835"/>
        <v>912138000</v>
      </c>
      <c r="AB657" s="403">
        <f t="shared" si="839"/>
        <v>912138000</v>
      </c>
      <c r="AC657" s="326">
        <v>0</v>
      </c>
    </row>
    <row r="658" spans="1:29" ht="25.5" hidden="1" x14ac:dyDescent="0.2">
      <c r="A658" s="424"/>
      <c r="B658" s="323" t="s">
        <v>901</v>
      </c>
      <c r="C658" s="206" t="s">
        <v>902</v>
      </c>
      <c r="D658" s="332"/>
      <c r="E658" s="325">
        <f>SUM('ADICIONES  2021'!C658:N658)</f>
        <v>0</v>
      </c>
      <c r="F658" s="281"/>
      <c r="G658" s="281"/>
      <c r="H658" s="281"/>
      <c r="I658" s="281"/>
      <c r="J658" s="281"/>
      <c r="K658" s="281">
        <f t="shared" si="834"/>
        <v>0</v>
      </c>
      <c r="L658" s="281"/>
      <c r="M658" s="281"/>
      <c r="N658" s="281"/>
      <c r="O658" s="281"/>
      <c r="P658" s="281"/>
      <c r="Q658" s="281"/>
      <c r="R658" s="281">
        <f t="shared" ref="R658" si="872">SUM(L658:Q658)</f>
        <v>0</v>
      </c>
      <c r="S658" s="281"/>
      <c r="T658" s="281"/>
      <c r="U658" s="281"/>
      <c r="V658" s="281"/>
      <c r="W658" s="281"/>
      <c r="X658" s="281"/>
      <c r="Y658" s="281"/>
      <c r="Z658" s="281"/>
      <c r="AA658" s="281">
        <f t="shared" si="835"/>
        <v>0</v>
      </c>
      <c r="AB658" s="403">
        <f t="shared" si="839"/>
        <v>0</v>
      </c>
      <c r="AC658" s="326" t="e">
        <f t="shared" si="865"/>
        <v>#DIV/0!</v>
      </c>
    </row>
    <row r="659" spans="1:29" ht="25.5" x14ac:dyDescent="0.2">
      <c r="A659" s="427">
        <v>1</v>
      </c>
      <c r="B659" s="323" t="s">
        <v>903</v>
      </c>
      <c r="C659" s="206" t="s">
        <v>904</v>
      </c>
      <c r="D659" s="332"/>
      <c r="E659" s="325">
        <f>SUM('ADICIONES  2021'!C659:N659)</f>
        <v>0</v>
      </c>
      <c r="F659" s="281"/>
      <c r="G659" s="281"/>
      <c r="H659" s="281"/>
      <c r="I659" s="281"/>
      <c r="J659" s="281"/>
      <c r="K659" s="281">
        <f t="shared" si="834"/>
        <v>0</v>
      </c>
      <c r="L659" s="281"/>
      <c r="M659" s="281"/>
      <c r="N659" s="281"/>
      <c r="O659" s="281"/>
      <c r="P659" s="281"/>
      <c r="Q659" s="281"/>
      <c r="R659" s="281">
        <f t="shared" si="653"/>
        <v>0</v>
      </c>
      <c r="S659" s="281"/>
      <c r="T659" s="281"/>
      <c r="U659" s="281"/>
      <c r="V659" s="281"/>
      <c r="W659" s="281"/>
      <c r="X659" s="281"/>
      <c r="Y659" s="281"/>
      <c r="Z659" s="281"/>
      <c r="AA659" s="281">
        <f t="shared" si="835"/>
        <v>0</v>
      </c>
      <c r="AB659" s="403">
        <f t="shared" si="839"/>
        <v>0</v>
      </c>
      <c r="AC659" s="326" t="e">
        <f t="shared" si="865"/>
        <v>#DIV/0!</v>
      </c>
    </row>
    <row r="660" spans="1:29" ht="25.5" hidden="1" x14ac:dyDescent="0.2">
      <c r="A660" s="424"/>
      <c r="B660" s="323" t="s">
        <v>905</v>
      </c>
      <c r="C660" s="206" t="s">
        <v>307</v>
      </c>
      <c r="D660" s="332"/>
      <c r="E660" s="325">
        <f>SUM('ADICIONES  2021'!C660:N660)</f>
        <v>0</v>
      </c>
      <c r="F660" s="281"/>
      <c r="G660" s="281"/>
      <c r="H660" s="281"/>
      <c r="I660" s="281"/>
      <c r="J660" s="281"/>
      <c r="K660" s="281">
        <f t="shared" si="834"/>
        <v>0</v>
      </c>
      <c r="L660" s="281"/>
      <c r="M660" s="281">
        <v>1916524</v>
      </c>
      <c r="N660" s="281">
        <v>486469</v>
      </c>
      <c r="O660" s="281"/>
      <c r="P660" s="281">
        <v>58150835.5</v>
      </c>
      <c r="Q660" s="281">
        <v>4838089.75</v>
      </c>
      <c r="R660" s="281">
        <f t="shared" ref="R660:R662" si="873">SUM(L660:Q660)</f>
        <v>65391918.25</v>
      </c>
      <c r="S660" s="281">
        <v>32684433.440000001</v>
      </c>
      <c r="T660" s="281"/>
      <c r="U660" s="281">
        <v>11775108.060000001</v>
      </c>
      <c r="V660" s="281"/>
      <c r="W660" s="281">
        <v>-109851459.75</v>
      </c>
      <c r="X660" s="281"/>
      <c r="Y660" s="281"/>
      <c r="Z660" s="281"/>
      <c r="AA660" s="281">
        <f t="shared" si="835"/>
        <v>-65391918.25</v>
      </c>
      <c r="AB660" s="403">
        <f t="shared" si="839"/>
        <v>0</v>
      </c>
      <c r="AC660" s="326">
        <v>0</v>
      </c>
    </row>
    <row r="661" spans="1:29" ht="25.5" hidden="1" x14ac:dyDescent="0.2">
      <c r="A661" s="424"/>
      <c r="B661" s="323" t="s">
        <v>905</v>
      </c>
      <c r="C661" s="206" t="s">
        <v>307</v>
      </c>
      <c r="D661" s="332"/>
      <c r="E661" s="325">
        <f>SUM('ADICIONES  2021'!C661:N661)</f>
        <v>98087472</v>
      </c>
      <c r="F661" s="281"/>
      <c r="G661" s="281"/>
      <c r="H661" s="281"/>
      <c r="I661" s="281"/>
      <c r="J661" s="281"/>
      <c r="K661" s="281">
        <f t="shared" si="834"/>
        <v>98087472</v>
      </c>
      <c r="L661" s="281"/>
      <c r="M661" s="281"/>
      <c r="N661" s="281"/>
      <c r="O661" s="281"/>
      <c r="P661" s="281"/>
      <c r="Q661" s="281"/>
      <c r="R661" s="281">
        <f t="shared" si="873"/>
        <v>0</v>
      </c>
      <c r="S661" s="281"/>
      <c r="T661" s="281"/>
      <c r="U661" s="281"/>
      <c r="V661" s="281"/>
      <c r="W661" s="281">
        <v>111747395.26000001</v>
      </c>
      <c r="X661" s="281"/>
      <c r="Y661" s="281"/>
      <c r="Z661" s="281"/>
      <c r="AA661" s="281">
        <f t="shared" si="835"/>
        <v>111747395.26000001</v>
      </c>
      <c r="AB661" s="403">
        <f t="shared" si="839"/>
        <v>111747395.26000001</v>
      </c>
      <c r="AC661" s="326">
        <v>1</v>
      </c>
    </row>
    <row r="662" spans="1:29" ht="14.25" hidden="1" x14ac:dyDescent="0.2">
      <c r="A662" s="424"/>
      <c r="B662" s="323" t="s">
        <v>906</v>
      </c>
      <c r="C662" s="206" t="s">
        <v>907</v>
      </c>
      <c r="D662" s="332"/>
      <c r="E662" s="325">
        <f>SUM('ADICIONES  2021'!C662:N662)</f>
        <v>0</v>
      </c>
      <c r="F662" s="281"/>
      <c r="G662" s="281"/>
      <c r="H662" s="281"/>
      <c r="I662" s="281"/>
      <c r="J662" s="281"/>
      <c r="K662" s="281">
        <f t="shared" si="834"/>
        <v>0</v>
      </c>
      <c r="L662" s="281"/>
      <c r="M662" s="281"/>
      <c r="N662" s="281"/>
      <c r="O662" s="281"/>
      <c r="P662" s="281"/>
      <c r="Q662" s="281">
        <v>0</v>
      </c>
      <c r="R662" s="281">
        <f t="shared" si="873"/>
        <v>0</v>
      </c>
      <c r="S662" s="281"/>
      <c r="T662" s="281"/>
      <c r="U662" s="281">
        <v>9236.4</v>
      </c>
      <c r="V662" s="281"/>
      <c r="W662" s="281">
        <v>10044.200000000001</v>
      </c>
      <c r="X662" s="281"/>
      <c r="Y662" s="281"/>
      <c r="Z662" s="281"/>
      <c r="AA662" s="281">
        <f t="shared" si="835"/>
        <v>19280.599999999999</v>
      </c>
      <c r="AB662" s="403">
        <f t="shared" si="839"/>
        <v>19280.599999999999</v>
      </c>
      <c r="AC662" s="326">
        <v>0</v>
      </c>
    </row>
    <row r="663" spans="1:29" ht="14.25" hidden="1" x14ac:dyDescent="0.2">
      <c r="A663" s="424"/>
      <c r="B663" s="323" t="s">
        <v>908</v>
      </c>
      <c r="C663" s="206" t="s">
        <v>909</v>
      </c>
      <c r="D663" s="332"/>
      <c r="E663" s="325">
        <f>SUM('ADICIONES  2021'!C663:N663)</f>
        <v>0</v>
      </c>
      <c r="F663" s="281"/>
      <c r="G663" s="281"/>
      <c r="H663" s="281"/>
      <c r="I663" s="281"/>
      <c r="J663" s="281"/>
      <c r="K663" s="281">
        <f t="shared" si="834"/>
        <v>0</v>
      </c>
      <c r="L663" s="281"/>
      <c r="M663" s="281"/>
      <c r="N663" s="281"/>
      <c r="O663" s="281"/>
      <c r="P663" s="281"/>
      <c r="Q663" s="281">
        <v>0</v>
      </c>
      <c r="R663" s="281">
        <f t="shared" si="653"/>
        <v>0</v>
      </c>
      <c r="S663" s="281"/>
      <c r="T663" s="281">
        <v>439739</v>
      </c>
      <c r="U663" s="281">
        <v>0</v>
      </c>
      <c r="V663" s="281"/>
      <c r="W663" s="281">
        <v>463119.17</v>
      </c>
      <c r="X663" s="281"/>
      <c r="Y663" s="281"/>
      <c r="Z663" s="281"/>
      <c r="AA663" s="281">
        <f t="shared" si="835"/>
        <v>902858.16999999993</v>
      </c>
      <c r="AB663" s="403">
        <f t="shared" si="839"/>
        <v>902858.16999999993</v>
      </c>
      <c r="AC663" s="326">
        <v>0</v>
      </c>
    </row>
    <row r="664" spans="1:29" ht="14.25" hidden="1" x14ac:dyDescent="0.2">
      <c r="A664" s="424"/>
      <c r="B664" s="323" t="s">
        <v>910</v>
      </c>
      <c r="C664" s="206" t="s">
        <v>911</v>
      </c>
      <c r="D664" s="332"/>
      <c r="E664" s="325">
        <f>SUM('ADICIONES  2021'!C664:N664)</f>
        <v>409565306.75</v>
      </c>
      <c r="F664" s="281"/>
      <c r="G664" s="281"/>
      <c r="H664" s="281"/>
      <c r="I664" s="281"/>
      <c r="J664" s="281"/>
      <c r="K664" s="281">
        <f t="shared" si="834"/>
        <v>409565306.75</v>
      </c>
      <c r="L664" s="281"/>
      <c r="M664" s="281"/>
      <c r="N664" s="281"/>
      <c r="O664" s="281"/>
      <c r="P664" s="281"/>
      <c r="Q664" s="281">
        <v>0</v>
      </c>
      <c r="R664" s="281">
        <f t="shared" si="653"/>
        <v>0</v>
      </c>
      <c r="S664" s="281"/>
      <c r="T664" s="281"/>
      <c r="U664" s="281">
        <v>0</v>
      </c>
      <c r="V664" s="281"/>
      <c r="W664" s="281">
        <v>409565306.75</v>
      </c>
      <c r="X664" s="281"/>
      <c r="Y664" s="281"/>
      <c r="Z664" s="281"/>
      <c r="AA664" s="281">
        <f t="shared" si="835"/>
        <v>409565306.75</v>
      </c>
      <c r="AB664" s="403">
        <f t="shared" si="839"/>
        <v>409565306.75</v>
      </c>
      <c r="AC664" s="326">
        <f t="shared" si="865"/>
        <v>1</v>
      </c>
    </row>
    <row r="665" spans="1:29" ht="14.25" hidden="1" x14ac:dyDescent="0.2">
      <c r="A665" s="424"/>
      <c r="B665" s="323" t="s">
        <v>912</v>
      </c>
      <c r="C665" s="206" t="s">
        <v>913</v>
      </c>
      <c r="D665" s="332"/>
      <c r="E665" s="325">
        <f>SUM('ADICIONES  2021'!C665:N665)</f>
        <v>0</v>
      </c>
      <c r="F665" s="281"/>
      <c r="G665" s="281"/>
      <c r="H665" s="281"/>
      <c r="I665" s="281"/>
      <c r="J665" s="281"/>
      <c r="K665" s="281">
        <f t="shared" si="834"/>
        <v>0</v>
      </c>
      <c r="L665" s="281"/>
      <c r="M665" s="281"/>
      <c r="N665" s="281"/>
      <c r="O665" s="281"/>
      <c r="P665" s="281"/>
      <c r="Q665" s="281">
        <v>0</v>
      </c>
      <c r="R665" s="281">
        <f t="shared" si="653"/>
        <v>0</v>
      </c>
      <c r="S665" s="281"/>
      <c r="T665" s="281"/>
      <c r="U665" s="281">
        <v>0</v>
      </c>
      <c r="V665" s="281"/>
      <c r="W665" s="281">
        <v>0</v>
      </c>
      <c r="X665" s="281"/>
      <c r="Y665" s="281"/>
      <c r="Z665" s="281"/>
      <c r="AA665" s="281">
        <f t="shared" si="835"/>
        <v>0</v>
      </c>
      <c r="AB665" s="403">
        <f t="shared" si="839"/>
        <v>0</v>
      </c>
      <c r="AC665" s="326" t="e">
        <f t="shared" si="865"/>
        <v>#DIV/0!</v>
      </c>
    </row>
    <row r="666" spans="1:29" ht="14.25" hidden="1" x14ac:dyDescent="0.2">
      <c r="A666" s="424"/>
      <c r="B666" s="323" t="s">
        <v>914</v>
      </c>
      <c r="C666" s="206" t="s">
        <v>915</v>
      </c>
      <c r="D666" s="332"/>
      <c r="E666" s="325">
        <f>SUM('ADICIONES  2021'!C666:N666)</f>
        <v>0</v>
      </c>
      <c r="F666" s="281"/>
      <c r="G666" s="281"/>
      <c r="H666" s="281"/>
      <c r="I666" s="281"/>
      <c r="J666" s="281"/>
      <c r="K666" s="281">
        <f t="shared" si="834"/>
        <v>0</v>
      </c>
      <c r="L666" s="281"/>
      <c r="M666" s="281"/>
      <c r="N666" s="281"/>
      <c r="O666" s="281"/>
      <c r="P666" s="281">
        <v>2049869.87</v>
      </c>
      <c r="Q666" s="281">
        <v>2996293</v>
      </c>
      <c r="R666" s="281">
        <f t="shared" si="653"/>
        <v>5046162.87</v>
      </c>
      <c r="S666" s="281"/>
      <c r="T666" s="281">
        <v>644565.69999999995</v>
      </c>
      <c r="U666" s="281">
        <v>1809.93</v>
      </c>
      <c r="V666" s="281"/>
      <c r="W666" s="281">
        <v>757681.8</v>
      </c>
      <c r="X666" s="281"/>
      <c r="Y666" s="281"/>
      <c r="Z666" s="281"/>
      <c r="AA666" s="281">
        <f t="shared" si="835"/>
        <v>1404057.4300000002</v>
      </c>
      <c r="AB666" s="403">
        <f t="shared" si="839"/>
        <v>6450220.3000000007</v>
      </c>
      <c r="AC666" s="326">
        <v>0</v>
      </c>
    </row>
    <row r="667" spans="1:29" ht="25.5" hidden="1" x14ac:dyDescent="0.2">
      <c r="A667" s="424"/>
      <c r="B667" s="323" t="s">
        <v>916</v>
      </c>
      <c r="C667" s="206" t="s">
        <v>308</v>
      </c>
      <c r="D667" s="332"/>
      <c r="E667" s="325">
        <f>SUM('ADICIONES  2021'!C667:N667)</f>
        <v>0</v>
      </c>
      <c r="F667" s="277"/>
      <c r="G667" s="277"/>
      <c r="H667" s="277"/>
      <c r="I667" s="277"/>
      <c r="J667" s="277"/>
      <c r="K667" s="281">
        <f t="shared" si="834"/>
        <v>0</v>
      </c>
      <c r="L667" s="277"/>
      <c r="M667" s="277"/>
      <c r="N667" s="277">
        <v>3756634</v>
      </c>
      <c r="O667" s="277">
        <v>475284</v>
      </c>
      <c r="P667" s="277"/>
      <c r="Q667" s="277"/>
      <c r="R667" s="281">
        <f t="shared" si="653"/>
        <v>4231918</v>
      </c>
      <c r="S667" s="277">
        <v>3323474</v>
      </c>
      <c r="T667" s="277"/>
      <c r="U667" s="277">
        <v>0</v>
      </c>
      <c r="V667" s="277"/>
      <c r="W667" s="277"/>
      <c r="X667" s="277">
        <v>10178523.970000001</v>
      </c>
      <c r="Y667" s="277"/>
      <c r="Z667" s="277"/>
      <c r="AA667" s="281">
        <f t="shared" si="835"/>
        <v>13501997.970000001</v>
      </c>
      <c r="AB667" s="403">
        <f t="shared" si="839"/>
        <v>17733915.969999999</v>
      </c>
      <c r="AC667" s="326">
        <v>0</v>
      </c>
    </row>
    <row r="668" spans="1:29" ht="25.5" hidden="1" x14ac:dyDescent="0.2">
      <c r="A668" s="424"/>
      <c r="B668" s="323" t="s">
        <v>917</v>
      </c>
      <c r="C668" s="206" t="s">
        <v>309</v>
      </c>
      <c r="D668" s="332"/>
      <c r="E668" s="325">
        <f>SUM('ADICIONES  2021'!C668:N668)</f>
        <v>0</v>
      </c>
      <c r="F668" s="277"/>
      <c r="G668" s="277"/>
      <c r="H668" s="277"/>
      <c r="I668" s="277"/>
      <c r="J668" s="277"/>
      <c r="K668" s="281">
        <f t="shared" si="834"/>
        <v>0</v>
      </c>
      <c r="L668" s="277"/>
      <c r="M668" s="277"/>
      <c r="N668" s="277"/>
      <c r="O668" s="277"/>
      <c r="P668" s="277">
        <v>343642.5</v>
      </c>
      <c r="Q668" s="277"/>
      <c r="R668" s="281">
        <f t="shared" si="653"/>
        <v>343642.5</v>
      </c>
      <c r="S668" s="277"/>
      <c r="T668" s="277"/>
      <c r="U668" s="277"/>
      <c r="V668" s="277"/>
      <c r="W668" s="277"/>
      <c r="X668" s="277"/>
      <c r="Y668" s="277"/>
      <c r="Z668" s="277"/>
      <c r="AA668" s="281">
        <f t="shared" si="835"/>
        <v>0</v>
      </c>
      <c r="AB668" s="403">
        <f t="shared" si="839"/>
        <v>343642.5</v>
      </c>
      <c r="AC668" s="326">
        <v>0</v>
      </c>
    </row>
    <row r="669" spans="1:29" ht="25.5" hidden="1" x14ac:dyDescent="0.2">
      <c r="A669" s="424"/>
      <c r="B669" s="323" t="s">
        <v>918</v>
      </c>
      <c r="C669" s="206" t="s">
        <v>310</v>
      </c>
      <c r="D669" s="332"/>
      <c r="E669" s="325">
        <f>SUM('ADICIONES  2021'!C669:N669)</f>
        <v>0</v>
      </c>
      <c r="F669" s="277"/>
      <c r="G669" s="277"/>
      <c r="H669" s="277"/>
      <c r="I669" s="277"/>
      <c r="J669" s="277"/>
      <c r="K669" s="281">
        <f t="shared" si="834"/>
        <v>0</v>
      </c>
      <c r="L669" s="277"/>
      <c r="M669" s="277"/>
      <c r="N669" s="277"/>
      <c r="O669" s="277"/>
      <c r="P669" s="277"/>
      <c r="Q669" s="277"/>
      <c r="R669" s="281">
        <f t="shared" si="653"/>
        <v>0</v>
      </c>
      <c r="S669" s="277"/>
      <c r="T669" s="277">
        <v>64.12</v>
      </c>
      <c r="U669" s="277"/>
      <c r="V669" s="277"/>
      <c r="W669" s="277"/>
      <c r="X669" s="277"/>
      <c r="Y669" s="277"/>
      <c r="Z669" s="277"/>
      <c r="AA669" s="281">
        <f t="shared" si="835"/>
        <v>64.12</v>
      </c>
      <c r="AB669" s="403">
        <f t="shared" si="839"/>
        <v>64.12</v>
      </c>
      <c r="AC669" s="326">
        <v>0</v>
      </c>
    </row>
    <row r="670" spans="1:29" ht="14.25" hidden="1" x14ac:dyDescent="0.2">
      <c r="A670" s="424"/>
      <c r="B670" s="323" t="s">
        <v>919</v>
      </c>
      <c r="C670" s="206" t="s">
        <v>311</v>
      </c>
      <c r="D670" s="332"/>
      <c r="E670" s="325">
        <f>SUM('ADICIONES  2021'!C670:N670)</f>
        <v>0</v>
      </c>
      <c r="F670" s="277"/>
      <c r="G670" s="277"/>
      <c r="H670" s="277"/>
      <c r="I670" s="277"/>
      <c r="J670" s="277"/>
      <c r="K670" s="281">
        <f t="shared" si="834"/>
        <v>0</v>
      </c>
      <c r="L670" s="277"/>
      <c r="M670" s="277"/>
      <c r="N670" s="277"/>
      <c r="O670" s="277"/>
      <c r="P670" s="277"/>
      <c r="Q670" s="277"/>
      <c r="R670" s="281">
        <f t="shared" si="653"/>
        <v>0</v>
      </c>
      <c r="S670" s="277"/>
      <c r="T670" s="277">
        <v>200931</v>
      </c>
      <c r="U670" s="277"/>
      <c r="V670" s="277"/>
      <c r="W670" s="277"/>
      <c r="X670" s="277"/>
      <c r="Y670" s="277"/>
      <c r="Z670" s="277"/>
      <c r="AA670" s="281">
        <f t="shared" si="835"/>
        <v>200931</v>
      </c>
      <c r="AB670" s="403">
        <f t="shared" si="839"/>
        <v>200931</v>
      </c>
      <c r="AC670" s="326">
        <v>0</v>
      </c>
    </row>
    <row r="671" spans="1:29" ht="25.5" hidden="1" x14ac:dyDescent="0.2">
      <c r="A671" s="424"/>
      <c r="B671" s="323" t="s">
        <v>920</v>
      </c>
      <c r="C671" s="206" t="s">
        <v>312</v>
      </c>
      <c r="D671" s="332"/>
      <c r="E671" s="325">
        <f>SUM('ADICIONES  2021'!C671:N671)</f>
        <v>0</v>
      </c>
      <c r="F671" s="277"/>
      <c r="G671" s="277"/>
      <c r="H671" s="277"/>
      <c r="I671" s="277"/>
      <c r="J671" s="277"/>
      <c r="K671" s="281">
        <f t="shared" si="834"/>
        <v>0</v>
      </c>
      <c r="L671" s="277"/>
      <c r="M671" s="277"/>
      <c r="N671" s="277"/>
      <c r="O671" s="277"/>
      <c r="P671" s="277"/>
      <c r="Q671" s="277">
        <v>48830.77</v>
      </c>
      <c r="R671" s="281">
        <f t="shared" si="653"/>
        <v>48830.77</v>
      </c>
      <c r="S671" s="277">
        <v>106193.29</v>
      </c>
      <c r="T671" s="277"/>
      <c r="U671" s="277"/>
      <c r="V671" s="277"/>
      <c r="W671" s="277"/>
      <c r="X671" s="277"/>
      <c r="Y671" s="277"/>
      <c r="Z671" s="277"/>
      <c r="AA671" s="281">
        <f t="shared" si="835"/>
        <v>106193.29</v>
      </c>
      <c r="AB671" s="403">
        <f t="shared" si="839"/>
        <v>155024.06</v>
      </c>
      <c r="AC671" s="326">
        <v>0</v>
      </c>
    </row>
    <row r="672" spans="1:29" ht="25.5" hidden="1" x14ac:dyDescent="0.2">
      <c r="A672" s="424"/>
      <c r="B672" s="323" t="s">
        <v>921</v>
      </c>
      <c r="C672" s="206" t="s">
        <v>313</v>
      </c>
      <c r="D672" s="332"/>
      <c r="E672" s="325">
        <f>SUM('ADICIONES  2021'!C672:N672)</f>
        <v>0</v>
      </c>
      <c r="F672" s="277"/>
      <c r="G672" s="277"/>
      <c r="H672" s="277"/>
      <c r="I672" s="277"/>
      <c r="J672" s="277"/>
      <c r="K672" s="281">
        <f t="shared" si="834"/>
        <v>0</v>
      </c>
      <c r="L672" s="277"/>
      <c r="M672" s="277"/>
      <c r="N672" s="277"/>
      <c r="O672" s="277">
        <v>164431.26999999999</v>
      </c>
      <c r="P672" s="277"/>
      <c r="Q672" s="277">
        <v>71416.66</v>
      </c>
      <c r="R672" s="281">
        <f t="shared" si="653"/>
        <v>235847.93</v>
      </c>
      <c r="S672" s="277"/>
      <c r="T672" s="277">
        <v>4972715.5</v>
      </c>
      <c r="U672" s="277"/>
      <c r="V672" s="277"/>
      <c r="W672" s="277"/>
      <c r="X672" s="277">
        <v>983525.34</v>
      </c>
      <c r="Y672" s="277"/>
      <c r="Z672" s="277"/>
      <c r="AA672" s="281">
        <f t="shared" si="835"/>
        <v>5956240.8399999999</v>
      </c>
      <c r="AB672" s="403">
        <f t="shared" si="839"/>
        <v>6192088.7699999996</v>
      </c>
      <c r="AC672" s="326">
        <v>0</v>
      </c>
    </row>
    <row r="673" spans="1:29" ht="38.25" hidden="1" x14ac:dyDescent="0.2">
      <c r="A673" s="424"/>
      <c r="B673" s="323" t="s">
        <v>922</v>
      </c>
      <c r="C673" s="206" t="s">
        <v>314</v>
      </c>
      <c r="D673" s="332"/>
      <c r="E673" s="325">
        <f>SUM('ADICIONES  2021'!C673:N673)</f>
        <v>0</v>
      </c>
      <c r="F673" s="277"/>
      <c r="G673" s="277"/>
      <c r="H673" s="277"/>
      <c r="I673" s="277"/>
      <c r="J673" s="277"/>
      <c r="K673" s="281">
        <f t="shared" si="834"/>
        <v>0</v>
      </c>
      <c r="L673" s="277"/>
      <c r="M673" s="277"/>
      <c r="N673" s="277"/>
      <c r="O673" s="277"/>
      <c r="P673" s="277">
        <v>87341978.129999995</v>
      </c>
      <c r="Q673" s="277"/>
      <c r="R673" s="281">
        <f t="shared" si="653"/>
        <v>87341978.129999995</v>
      </c>
      <c r="S673" s="277"/>
      <c r="T673" s="277"/>
      <c r="U673" s="277"/>
      <c r="V673" s="277"/>
      <c r="W673" s="277"/>
      <c r="X673" s="277"/>
      <c r="Y673" s="277"/>
      <c r="Z673" s="277"/>
      <c r="AA673" s="281">
        <f t="shared" si="835"/>
        <v>0</v>
      </c>
      <c r="AB673" s="403">
        <f t="shared" si="839"/>
        <v>87341978.129999995</v>
      </c>
      <c r="AC673" s="326">
        <v>0</v>
      </c>
    </row>
    <row r="674" spans="1:29" ht="38.25" hidden="1" x14ac:dyDescent="0.2">
      <c r="A674" s="424"/>
      <c r="B674" s="323" t="s">
        <v>923</v>
      </c>
      <c r="C674" s="206" t="s">
        <v>315</v>
      </c>
      <c r="D674" s="332"/>
      <c r="E674" s="325">
        <f>SUM('ADICIONES  2021'!C674:N674)</f>
        <v>0</v>
      </c>
      <c r="F674" s="281"/>
      <c r="G674" s="281"/>
      <c r="H674" s="281"/>
      <c r="I674" s="281"/>
      <c r="J674" s="281"/>
      <c r="K674" s="281">
        <f t="shared" si="834"/>
        <v>0</v>
      </c>
      <c r="L674" s="281"/>
      <c r="M674" s="281"/>
      <c r="N674" s="281"/>
      <c r="O674" s="281"/>
      <c r="P674" s="281"/>
      <c r="Q674" s="281"/>
      <c r="R674" s="281">
        <f t="shared" si="653"/>
        <v>0</v>
      </c>
      <c r="S674" s="281"/>
      <c r="T674" s="281"/>
      <c r="U674" s="281"/>
      <c r="V674" s="281"/>
      <c r="W674" s="281"/>
      <c r="X674" s="281"/>
      <c r="Y674" s="281"/>
      <c r="Z674" s="281"/>
      <c r="AA674" s="281">
        <f t="shared" si="835"/>
        <v>0</v>
      </c>
      <c r="AB674" s="403">
        <f t="shared" si="839"/>
        <v>0</v>
      </c>
      <c r="AC674" s="326" t="e">
        <f t="shared" si="865"/>
        <v>#DIV/0!</v>
      </c>
    </row>
    <row r="675" spans="1:29" ht="38.25" hidden="1" x14ac:dyDescent="0.2">
      <c r="A675" s="424"/>
      <c r="B675" s="323" t="s">
        <v>924</v>
      </c>
      <c r="C675" s="206" t="s">
        <v>316</v>
      </c>
      <c r="D675" s="332"/>
      <c r="E675" s="325">
        <f>SUM('ADICIONES  2021'!C675:N675)</f>
        <v>0</v>
      </c>
      <c r="F675" s="281"/>
      <c r="G675" s="281"/>
      <c r="H675" s="281"/>
      <c r="I675" s="281"/>
      <c r="J675" s="281"/>
      <c r="K675" s="281">
        <f t="shared" si="834"/>
        <v>0</v>
      </c>
      <c r="L675" s="281"/>
      <c r="M675" s="281"/>
      <c r="N675" s="281"/>
      <c r="O675" s="281"/>
      <c r="P675" s="281"/>
      <c r="Q675" s="281"/>
      <c r="R675" s="281">
        <f t="shared" ref="R675:R749" si="874">SUM(L675:Q675)</f>
        <v>0</v>
      </c>
      <c r="S675" s="281"/>
      <c r="T675" s="281"/>
      <c r="U675" s="281"/>
      <c r="V675" s="281"/>
      <c r="W675" s="281"/>
      <c r="X675" s="281"/>
      <c r="Y675" s="281"/>
      <c r="Z675" s="281"/>
      <c r="AA675" s="281">
        <f t="shared" si="835"/>
        <v>0</v>
      </c>
      <c r="AB675" s="403">
        <f t="shared" si="839"/>
        <v>0</v>
      </c>
      <c r="AC675" s="326" t="e">
        <f t="shared" si="865"/>
        <v>#DIV/0!</v>
      </c>
    </row>
    <row r="676" spans="1:29" ht="25.5" hidden="1" x14ac:dyDescent="0.2">
      <c r="A676" s="424"/>
      <c r="B676" s="323" t="s">
        <v>925</v>
      </c>
      <c r="C676" s="206" t="s">
        <v>317</v>
      </c>
      <c r="D676" s="332"/>
      <c r="E676" s="325">
        <f>SUM('ADICIONES  2021'!C676:N676)</f>
        <v>0</v>
      </c>
      <c r="F676" s="281"/>
      <c r="G676" s="281"/>
      <c r="H676" s="281"/>
      <c r="I676" s="281"/>
      <c r="J676" s="281"/>
      <c r="K676" s="281">
        <f t="shared" si="834"/>
        <v>0</v>
      </c>
      <c r="L676" s="281"/>
      <c r="M676" s="281"/>
      <c r="N676" s="281"/>
      <c r="O676" s="281"/>
      <c r="P676" s="281"/>
      <c r="Q676" s="281"/>
      <c r="R676" s="281">
        <f t="shared" si="874"/>
        <v>0</v>
      </c>
      <c r="S676" s="281"/>
      <c r="T676" s="281"/>
      <c r="U676" s="281"/>
      <c r="V676" s="281"/>
      <c r="W676" s="281"/>
      <c r="X676" s="281"/>
      <c r="Y676" s="281"/>
      <c r="Z676" s="281"/>
      <c r="AA676" s="281">
        <f t="shared" si="835"/>
        <v>0</v>
      </c>
      <c r="AB676" s="403">
        <f t="shared" si="839"/>
        <v>0</v>
      </c>
      <c r="AC676" s="326" t="e">
        <f t="shared" si="865"/>
        <v>#DIV/0!</v>
      </c>
    </row>
    <row r="677" spans="1:29" ht="14.25" hidden="1" x14ac:dyDescent="0.2">
      <c r="A677" s="424"/>
      <c r="B677" s="323" t="s">
        <v>926</v>
      </c>
      <c r="C677" s="206" t="s">
        <v>318</v>
      </c>
      <c r="D677" s="332"/>
      <c r="E677" s="325">
        <f>SUM('ADICIONES  2021'!C677:N677)</f>
        <v>0</v>
      </c>
      <c r="F677" s="281"/>
      <c r="G677" s="281"/>
      <c r="H677" s="281"/>
      <c r="I677" s="281"/>
      <c r="J677" s="281"/>
      <c r="K677" s="281">
        <f t="shared" si="834"/>
        <v>0</v>
      </c>
      <c r="L677" s="281"/>
      <c r="M677" s="281"/>
      <c r="N677" s="281"/>
      <c r="O677" s="281"/>
      <c r="P677" s="281">
        <v>64115</v>
      </c>
      <c r="Q677" s="281"/>
      <c r="R677" s="281">
        <f t="shared" si="874"/>
        <v>64115</v>
      </c>
      <c r="S677" s="281"/>
      <c r="T677" s="281"/>
      <c r="U677" s="281">
        <v>969151531.42999995</v>
      </c>
      <c r="V677" s="281"/>
      <c r="W677" s="281"/>
      <c r="X677" s="281"/>
      <c r="Y677" s="281"/>
      <c r="Z677" s="281"/>
      <c r="AA677" s="281">
        <f t="shared" si="835"/>
        <v>969151531.42999995</v>
      </c>
      <c r="AB677" s="403">
        <f t="shared" si="839"/>
        <v>969215646.42999995</v>
      </c>
      <c r="AC677" s="326">
        <v>0</v>
      </c>
    </row>
    <row r="678" spans="1:29" ht="14.25" hidden="1" x14ac:dyDescent="0.2">
      <c r="A678" s="424"/>
      <c r="B678" s="323" t="s">
        <v>926</v>
      </c>
      <c r="C678" s="206" t="s">
        <v>318</v>
      </c>
      <c r="D678" s="332"/>
      <c r="E678" s="325">
        <f>SUM('ADICIONES  2021'!C678:N678)</f>
        <v>964331110</v>
      </c>
      <c r="F678" s="281"/>
      <c r="G678" s="281"/>
      <c r="H678" s="281"/>
      <c r="I678" s="281"/>
      <c r="J678" s="281"/>
      <c r="K678" s="281">
        <f t="shared" si="834"/>
        <v>964331110</v>
      </c>
      <c r="L678" s="281"/>
      <c r="M678" s="281"/>
      <c r="N678" s="281"/>
      <c r="O678" s="281"/>
      <c r="P678" s="281"/>
      <c r="Q678" s="281"/>
      <c r="R678" s="281">
        <f t="shared" si="874"/>
        <v>0</v>
      </c>
      <c r="S678" s="281"/>
      <c r="T678" s="281"/>
      <c r="U678" s="281"/>
      <c r="V678" s="281"/>
      <c r="W678" s="281">
        <v>964331110</v>
      </c>
      <c r="X678" s="281"/>
      <c r="Y678" s="281"/>
      <c r="Z678" s="281"/>
      <c r="AA678" s="281">
        <f t="shared" ref="AA678:AA694" si="875">SUM(S678:Z678)</f>
        <v>964331110</v>
      </c>
      <c r="AB678" s="403">
        <f t="shared" si="839"/>
        <v>964331110</v>
      </c>
      <c r="AC678" s="326">
        <f t="shared" si="865"/>
        <v>1</v>
      </c>
    </row>
    <row r="679" spans="1:29" ht="14.25" hidden="1" x14ac:dyDescent="0.2">
      <c r="A679" s="424"/>
      <c r="B679" s="323" t="s">
        <v>927</v>
      </c>
      <c r="C679" s="206" t="s">
        <v>319</v>
      </c>
      <c r="D679" s="332"/>
      <c r="E679" s="325">
        <f>SUM('ADICIONES  2021'!C679:N679)</f>
        <v>0</v>
      </c>
      <c r="F679" s="277"/>
      <c r="G679" s="277"/>
      <c r="H679" s="277"/>
      <c r="I679" s="277"/>
      <c r="J679" s="277"/>
      <c r="K679" s="281">
        <f t="shared" si="834"/>
        <v>0</v>
      </c>
      <c r="L679" s="277"/>
      <c r="M679" s="277"/>
      <c r="N679" s="277"/>
      <c r="O679" s="277"/>
      <c r="P679" s="277">
        <v>745811</v>
      </c>
      <c r="Q679" s="277"/>
      <c r="R679" s="281">
        <f t="shared" si="874"/>
        <v>745811</v>
      </c>
      <c r="S679" s="277"/>
      <c r="T679" s="277"/>
      <c r="U679" s="277"/>
      <c r="V679" s="277"/>
      <c r="W679" s="277"/>
      <c r="X679" s="277"/>
      <c r="Y679" s="277"/>
      <c r="Z679" s="277"/>
      <c r="AA679" s="281">
        <f t="shared" si="875"/>
        <v>0</v>
      </c>
      <c r="AB679" s="403">
        <f t="shared" si="839"/>
        <v>745811</v>
      </c>
      <c r="AC679" s="326">
        <v>0</v>
      </c>
    </row>
    <row r="680" spans="1:29" ht="25.5" hidden="1" x14ac:dyDescent="0.2">
      <c r="A680" s="424"/>
      <c r="B680" s="323" t="s">
        <v>928</v>
      </c>
      <c r="C680" s="206" t="s">
        <v>320</v>
      </c>
      <c r="D680" s="332"/>
      <c r="E680" s="325">
        <f>SUM('ADICIONES  2021'!C680:N680)</f>
        <v>0</v>
      </c>
      <c r="F680" s="277"/>
      <c r="G680" s="277"/>
      <c r="H680" s="277"/>
      <c r="I680" s="277"/>
      <c r="J680" s="277"/>
      <c r="K680" s="281">
        <f t="shared" si="834"/>
        <v>0</v>
      </c>
      <c r="L680" s="277"/>
      <c r="M680" s="277"/>
      <c r="N680" s="277"/>
      <c r="O680" s="277"/>
      <c r="P680" s="277"/>
      <c r="Q680" s="277"/>
      <c r="R680" s="281">
        <f t="shared" si="874"/>
        <v>0</v>
      </c>
      <c r="S680" s="277"/>
      <c r="T680" s="277"/>
      <c r="U680" s="277"/>
      <c r="V680" s="277"/>
      <c r="W680" s="277"/>
      <c r="X680" s="277"/>
      <c r="Y680" s="277"/>
      <c r="Z680" s="277"/>
      <c r="AA680" s="281">
        <f t="shared" si="875"/>
        <v>0</v>
      </c>
      <c r="AB680" s="403">
        <f t="shared" si="839"/>
        <v>0</v>
      </c>
      <c r="AC680" s="326" t="e">
        <f t="shared" si="865"/>
        <v>#DIV/0!</v>
      </c>
    </row>
    <row r="681" spans="1:29" ht="14.25" hidden="1" x14ac:dyDescent="0.2">
      <c r="A681" s="424"/>
      <c r="B681" s="323" t="s">
        <v>929</v>
      </c>
      <c r="C681" s="206" t="s">
        <v>321</v>
      </c>
      <c r="D681" s="332"/>
      <c r="E681" s="325">
        <f>SUM('ADICIONES  2021'!C681:N681)</f>
        <v>0</v>
      </c>
      <c r="F681" s="281"/>
      <c r="G681" s="281"/>
      <c r="H681" s="281"/>
      <c r="I681" s="281"/>
      <c r="J681" s="281"/>
      <c r="K681" s="281">
        <f t="shared" si="834"/>
        <v>0</v>
      </c>
      <c r="L681" s="281"/>
      <c r="M681" s="281"/>
      <c r="N681" s="281">
        <v>7955946.2999999998</v>
      </c>
      <c r="O681" s="281"/>
      <c r="P681" s="281"/>
      <c r="Q681" s="281"/>
      <c r="R681" s="281">
        <f t="shared" si="874"/>
        <v>7955946.2999999998</v>
      </c>
      <c r="S681" s="281"/>
      <c r="T681" s="281"/>
      <c r="U681" s="281"/>
      <c r="V681" s="281"/>
      <c r="W681" s="281"/>
      <c r="X681" s="281"/>
      <c r="Y681" s="281"/>
      <c r="Z681" s="281"/>
      <c r="AA681" s="281">
        <f t="shared" si="875"/>
        <v>0</v>
      </c>
      <c r="AB681" s="403">
        <f t="shared" si="839"/>
        <v>7955946.2999999998</v>
      </c>
      <c r="AC681" s="326">
        <v>0</v>
      </c>
    </row>
    <row r="682" spans="1:29" ht="14.25" hidden="1" x14ac:dyDescent="0.2">
      <c r="A682" s="424"/>
      <c r="B682" s="323" t="s">
        <v>930</v>
      </c>
      <c r="C682" s="206" t="s">
        <v>322</v>
      </c>
      <c r="D682" s="332"/>
      <c r="E682" s="325">
        <f>SUM('ADICIONES  2021'!C682:N682)</f>
        <v>0</v>
      </c>
      <c r="F682" s="281"/>
      <c r="G682" s="281"/>
      <c r="H682" s="281"/>
      <c r="I682" s="281"/>
      <c r="J682" s="281"/>
      <c r="K682" s="281">
        <f t="shared" si="834"/>
        <v>0</v>
      </c>
      <c r="L682" s="281"/>
      <c r="M682" s="281"/>
      <c r="N682" s="281"/>
      <c r="O682" s="281"/>
      <c r="P682" s="281"/>
      <c r="Q682" s="281"/>
      <c r="R682" s="281">
        <f t="shared" si="874"/>
        <v>0</v>
      </c>
      <c r="S682" s="281"/>
      <c r="T682" s="281"/>
      <c r="U682" s="281"/>
      <c r="V682" s="281"/>
      <c r="W682" s="281"/>
      <c r="X682" s="281"/>
      <c r="Y682" s="281"/>
      <c r="Z682" s="281"/>
      <c r="AA682" s="281">
        <f t="shared" si="875"/>
        <v>0</v>
      </c>
      <c r="AB682" s="403">
        <f t="shared" si="839"/>
        <v>0</v>
      </c>
      <c r="AC682" s="326" t="e">
        <f t="shared" si="865"/>
        <v>#DIV/0!</v>
      </c>
    </row>
    <row r="683" spans="1:29" ht="14.25" hidden="1" x14ac:dyDescent="0.2">
      <c r="A683" s="424"/>
      <c r="B683" s="323" t="s">
        <v>931</v>
      </c>
      <c r="C683" s="206" t="s">
        <v>323</v>
      </c>
      <c r="D683" s="332"/>
      <c r="E683" s="325">
        <f>SUM('ADICIONES  2021'!C683:N683)</f>
        <v>0</v>
      </c>
      <c r="F683" s="281"/>
      <c r="G683" s="281"/>
      <c r="H683" s="281"/>
      <c r="I683" s="281"/>
      <c r="J683" s="281"/>
      <c r="K683" s="281">
        <f t="shared" si="834"/>
        <v>0</v>
      </c>
      <c r="L683" s="281"/>
      <c r="M683" s="281"/>
      <c r="N683" s="281">
        <v>10126785.23</v>
      </c>
      <c r="O683" s="342">
        <v>299373.71000000002</v>
      </c>
      <c r="P683" s="281">
        <v>2310860.37</v>
      </c>
      <c r="Q683" s="281">
        <v>1452575.58</v>
      </c>
      <c r="R683" s="281">
        <f t="shared" si="874"/>
        <v>14189594.890000002</v>
      </c>
      <c r="S683" s="281">
        <v>2591167.67</v>
      </c>
      <c r="T683" s="281">
        <v>630435.41</v>
      </c>
      <c r="U683" s="281">
        <v>417421.58</v>
      </c>
      <c r="V683" s="281">
        <v>15852540.310000001</v>
      </c>
      <c r="W683" s="281">
        <v>1871.58</v>
      </c>
      <c r="X683" s="281">
        <v>741625.18</v>
      </c>
      <c r="Y683" s="281"/>
      <c r="Z683" s="281"/>
      <c r="AA683" s="281">
        <f t="shared" si="875"/>
        <v>20235061.729999997</v>
      </c>
      <c r="AB683" s="403">
        <f t="shared" si="839"/>
        <v>34424656.619999997</v>
      </c>
      <c r="AC683" s="326">
        <v>0</v>
      </c>
    </row>
    <row r="684" spans="1:29" ht="25.5" hidden="1" x14ac:dyDescent="0.2">
      <c r="A684" s="424"/>
      <c r="B684" s="323" t="s">
        <v>932</v>
      </c>
      <c r="C684" s="206" t="s">
        <v>324</v>
      </c>
      <c r="D684" s="332"/>
      <c r="E684" s="325">
        <f>SUM('ADICIONES  2021'!C684:N684)</f>
        <v>0</v>
      </c>
      <c r="F684" s="281"/>
      <c r="G684" s="281"/>
      <c r="H684" s="281"/>
      <c r="I684" s="281"/>
      <c r="J684" s="281"/>
      <c r="K684" s="281">
        <f t="shared" si="834"/>
        <v>0</v>
      </c>
      <c r="L684" s="281"/>
      <c r="M684" s="281"/>
      <c r="N684" s="281"/>
      <c r="O684" s="281"/>
      <c r="P684" s="281"/>
      <c r="Q684" s="281">
        <v>0</v>
      </c>
      <c r="R684" s="281">
        <f t="shared" si="874"/>
        <v>0</v>
      </c>
      <c r="S684" s="281"/>
      <c r="T684" s="281"/>
      <c r="U684" s="281"/>
      <c r="V684" s="281"/>
      <c r="W684" s="281">
        <v>0</v>
      </c>
      <c r="X684" s="281"/>
      <c r="Y684" s="281"/>
      <c r="Z684" s="281"/>
      <c r="AA684" s="281">
        <f t="shared" si="875"/>
        <v>0</v>
      </c>
      <c r="AB684" s="403">
        <f t="shared" si="839"/>
        <v>0</v>
      </c>
      <c r="AC684" s="326" t="e">
        <f t="shared" si="865"/>
        <v>#DIV/0!</v>
      </c>
    </row>
    <row r="685" spans="1:29" ht="25.5" hidden="1" x14ac:dyDescent="0.2">
      <c r="A685" s="424"/>
      <c r="B685" s="323" t="s">
        <v>933</v>
      </c>
      <c r="C685" s="206" t="s">
        <v>934</v>
      </c>
      <c r="D685" s="332"/>
      <c r="E685" s="325">
        <f>SUM('ADICIONES  2021'!C685:N685)</f>
        <v>0</v>
      </c>
      <c r="F685" s="281"/>
      <c r="G685" s="281"/>
      <c r="H685" s="281"/>
      <c r="I685" s="281"/>
      <c r="J685" s="281"/>
      <c r="K685" s="281">
        <f t="shared" si="834"/>
        <v>0</v>
      </c>
      <c r="L685" s="281"/>
      <c r="M685" s="281"/>
      <c r="N685" s="281">
        <v>23730.19</v>
      </c>
      <c r="O685" s="281">
        <v>8173.59</v>
      </c>
      <c r="P685" s="281">
        <v>249600.01</v>
      </c>
      <c r="Q685" s="281">
        <v>19916151.370000001</v>
      </c>
      <c r="R685" s="281">
        <f t="shared" si="874"/>
        <v>20197655.16</v>
      </c>
      <c r="S685" s="281">
        <v>7910.03</v>
      </c>
      <c r="T685" s="281">
        <v>8174.66</v>
      </c>
      <c r="U685" s="281">
        <v>964791975.61000001</v>
      </c>
      <c r="V685" s="281"/>
      <c r="W685" s="281">
        <v>16083.67</v>
      </c>
      <c r="X685" s="281">
        <v>8173.62</v>
      </c>
      <c r="Y685" s="281"/>
      <c r="Z685" s="281"/>
      <c r="AA685" s="281">
        <f t="shared" si="875"/>
        <v>964832317.59000003</v>
      </c>
      <c r="AB685" s="403">
        <f t="shared" si="839"/>
        <v>985029972.75</v>
      </c>
      <c r="AC685" s="326">
        <v>0</v>
      </c>
    </row>
    <row r="686" spans="1:29" ht="25.5" hidden="1" x14ac:dyDescent="0.2">
      <c r="A686" s="424"/>
      <c r="B686" s="323" t="s">
        <v>933</v>
      </c>
      <c r="C686" s="206" t="s">
        <v>934</v>
      </c>
      <c r="D686" s="332"/>
      <c r="E686" s="325">
        <f>SUM('ADICIONES  2021'!C686:N686)</f>
        <v>1006004300.77</v>
      </c>
      <c r="F686" s="281"/>
      <c r="G686" s="281"/>
      <c r="H686" s="281"/>
      <c r="I686" s="281"/>
      <c r="J686" s="281"/>
      <c r="K686" s="281">
        <f t="shared" si="834"/>
        <v>1006004300.77</v>
      </c>
      <c r="L686" s="281"/>
      <c r="M686" s="281"/>
      <c r="N686" s="281"/>
      <c r="O686" s="281"/>
      <c r="P686" s="281"/>
      <c r="Q686" s="281"/>
      <c r="R686" s="281">
        <f t="shared" si="874"/>
        <v>0</v>
      </c>
      <c r="S686" s="281"/>
      <c r="T686" s="281"/>
      <c r="U686" s="281"/>
      <c r="V686" s="281"/>
      <c r="W686" s="281">
        <v>1006004300.77</v>
      </c>
      <c r="X686" s="281"/>
      <c r="Y686" s="281"/>
      <c r="Z686" s="281"/>
      <c r="AA686" s="281">
        <f t="shared" si="875"/>
        <v>1006004300.77</v>
      </c>
      <c r="AB686" s="403">
        <f t="shared" si="839"/>
        <v>1006004300.77</v>
      </c>
      <c r="AC686" s="326">
        <f t="shared" si="865"/>
        <v>1</v>
      </c>
    </row>
    <row r="687" spans="1:29" ht="25.5" hidden="1" x14ac:dyDescent="0.2">
      <c r="A687" s="424"/>
      <c r="B687" s="323" t="s">
        <v>935</v>
      </c>
      <c r="C687" s="206" t="s">
        <v>936</v>
      </c>
      <c r="D687" s="332"/>
      <c r="E687" s="325">
        <f>SUM('ADICIONES  2021'!C687:N687)</f>
        <v>0</v>
      </c>
      <c r="F687" s="277"/>
      <c r="G687" s="277"/>
      <c r="H687" s="277"/>
      <c r="I687" s="277"/>
      <c r="J687" s="277"/>
      <c r="K687" s="281">
        <f t="shared" si="834"/>
        <v>0</v>
      </c>
      <c r="L687" s="277"/>
      <c r="M687" s="277"/>
      <c r="N687" s="277"/>
      <c r="O687" s="277"/>
      <c r="P687" s="277"/>
      <c r="Q687" s="277"/>
      <c r="R687" s="281">
        <f t="shared" si="874"/>
        <v>0</v>
      </c>
      <c r="S687" s="277"/>
      <c r="T687" s="277">
        <v>61263</v>
      </c>
      <c r="U687" s="277"/>
      <c r="V687" s="277"/>
      <c r="W687" s="277">
        <v>0</v>
      </c>
      <c r="X687" s="277"/>
      <c r="Y687" s="277"/>
      <c r="Z687" s="277"/>
      <c r="AA687" s="281">
        <f t="shared" si="875"/>
        <v>61263</v>
      </c>
      <c r="AB687" s="403">
        <f t="shared" si="839"/>
        <v>61263</v>
      </c>
      <c r="AC687" s="326">
        <v>0</v>
      </c>
    </row>
    <row r="688" spans="1:29" ht="25.5" hidden="1" x14ac:dyDescent="0.2">
      <c r="A688" s="424"/>
      <c r="B688" s="323" t="s">
        <v>937</v>
      </c>
      <c r="C688" s="206" t="s">
        <v>938</v>
      </c>
      <c r="D688" s="332"/>
      <c r="E688" s="325">
        <f>SUM('ADICIONES  2021'!C688:N688)</f>
        <v>0</v>
      </c>
      <c r="F688" s="277"/>
      <c r="G688" s="277"/>
      <c r="H688" s="277"/>
      <c r="I688" s="277"/>
      <c r="J688" s="277"/>
      <c r="K688" s="281">
        <f t="shared" si="834"/>
        <v>0</v>
      </c>
      <c r="L688" s="277"/>
      <c r="M688" s="277"/>
      <c r="N688" s="277"/>
      <c r="O688" s="277">
        <v>1204348.81</v>
      </c>
      <c r="P688" s="277"/>
      <c r="Q688" s="277"/>
      <c r="R688" s="281">
        <f t="shared" si="874"/>
        <v>1204348.81</v>
      </c>
      <c r="S688" s="277"/>
      <c r="T688" s="277">
        <v>212665.26</v>
      </c>
      <c r="U688" s="277"/>
      <c r="V688" s="277"/>
      <c r="W688" s="277">
        <v>363329.19</v>
      </c>
      <c r="X688" s="277">
        <v>5323.4</v>
      </c>
      <c r="Y688" s="277"/>
      <c r="Z688" s="277"/>
      <c r="AA688" s="281">
        <f t="shared" si="875"/>
        <v>581317.85</v>
      </c>
      <c r="AB688" s="403">
        <f t="shared" si="839"/>
        <v>1785666.6600000001</v>
      </c>
      <c r="AC688" s="326">
        <v>0</v>
      </c>
    </row>
    <row r="689" spans="1:29" ht="25.5" hidden="1" x14ac:dyDescent="0.2">
      <c r="A689" s="424"/>
      <c r="B689" s="323" t="s">
        <v>939</v>
      </c>
      <c r="C689" s="206" t="s">
        <v>940</v>
      </c>
      <c r="D689" s="332"/>
      <c r="E689" s="325">
        <f>SUM('ADICIONES  2021'!C689:N689)</f>
        <v>0</v>
      </c>
      <c r="F689" s="281"/>
      <c r="G689" s="281"/>
      <c r="H689" s="281"/>
      <c r="I689" s="281"/>
      <c r="J689" s="281"/>
      <c r="K689" s="281">
        <f t="shared" si="834"/>
        <v>0</v>
      </c>
      <c r="L689" s="281"/>
      <c r="M689" s="281"/>
      <c r="N689" s="281"/>
      <c r="O689" s="281"/>
      <c r="P689" s="281">
        <v>7290499.75</v>
      </c>
      <c r="Q689" s="281"/>
      <c r="R689" s="281">
        <f t="shared" si="874"/>
        <v>7290499.75</v>
      </c>
      <c r="S689" s="281"/>
      <c r="T689" s="281"/>
      <c r="U689" s="281"/>
      <c r="V689" s="281"/>
      <c r="W689" s="281">
        <v>0</v>
      </c>
      <c r="X689" s="281"/>
      <c r="Y689" s="281"/>
      <c r="Z689" s="281"/>
      <c r="AA689" s="281">
        <f t="shared" si="875"/>
        <v>0</v>
      </c>
      <c r="AB689" s="403">
        <f t="shared" si="839"/>
        <v>7290499.75</v>
      </c>
      <c r="AC689" s="326">
        <v>0</v>
      </c>
    </row>
    <row r="690" spans="1:29" ht="25.5" hidden="1" x14ac:dyDescent="0.2">
      <c r="A690" s="424"/>
      <c r="B690" s="323" t="s">
        <v>941</v>
      </c>
      <c r="C690" s="206" t="s">
        <v>942</v>
      </c>
      <c r="D690" s="332"/>
      <c r="E690" s="325">
        <f>SUM('ADICIONES  2021'!C690:N690)</f>
        <v>0</v>
      </c>
      <c r="F690" s="281"/>
      <c r="G690" s="281"/>
      <c r="H690" s="281"/>
      <c r="I690" s="281"/>
      <c r="J690" s="281"/>
      <c r="K690" s="281">
        <f t="shared" si="834"/>
        <v>0</v>
      </c>
      <c r="L690" s="281"/>
      <c r="M690" s="281"/>
      <c r="N690" s="281"/>
      <c r="O690" s="281"/>
      <c r="P690" s="281"/>
      <c r="Q690" s="281"/>
      <c r="R690" s="281">
        <f t="shared" si="874"/>
        <v>0</v>
      </c>
      <c r="S690" s="281"/>
      <c r="T690" s="281"/>
      <c r="U690" s="281"/>
      <c r="V690" s="281"/>
      <c r="W690" s="281">
        <v>0</v>
      </c>
      <c r="X690" s="281"/>
      <c r="Y690" s="281"/>
      <c r="Z690" s="281"/>
      <c r="AA690" s="281">
        <f t="shared" si="875"/>
        <v>0</v>
      </c>
      <c r="AB690" s="403">
        <f t="shared" si="839"/>
        <v>0</v>
      </c>
      <c r="AC690" s="326" t="e">
        <f t="shared" si="865"/>
        <v>#DIV/0!</v>
      </c>
    </row>
    <row r="691" spans="1:29" ht="25.5" hidden="1" x14ac:dyDescent="0.2">
      <c r="A691" s="424"/>
      <c r="B691" s="323" t="s">
        <v>943</v>
      </c>
      <c r="C691" s="206" t="s">
        <v>944</v>
      </c>
      <c r="D691" s="332"/>
      <c r="E691" s="325">
        <f>SUM('ADICIONES  2021'!C691:N691)</f>
        <v>0</v>
      </c>
      <c r="F691" s="277"/>
      <c r="G691" s="277"/>
      <c r="H691" s="277"/>
      <c r="I691" s="277"/>
      <c r="J691" s="277"/>
      <c r="K691" s="281">
        <f t="shared" si="834"/>
        <v>0</v>
      </c>
      <c r="L691" s="277"/>
      <c r="M691" s="277"/>
      <c r="N691" s="277"/>
      <c r="O691" s="277"/>
      <c r="P691" s="277">
        <v>27566.48</v>
      </c>
      <c r="Q691" s="277"/>
      <c r="R691" s="281">
        <f t="shared" si="874"/>
        <v>27566.48</v>
      </c>
      <c r="S691" s="277"/>
      <c r="T691" s="277">
        <v>133693.25</v>
      </c>
      <c r="U691" s="277"/>
      <c r="V691" s="277">
        <v>11084.94</v>
      </c>
      <c r="W691" s="277">
        <v>2352.71</v>
      </c>
      <c r="X691" s="277">
        <v>2025</v>
      </c>
      <c r="Y691" s="277"/>
      <c r="Z691" s="277"/>
      <c r="AA691" s="281">
        <f t="shared" si="875"/>
        <v>149155.9</v>
      </c>
      <c r="AB691" s="403">
        <f t="shared" si="839"/>
        <v>176722.38</v>
      </c>
      <c r="AC691" s="326">
        <v>0</v>
      </c>
    </row>
    <row r="692" spans="1:29" ht="25.5" hidden="1" x14ac:dyDescent="0.2">
      <c r="A692" s="424"/>
      <c r="B692" s="323" t="s">
        <v>945</v>
      </c>
      <c r="C692" s="206" t="s">
        <v>946</v>
      </c>
      <c r="D692" s="332"/>
      <c r="E692" s="325">
        <f>SUM('ADICIONES  2021'!C692:N692)</f>
        <v>0</v>
      </c>
      <c r="F692" s="277"/>
      <c r="G692" s="277"/>
      <c r="H692" s="277"/>
      <c r="I692" s="277"/>
      <c r="J692" s="277"/>
      <c r="K692" s="281">
        <f t="shared" si="834"/>
        <v>0</v>
      </c>
      <c r="L692" s="277"/>
      <c r="M692" s="277"/>
      <c r="N692" s="277"/>
      <c r="O692" s="277"/>
      <c r="P692" s="277"/>
      <c r="Q692" s="277"/>
      <c r="R692" s="281">
        <f t="shared" si="874"/>
        <v>0</v>
      </c>
      <c r="S692" s="277"/>
      <c r="T692" s="277"/>
      <c r="U692" s="277"/>
      <c r="V692" s="277"/>
      <c r="W692" s="277"/>
      <c r="X692" s="277"/>
      <c r="Y692" s="277"/>
      <c r="Z692" s="277"/>
      <c r="AA692" s="281">
        <f t="shared" si="875"/>
        <v>0</v>
      </c>
      <c r="AB692" s="403">
        <f t="shared" si="839"/>
        <v>0</v>
      </c>
      <c r="AC692" s="326" t="e">
        <f t="shared" si="865"/>
        <v>#DIV/0!</v>
      </c>
    </row>
    <row r="693" spans="1:29" ht="25.5" hidden="1" x14ac:dyDescent="0.2">
      <c r="A693" s="424"/>
      <c r="B693" s="323" t="s">
        <v>947</v>
      </c>
      <c r="C693" s="206" t="s">
        <v>379</v>
      </c>
      <c r="D693" s="332"/>
      <c r="E693" s="325">
        <f>SUM('ADICIONES  2021'!C693:N693)</f>
        <v>0</v>
      </c>
      <c r="F693" s="277"/>
      <c r="G693" s="277"/>
      <c r="H693" s="277"/>
      <c r="I693" s="277"/>
      <c r="J693" s="277"/>
      <c r="K693" s="281">
        <f t="shared" si="834"/>
        <v>0</v>
      </c>
      <c r="L693" s="277"/>
      <c r="M693" s="277"/>
      <c r="N693" s="277"/>
      <c r="O693" s="277"/>
      <c r="P693" s="277"/>
      <c r="Q693" s="277"/>
      <c r="R693" s="281">
        <f t="shared" si="874"/>
        <v>0</v>
      </c>
      <c r="S693" s="277"/>
      <c r="T693" s="277"/>
      <c r="U693" s="277"/>
      <c r="V693" s="277"/>
      <c r="W693" s="277"/>
      <c r="X693" s="277"/>
      <c r="Y693" s="277"/>
      <c r="Z693" s="277"/>
      <c r="AA693" s="281">
        <f t="shared" si="875"/>
        <v>0</v>
      </c>
      <c r="AB693" s="403">
        <f t="shared" si="839"/>
        <v>0</v>
      </c>
      <c r="AC693" s="326" t="e">
        <f t="shared" si="865"/>
        <v>#DIV/0!</v>
      </c>
    </row>
    <row r="694" spans="1:29" ht="25.5" hidden="1" x14ac:dyDescent="0.2">
      <c r="A694" s="424"/>
      <c r="B694" s="323" t="s">
        <v>948</v>
      </c>
      <c r="C694" s="206" t="s">
        <v>949</v>
      </c>
      <c r="D694" s="332"/>
      <c r="E694" s="325">
        <f>SUM('ADICIONES  2021'!C694:N694)</f>
        <v>0</v>
      </c>
      <c r="F694" s="281"/>
      <c r="G694" s="281"/>
      <c r="H694" s="281"/>
      <c r="I694" s="281"/>
      <c r="J694" s="281"/>
      <c r="K694" s="281">
        <f>+D694+E694-F694+G694-H694</f>
        <v>0</v>
      </c>
      <c r="L694" s="281"/>
      <c r="M694" s="281"/>
      <c r="N694" s="281"/>
      <c r="O694" s="281"/>
      <c r="P694" s="281"/>
      <c r="Q694" s="281"/>
      <c r="R694" s="281">
        <f>SUM(L694:Q694)</f>
        <v>0</v>
      </c>
      <c r="S694" s="281"/>
      <c r="T694" s="281">
        <v>110076111</v>
      </c>
      <c r="U694" s="281"/>
      <c r="V694" s="281"/>
      <c r="W694" s="281"/>
      <c r="X694" s="281"/>
      <c r="Y694" s="281"/>
      <c r="Z694" s="281"/>
      <c r="AA694" s="281">
        <f t="shared" si="875"/>
        <v>110076111</v>
      </c>
      <c r="AB694" s="403">
        <f t="shared" si="839"/>
        <v>110076111</v>
      </c>
      <c r="AC694" s="326">
        <v>0</v>
      </c>
    </row>
    <row r="695" spans="1:29" ht="25.5" hidden="1" x14ac:dyDescent="0.2">
      <c r="A695" s="424"/>
      <c r="B695" s="323" t="s">
        <v>950</v>
      </c>
      <c r="C695" s="206" t="s">
        <v>951</v>
      </c>
      <c r="D695" s="332"/>
      <c r="E695" s="325">
        <f>SUM('ADICIONES  2021'!C695:N695)</f>
        <v>0</v>
      </c>
      <c r="F695" s="281"/>
      <c r="G695" s="281"/>
      <c r="H695" s="281"/>
      <c r="I695" s="281"/>
      <c r="J695" s="281"/>
      <c r="K695" s="281">
        <f t="shared" si="834"/>
        <v>0</v>
      </c>
      <c r="L695" s="281"/>
      <c r="M695" s="281"/>
      <c r="N695" s="281">
        <v>15002674.26</v>
      </c>
      <c r="O695" s="281"/>
      <c r="P695" s="281">
        <v>94465838</v>
      </c>
      <c r="Q695" s="281"/>
      <c r="R695" s="281">
        <f t="shared" si="874"/>
        <v>109468512.26000001</v>
      </c>
      <c r="S695" s="281"/>
      <c r="T695" s="281">
        <v>30991</v>
      </c>
      <c r="U695" s="281">
        <v>9599207</v>
      </c>
      <c r="V695" s="281"/>
      <c r="W695" s="281"/>
      <c r="X695" s="281"/>
      <c r="Y695" s="281"/>
      <c r="Z695" s="281"/>
      <c r="AA695" s="281">
        <f t="shared" ref="AA695:AA767" si="876">SUM(S695:Z695)</f>
        <v>9630198</v>
      </c>
      <c r="AB695" s="403">
        <f t="shared" si="839"/>
        <v>119098710.26000001</v>
      </c>
      <c r="AC695" s="326">
        <v>0</v>
      </c>
    </row>
    <row r="696" spans="1:29" ht="14.25" x14ac:dyDescent="0.2">
      <c r="A696" s="427">
        <v>1</v>
      </c>
      <c r="B696" s="323" t="s">
        <v>1586</v>
      </c>
      <c r="C696" s="206" t="s">
        <v>1587</v>
      </c>
      <c r="D696" s="276">
        <f>+D697</f>
        <v>0</v>
      </c>
      <c r="E696" s="322">
        <f>SUM('ADICIONES  2021'!C696:N696)</f>
        <v>36174550528.910004</v>
      </c>
      <c r="F696" s="276">
        <f t="shared" ref="F696:J696" si="877">+F697</f>
        <v>0</v>
      </c>
      <c r="G696" s="276">
        <f t="shared" si="877"/>
        <v>0</v>
      </c>
      <c r="H696" s="276">
        <f t="shared" si="877"/>
        <v>0</v>
      </c>
      <c r="I696" s="276">
        <f t="shared" si="877"/>
        <v>0</v>
      </c>
      <c r="J696" s="276">
        <f t="shared" si="877"/>
        <v>0</v>
      </c>
      <c r="K696" s="281">
        <f t="shared" si="834"/>
        <v>36174550528.910004</v>
      </c>
      <c r="L696" s="276">
        <f t="shared" ref="L696:Q696" si="878">+L697</f>
        <v>0</v>
      </c>
      <c r="M696" s="276">
        <f t="shared" si="878"/>
        <v>0</v>
      </c>
      <c r="N696" s="276">
        <f t="shared" si="878"/>
        <v>0</v>
      </c>
      <c r="O696" s="276">
        <f t="shared" si="878"/>
        <v>0</v>
      </c>
      <c r="P696" s="276">
        <f t="shared" si="878"/>
        <v>0</v>
      </c>
      <c r="Q696" s="276">
        <f t="shared" si="878"/>
        <v>0</v>
      </c>
      <c r="R696" s="281">
        <f t="shared" si="874"/>
        <v>0</v>
      </c>
      <c r="S696" s="281">
        <f t="shared" ref="S696:Z696" si="879">+S697</f>
        <v>0</v>
      </c>
      <c r="T696" s="281">
        <f t="shared" si="879"/>
        <v>4976885985.46</v>
      </c>
      <c r="U696" s="281">
        <f t="shared" si="879"/>
        <v>520117032</v>
      </c>
      <c r="V696" s="281">
        <f t="shared" si="879"/>
        <v>0</v>
      </c>
      <c r="W696" s="281">
        <f t="shared" si="879"/>
        <v>9711937900</v>
      </c>
      <c r="X696" s="281">
        <f t="shared" si="879"/>
        <v>10979979000</v>
      </c>
      <c r="Y696" s="281">
        <f t="shared" si="879"/>
        <v>0</v>
      </c>
      <c r="Z696" s="276">
        <f t="shared" si="879"/>
        <v>0</v>
      </c>
      <c r="AA696" s="276">
        <f t="shared" si="876"/>
        <v>26188919917.459999</v>
      </c>
      <c r="AB696" s="403">
        <f t="shared" si="839"/>
        <v>26188919917.459999</v>
      </c>
      <c r="AC696" s="326">
        <f t="shared" ref="AC696:AC768" si="880">+AB696/K696</f>
        <v>0.7239597876006868</v>
      </c>
    </row>
    <row r="697" spans="1:29" s="5" customFormat="1" hidden="1" x14ac:dyDescent="0.2">
      <c r="A697" s="96"/>
      <c r="B697" s="318" t="s">
        <v>1588</v>
      </c>
      <c r="C697" s="319" t="s">
        <v>1589</v>
      </c>
      <c r="D697" s="276">
        <f>+D707+D698+D704</f>
        <v>0</v>
      </c>
      <c r="E697" s="322">
        <f>SUM('ADICIONES  2021'!C697:N697)</f>
        <v>36174550528.910004</v>
      </c>
      <c r="F697" s="276">
        <f t="shared" ref="F697:J697" si="881">+F707+F698+F704</f>
        <v>0</v>
      </c>
      <c r="G697" s="276">
        <f t="shared" si="881"/>
        <v>0</v>
      </c>
      <c r="H697" s="276">
        <f t="shared" si="881"/>
        <v>0</v>
      </c>
      <c r="I697" s="276">
        <f t="shared" si="881"/>
        <v>0</v>
      </c>
      <c r="J697" s="276">
        <f t="shared" si="881"/>
        <v>0</v>
      </c>
      <c r="K697" s="276">
        <f t="shared" si="834"/>
        <v>36174550528.910004</v>
      </c>
      <c r="L697" s="276">
        <f t="shared" ref="L697:Q697" si="882">+L707+L698+L704</f>
        <v>0</v>
      </c>
      <c r="M697" s="276">
        <f t="shared" si="882"/>
        <v>0</v>
      </c>
      <c r="N697" s="276">
        <f t="shared" si="882"/>
        <v>0</v>
      </c>
      <c r="O697" s="276">
        <f t="shared" si="882"/>
        <v>0</v>
      </c>
      <c r="P697" s="276">
        <f t="shared" si="882"/>
        <v>0</v>
      </c>
      <c r="Q697" s="276">
        <f t="shared" si="882"/>
        <v>0</v>
      </c>
      <c r="R697" s="276">
        <f t="shared" si="874"/>
        <v>0</v>
      </c>
      <c r="S697" s="276">
        <f t="shared" ref="S697:Z697" si="883">+S707+S698+S704</f>
        <v>0</v>
      </c>
      <c r="T697" s="276">
        <f t="shared" si="883"/>
        <v>4976885985.46</v>
      </c>
      <c r="U697" s="276">
        <f t="shared" si="883"/>
        <v>520117032</v>
      </c>
      <c r="V697" s="276">
        <f t="shared" si="883"/>
        <v>0</v>
      </c>
      <c r="W697" s="276">
        <f t="shared" si="883"/>
        <v>9711937900</v>
      </c>
      <c r="X697" s="276">
        <f t="shared" si="883"/>
        <v>10979979000</v>
      </c>
      <c r="Y697" s="276">
        <f t="shared" si="883"/>
        <v>0</v>
      </c>
      <c r="Z697" s="276">
        <f t="shared" si="883"/>
        <v>0</v>
      </c>
      <c r="AA697" s="276">
        <f t="shared" si="876"/>
        <v>26188919917.459999</v>
      </c>
      <c r="AB697" s="402">
        <f t="shared" si="839"/>
        <v>26188919917.459999</v>
      </c>
      <c r="AC697" s="321">
        <f t="shared" si="880"/>
        <v>0.7239597876006868</v>
      </c>
    </row>
    <row r="698" spans="1:29" s="5" customFormat="1" hidden="1" x14ac:dyDescent="0.2">
      <c r="A698" s="96"/>
      <c r="B698" s="318" t="s">
        <v>1842</v>
      </c>
      <c r="C698" s="319" t="s">
        <v>1843</v>
      </c>
      <c r="D698" s="276">
        <f>SUM(D699:D703)</f>
        <v>0</v>
      </c>
      <c r="E698" s="322">
        <f>SUM('ADICIONES  2021'!C698:N698)</f>
        <v>22005679870.91</v>
      </c>
      <c r="F698" s="276">
        <f t="shared" ref="F698:J698" si="884">SUM(F699:F703)</f>
        <v>0</v>
      </c>
      <c r="G698" s="276">
        <f t="shared" si="884"/>
        <v>0</v>
      </c>
      <c r="H698" s="276">
        <f t="shared" si="884"/>
        <v>0</v>
      </c>
      <c r="I698" s="276">
        <f t="shared" si="884"/>
        <v>0</v>
      </c>
      <c r="J698" s="276">
        <f t="shared" si="884"/>
        <v>0</v>
      </c>
      <c r="K698" s="276">
        <f t="shared" si="834"/>
        <v>22005679870.91</v>
      </c>
      <c r="L698" s="276">
        <f t="shared" ref="L698:Q698" si="885">SUM(L699:L703)</f>
        <v>0</v>
      </c>
      <c r="M698" s="276">
        <f t="shared" si="885"/>
        <v>0</v>
      </c>
      <c r="N698" s="276">
        <f t="shared" si="885"/>
        <v>0</v>
      </c>
      <c r="O698" s="276">
        <f t="shared" si="885"/>
        <v>0</v>
      </c>
      <c r="P698" s="276">
        <f t="shared" si="885"/>
        <v>0</v>
      </c>
      <c r="Q698" s="276">
        <f t="shared" si="885"/>
        <v>0</v>
      </c>
      <c r="R698" s="276">
        <f t="shared" si="874"/>
        <v>0</v>
      </c>
      <c r="S698" s="276">
        <f t="shared" ref="S698:Y698" si="886">SUM(S699:S703)</f>
        <v>0</v>
      </c>
      <c r="T698" s="276">
        <f t="shared" si="886"/>
        <v>176885985.46000001</v>
      </c>
      <c r="U698" s="276">
        <f t="shared" si="886"/>
        <v>419991000</v>
      </c>
      <c r="V698" s="276">
        <f t="shared" si="886"/>
        <v>0</v>
      </c>
      <c r="W698" s="276">
        <f t="shared" si="886"/>
        <v>9711937900</v>
      </c>
      <c r="X698" s="276">
        <f t="shared" si="886"/>
        <v>10979979000</v>
      </c>
      <c r="Y698" s="276">
        <f t="shared" si="886"/>
        <v>0</v>
      </c>
      <c r="Z698" s="276">
        <f>SUM(Z699:Z703)</f>
        <v>0</v>
      </c>
      <c r="AA698" s="276">
        <f>SUM(S698:Z698)</f>
        <v>21288793885.459999</v>
      </c>
      <c r="AB698" s="402">
        <f t="shared" si="839"/>
        <v>21288793885.459999</v>
      </c>
      <c r="AC698" s="321">
        <f t="shared" si="880"/>
        <v>0.96742268406814025</v>
      </c>
    </row>
    <row r="699" spans="1:29" ht="76.5" hidden="1" x14ac:dyDescent="0.2">
      <c r="A699" s="424"/>
      <c r="B699" s="323" t="s">
        <v>1844</v>
      </c>
      <c r="C699" s="268" t="s">
        <v>1845</v>
      </c>
      <c r="D699" s="281"/>
      <c r="E699" s="325">
        <f>SUM('ADICIONES  2021'!C699:N699)</f>
        <v>1399970000</v>
      </c>
      <c r="F699" s="281"/>
      <c r="G699" s="281"/>
      <c r="H699" s="281"/>
      <c r="I699" s="281"/>
      <c r="J699" s="281"/>
      <c r="K699" s="281">
        <f t="shared" si="834"/>
        <v>1399970000</v>
      </c>
      <c r="L699" s="281"/>
      <c r="M699" s="281"/>
      <c r="N699" s="281"/>
      <c r="O699" s="281"/>
      <c r="P699" s="281"/>
      <c r="Q699" s="281"/>
      <c r="R699" s="281">
        <f t="shared" si="874"/>
        <v>0</v>
      </c>
      <c r="S699" s="281"/>
      <c r="T699" s="281"/>
      <c r="U699" s="281">
        <v>419991000</v>
      </c>
      <c r="V699" s="281"/>
      <c r="W699" s="281"/>
      <c r="X699" s="281">
        <v>979979000</v>
      </c>
      <c r="Y699" s="281"/>
      <c r="Z699" s="281"/>
      <c r="AA699" s="281">
        <f t="shared" ref="AA699:AA703" si="887">SUM(S699:Z699)</f>
        <v>1399970000</v>
      </c>
      <c r="AB699" s="403">
        <f t="shared" si="839"/>
        <v>1399970000</v>
      </c>
      <c r="AC699" s="326">
        <f t="shared" si="880"/>
        <v>1</v>
      </c>
    </row>
    <row r="700" spans="1:29" ht="25.5" hidden="1" x14ac:dyDescent="0.2">
      <c r="A700" s="424"/>
      <c r="B700" s="323" t="s">
        <v>1846</v>
      </c>
      <c r="C700" s="206" t="s">
        <v>1847</v>
      </c>
      <c r="D700" s="281"/>
      <c r="E700" s="325">
        <f>SUM('ADICIONES  2021'!C700:N700)</f>
        <v>353771970.91000003</v>
      </c>
      <c r="F700" s="281"/>
      <c r="G700" s="281"/>
      <c r="H700" s="281"/>
      <c r="I700" s="281"/>
      <c r="J700" s="281"/>
      <c r="K700" s="281">
        <f t="shared" si="834"/>
        <v>353771970.91000003</v>
      </c>
      <c r="L700" s="281"/>
      <c r="M700" s="281"/>
      <c r="N700" s="281"/>
      <c r="O700" s="281"/>
      <c r="P700" s="281"/>
      <c r="Q700" s="281"/>
      <c r="R700" s="281">
        <f t="shared" si="874"/>
        <v>0</v>
      </c>
      <c r="S700" s="281"/>
      <c r="T700" s="281">
        <v>176885985.46000001</v>
      </c>
      <c r="U700" s="281"/>
      <c r="V700" s="281"/>
      <c r="W700" s="281"/>
      <c r="X700" s="281"/>
      <c r="Y700" s="281"/>
      <c r="Z700" s="281"/>
      <c r="AA700" s="281">
        <f t="shared" si="887"/>
        <v>176885985.46000001</v>
      </c>
      <c r="AB700" s="403">
        <f t="shared" si="839"/>
        <v>176885985.46000001</v>
      </c>
      <c r="AC700" s="326">
        <f t="shared" si="880"/>
        <v>0.50000000001413336</v>
      </c>
    </row>
    <row r="701" spans="1:29" ht="38.25" hidden="1" x14ac:dyDescent="0.2">
      <c r="A701" s="424"/>
      <c r="B701" s="323" t="s">
        <v>1874</v>
      </c>
      <c r="C701" s="206" t="s">
        <v>1875</v>
      </c>
      <c r="D701" s="281"/>
      <c r="E701" s="325">
        <f>SUM('ADICIONES  2021'!C701:N701)</f>
        <v>9351937900</v>
      </c>
      <c r="F701" s="281"/>
      <c r="G701" s="281"/>
      <c r="H701" s="281"/>
      <c r="I701" s="281"/>
      <c r="J701" s="281"/>
      <c r="K701" s="281">
        <f t="shared" si="834"/>
        <v>9351937900</v>
      </c>
      <c r="L701" s="281"/>
      <c r="M701" s="281"/>
      <c r="N701" s="281"/>
      <c r="O701" s="281"/>
      <c r="P701" s="281"/>
      <c r="Q701" s="281"/>
      <c r="R701" s="281">
        <f t="shared" si="874"/>
        <v>0</v>
      </c>
      <c r="S701" s="281"/>
      <c r="T701" s="281"/>
      <c r="U701" s="281"/>
      <c r="V701" s="281"/>
      <c r="W701" s="281">
        <v>9351937900</v>
      </c>
      <c r="X701" s="281"/>
      <c r="Y701" s="281"/>
      <c r="Z701" s="281"/>
      <c r="AA701" s="281">
        <f t="shared" si="887"/>
        <v>9351937900</v>
      </c>
      <c r="AB701" s="403">
        <f t="shared" si="839"/>
        <v>9351937900</v>
      </c>
      <c r="AC701" s="326">
        <f t="shared" si="880"/>
        <v>1</v>
      </c>
    </row>
    <row r="702" spans="1:29" ht="51" hidden="1" x14ac:dyDescent="0.2">
      <c r="A702" s="424"/>
      <c r="B702" s="323" t="s">
        <v>1876</v>
      </c>
      <c r="C702" s="206" t="s">
        <v>1877</v>
      </c>
      <c r="D702" s="281"/>
      <c r="E702" s="325">
        <f>SUM('ADICIONES  2021'!C702:N702)</f>
        <v>900000000</v>
      </c>
      <c r="F702" s="281"/>
      <c r="G702" s="281"/>
      <c r="H702" s="281"/>
      <c r="I702" s="281"/>
      <c r="J702" s="281"/>
      <c r="K702" s="281">
        <f t="shared" si="834"/>
        <v>900000000</v>
      </c>
      <c r="L702" s="281"/>
      <c r="M702" s="281"/>
      <c r="N702" s="281"/>
      <c r="O702" s="281"/>
      <c r="P702" s="281"/>
      <c r="Q702" s="281"/>
      <c r="R702" s="281">
        <f t="shared" si="874"/>
        <v>0</v>
      </c>
      <c r="S702" s="281"/>
      <c r="T702" s="281"/>
      <c r="U702" s="281"/>
      <c r="V702" s="281"/>
      <c r="W702" s="281">
        <v>360000000</v>
      </c>
      <c r="X702" s="281"/>
      <c r="Y702" s="281"/>
      <c r="Z702" s="281"/>
      <c r="AA702" s="281">
        <f t="shared" si="887"/>
        <v>360000000</v>
      </c>
      <c r="AB702" s="403">
        <f t="shared" si="839"/>
        <v>360000000</v>
      </c>
      <c r="AC702" s="326">
        <f t="shared" si="880"/>
        <v>0.4</v>
      </c>
    </row>
    <row r="703" spans="1:29" ht="38.25" hidden="1" x14ac:dyDescent="0.2">
      <c r="A703" s="424"/>
      <c r="B703" s="323" t="s">
        <v>1904</v>
      </c>
      <c r="C703" s="206" t="s">
        <v>1905</v>
      </c>
      <c r="D703" s="281"/>
      <c r="E703" s="325">
        <f>SUM('ADICIONES  2021'!C703:N703)</f>
        <v>10000000000</v>
      </c>
      <c r="F703" s="281"/>
      <c r="G703" s="281"/>
      <c r="H703" s="281"/>
      <c r="I703" s="281"/>
      <c r="J703" s="281"/>
      <c r="K703" s="281">
        <f t="shared" si="834"/>
        <v>10000000000</v>
      </c>
      <c r="L703" s="281"/>
      <c r="M703" s="281"/>
      <c r="N703" s="281"/>
      <c r="O703" s="281"/>
      <c r="P703" s="281"/>
      <c r="Q703" s="281"/>
      <c r="R703" s="281">
        <f t="shared" si="874"/>
        <v>0</v>
      </c>
      <c r="S703" s="281"/>
      <c r="T703" s="281"/>
      <c r="U703" s="281"/>
      <c r="V703" s="281"/>
      <c r="W703" s="281"/>
      <c r="X703" s="281">
        <v>10000000000</v>
      </c>
      <c r="Y703" s="281"/>
      <c r="Z703" s="281"/>
      <c r="AA703" s="281">
        <f t="shared" si="887"/>
        <v>10000000000</v>
      </c>
      <c r="AB703" s="403">
        <f t="shared" si="839"/>
        <v>10000000000</v>
      </c>
      <c r="AC703" s="326">
        <f t="shared" si="880"/>
        <v>1</v>
      </c>
    </row>
    <row r="704" spans="1:29" s="5" customFormat="1" hidden="1" x14ac:dyDescent="0.2">
      <c r="A704" s="96"/>
      <c r="B704" s="318" t="s">
        <v>1906</v>
      </c>
      <c r="C704" s="319" t="s">
        <v>1907</v>
      </c>
      <c r="D704" s="276">
        <f>SUM(D705:D706)</f>
        <v>0</v>
      </c>
      <c r="E704" s="322">
        <f>SUM('ADICIONES  2021'!C704:N704)</f>
        <v>9268744626</v>
      </c>
      <c r="F704" s="276">
        <f t="shared" ref="F704:J704" si="888">SUM(F705:F706)</f>
        <v>0</v>
      </c>
      <c r="G704" s="276">
        <f t="shared" si="888"/>
        <v>0</v>
      </c>
      <c r="H704" s="276">
        <f t="shared" si="888"/>
        <v>0</v>
      </c>
      <c r="I704" s="276">
        <f t="shared" si="888"/>
        <v>0</v>
      </c>
      <c r="J704" s="276">
        <f t="shared" si="888"/>
        <v>0</v>
      </c>
      <c r="K704" s="276">
        <f t="shared" si="834"/>
        <v>9268744626</v>
      </c>
      <c r="L704" s="276">
        <f t="shared" ref="L704:Q704" si="889">SUM(L705:L706)</f>
        <v>0</v>
      </c>
      <c r="M704" s="276">
        <f t="shared" si="889"/>
        <v>0</v>
      </c>
      <c r="N704" s="276">
        <f t="shared" si="889"/>
        <v>0</v>
      </c>
      <c r="O704" s="276">
        <f t="shared" si="889"/>
        <v>0</v>
      </c>
      <c r="P704" s="276">
        <f t="shared" si="889"/>
        <v>0</v>
      </c>
      <c r="Q704" s="276">
        <f t="shared" si="889"/>
        <v>0</v>
      </c>
      <c r="R704" s="276">
        <f t="shared" si="874"/>
        <v>0</v>
      </c>
      <c r="S704" s="276">
        <f t="shared" ref="S704:Z704" si="890">SUM(S705:S706)</f>
        <v>0</v>
      </c>
      <c r="T704" s="276">
        <f t="shared" si="890"/>
        <v>0</v>
      </c>
      <c r="U704" s="276">
        <f t="shared" si="890"/>
        <v>0</v>
      </c>
      <c r="V704" s="276">
        <f t="shared" si="890"/>
        <v>0</v>
      </c>
      <c r="W704" s="276">
        <f t="shared" si="890"/>
        <v>0</v>
      </c>
      <c r="X704" s="276">
        <f t="shared" si="890"/>
        <v>0</v>
      </c>
      <c r="Y704" s="276">
        <f t="shared" si="890"/>
        <v>0</v>
      </c>
      <c r="Z704" s="276">
        <f t="shared" si="890"/>
        <v>0</v>
      </c>
      <c r="AA704" s="276">
        <f t="shared" ref="AA704:AA706" si="891">SUM(S704:Z704)</f>
        <v>0</v>
      </c>
      <c r="AB704" s="402">
        <f t="shared" si="839"/>
        <v>0</v>
      </c>
      <c r="AC704" s="321">
        <f t="shared" si="880"/>
        <v>0</v>
      </c>
    </row>
    <row r="705" spans="1:29" ht="38.25" hidden="1" x14ac:dyDescent="0.2">
      <c r="A705" s="424"/>
      <c r="B705" s="323" t="s">
        <v>1908</v>
      </c>
      <c r="C705" s="206" t="s">
        <v>1909</v>
      </c>
      <c r="D705" s="281"/>
      <c r="E705" s="325">
        <f>SUM('ADICIONES  2021'!C705:N705)</f>
        <v>6438744626</v>
      </c>
      <c r="F705" s="281"/>
      <c r="G705" s="281"/>
      <c r="H705" s="281"/>
      <c r="I705" s="281"/>
      <c r="J705" s="281"/>
      <c r="K705" s="281">
        <f t="shared" si="834"/>
        <v>6438744626</v>
      </c>
      <c r="L705" s="281"/>
      <c r="M705" s="281"/>
      <c r="N705" s="281"/>
      <c r="O705" s="281"/>
      <c r="P705" s="281"/>
      <c r="Q705" s="281"/>
      <c r="R705" s="281">
        <f t="shared" si="874"/>
        <v>0</v>
      </c>
      <c r="S705" s="281"/>
      <c r="T705" s="281"/>
      <c r="U705" s="281"/>
      <c r="V705" s="281"/>
      <c r="W705" s="281"/>
      <c r="X705" s="281"/>
      <c r="Y705" s="281"/>
      <c r="Z705" s="281"/>
      <c r="AA705" s="281">
        <f t="shared" si="891"/>
        <v>0</v>
      </c>
      <c r="AB705" s="403">
        <f t="shared" si="839"/>
        <v>0</v>
      </c>
      <c r="AC705" s="326">
        <f t="shared" si="880"/>
        <v>0</v>
      </c>
    </row>
    <row r="706" spans="1:29" ht="51" hidden="1" x14ac:dyDescent="0.2">
      <c r="A706" s="424"/>
      <c r="B706" s="323" t="s">
        <v>1910</v>
      </c>
      <c r="C706" s="206" t="s">
        <v>1911</v>
      </c>
      <c r="D706" s="281"/>
      <c r="E706" s="325">
        <f>SUM('ADICIONES  2021'!C706:N706)</f>
        <v>2830000000</v>
      </c>
      <c r="F706" s="281"/>
      <c r="G706" s="281"/>
      <c r="H706" s="281"/>
      <c r="I706" s="281"/>
      <c r="J706" s="281"/>
      <c r="K706" s="281">
        <f t="shared" si="834"/>
        <v>2830000000</v>
      </c>
      <c r="L706" s="281"/>
      <c r="M706" s="281"/>
      <c r="N706" s="281"/>
      <c r="O706" s="281"/>
      <c r="P706" s="281"/>
      <c r="Q706" s="281"/>
      <c r="R706" s="281">
        <f t="shared" si="874"/>
        <v>0</v>
      </c>
      <c r="S706" s="281"/>
      <c r="T706" s="281"/>
      <c r="U706" s="281"/>
      <c r="V706" s="281"/>
      <c r="W706" s="281"/>
      <c r="X706" s="281"/>
      <c r="Y706" s="281"/>
      <c r="Z706" s="281"/>
      <c r="AA706" s="281">
        <f t="shared" si="891"/>
        <v>0</v>
      </c>
      <c r="AB706" s="403">
        <f t="shared" si="839"/>
        <v>0</v>
      </c>
      <c r="AC706" s="326">
        <f t="shared" si="880"/>
        <v>0</v>
      </c>
    </row>
    <row r="707" spans="1:29" s="5" customFormat="1" hidden="1" x14ac:dyDescent="0.2">
      <c r="A707" s="96"/>
      <c r="B707" s="318" t="s">
        <v>1590</v>
      </c>
      <c r="C707" s="319" t="s">
        <v>1591</v>
      </c>
      <c r="D707" s="276">
        <f>+D708+D713</f>
        <v>0</v>
      </c>
      <c r="E707" s="322">
        <f>SUM('ADICIONES  2021'!C707:N707)</f>
        <v>4900126032</v>
      </c>
      <c r="F707" s="276">
        <f>+F708+F713</f>
        <v>0</v>
      </c>
      <c r="G707" s="276">
        <f>+G708+G713</f>
        <v>0</v>
      </c>
      <c r="H707" s="276">
        <f>+H708+H713</f>
        <v>0</v>
      </c>
      <c r="I707" s="276">
        <f>+I708+I713</f>
        <v>0</v>
      </c>
      <c r="J707" s="276">
        <f>+J708+J713</f>
        <v>0</v>
      </c>
      <c r="K707" s="276">
        <f t="shared" si="834"/>
        <v>4900126032</v>
      </c>
      <c r="L707" s="276">
        <f t="shared" ref="L707:Q707" si="892">+L708+L713</f>
        <v>0</v>
      </c>
      <c r="M707" s="276">
        <f t="shared" si="892"/>
        <v>0</v>
      </c>
      <c r="N707" s="276">
        <f t="shared" si="892"/>
        <v>0</v>
      </c>
      <c r="O707" s="276">
        <f t="shared" si="892"/>
        <v>0</v>
      </c>
      <c r="P707" s="276">
        <f t="shared" si="892"/>
        <v>0</v>
      </c>
      <c r="Q707" s="276">
        <f t="shared" si="892"/>
        <v>0</v>
      </c>
      <c r="R707" s="276">
        <f t="shared" si="874"/>
        <v>0</v>
      </c>
      <c r="S707" s="276">
        <f t="shared" ref="S707:Z707" si="893">+S708+S713</f>
        <v>0</v>
      </c>
      <c r="T707" s="276">
        <f t="shared" si="893"/>
        <v>4800000000</v>
      </c>
      <c r="U707" s="276">
        <f t="shared" si="893"/>
        <v>100126032</v>
      </c>
      <c r="V707" s="276">
        <f t="shared" si="893"/>
        <v>0</v>
      </c>
      <c r="W707" s="276">
        <f t="shared" si="893"/>
        <v>0</v>
      </c>
      <c r="X707" s="276">
        <f t="shared" si="893"/>
        <v>0</v>
      </c>
      <c r="Y707" s="276">
        <f t="shared" si="893"/>
        <v>0</v>
      </c>
      <c r="Z707" s="276">
        <f t="shared" si="893"/>
        <v>0</v>
      </c>
      <c r="AA707" s="276">
        <f t="shared" si="876"/>
        <v>4900126032</v>
      </c>
      <c r="AB707" s="402">
        <f t="shared" si="839"/>
        <v>4900126032</v>
      </c>
      <c r="AC707" s="321">
        <f t="shared" si="880"/>
        <v>1</v>
      </c>
    </row>
    <row r="708" spans="1:29" s="5" customFormat="1" ht="51" hidden="1" x14ac:dyDescent="0.2">
      <c r="A708" s="96"/>
      <c r="B708" s="318" t="s">
        <v>1592</v>
      </c>
      <c r="C708" s="319" t="s">
        <v>1593</v>
      </c>
      <c r="D708" s="276">
        <f>SUM(D709:D712)</f>
        <v>0</v>
      </c>
      <c r="E708" s="322">
        <f>SUM('ADICIONES  2021'!C708:N708)</f>
        <v>2750126032</v>
      </c>
      <c r="F708" s="276">
        <f>SUM(F709:F712)</f>
        <v>0</v>
      </c>
      <c r="G708" s="276">
        <f>SUM(G709:G712)</f>
        <v>0</v>
      </c>
      <c r="H708" s="276">
        <f>SUM(H709:H712)</f>
        <v>0</v>
      </c>
      <c r="I708" s="276">
        <f>SUM(I709:I712)</f>
        <v>0</v>
      </c>
      <c r="J708" s="276">
        <f>SUM(J709:J712)</f>
        <v>0</v>
      </c>
      <c r="K708" s="276">
        <f t="shared" si="834"/>
        <v>2750126032</v>
      </c>
      <c r="L708" s="276">
        <f t="shared" ref="L708:Q708" si="894">SUM(L709:L712)</f>
        <v>0</v>
      </c>
      <c r="M708" s="276">
        <f t="shared" si="894"/>
        <v>0</v>
      </c>
      <c r="N708" s="276">
        <f t="shared" si="894"/>
        <v>0</v>
      </c>
      <c r="O708" s="276">
        <f t="shared" si="894"/>
        <v>0</v>
      </c>
      <c r="P708" s="276">
        <f t="shared" si="894"/>
        <v>0</v>
      </c>
      <c r="Q708" s="276">
        <f t="shared" si="894"/>
        <v>0</v>
      </c>
      <c r="R708" s="276">
        <f t="shared" si="874"/>
        <v>0</v>
      </c>
      <c r="S708" s="276">
        <f t="shared" ref="S708:Z708" si="895">SUM(S709:S712)</f>
        <v>0</v>
      </c>
      <c r="T708" s="276">
        <f t="shared" si="895"/>
        <v>2650000000</v>
      </c>
      <c r="U708" s="276">
        <f t="shared" si="895"/>
        <v>100126032</v>
      </c>
      <c r="V708" s="276">
        <f t="shared" si="895"/>
        <v>0</v>
      </c>
      <c r="W708" s="276">
        <f t="shared" si="895"/>
        <v>0</v>
      </c>
      <c r="X708" s="276">
        <f t="shared" si="895"/>
        <v>0</v>
      </c>
      <c r="Y708" s="276">
        <f t="shared" si="895"/>
        <v>0</v>
      </c>
      <c r="Z708" s="276">
        <f t="shared" si="895"/>
        <v>0</v>
      </c>
      <c r="AA708" s="276">
        <f t="shared" si="876"/>
        <v>2750126032</v>
      </c>
      <c r="AB708" s="402">
        <f t="shared" si="839"/>
        <v>2750126032</v>
      </c>
      <c r="AC708" s="321">
        <f t="shared" si="880"/>
        <v>1</v>
      </c>
    </row>
    <row r="709" spans="1:29" ht="25.5" hidden="1" x14ac:dyDescent="0.2">
      <c r="A709" s="424"/>
      <c r="B709" s="323" t="s">
        <v>1594</v>
      </c>
      <c r="C709" s="206" t="s">
        <v>1595</v>
      </c>
      <c r="D709" s="281"/>
      <c r="E709" s="325">
        <f>SUM('ADICIONES  2021'!C709:N709)</f>
        <v>2000000000</v>
      </c>
      <c r="F709" s="281"/>
      <c r="G709" s="281"/>
      <c r="H709" s="281"/>
      <c r="I709" s="281"/>
      <c r="J709" s="281"/>
      <c r="K709" s="281">
        <f t="shared" si="834"/>
        <v>2000000000</v>
      </c>
      <c r="L709" s="281"/>
      <c r="M709" s="281"/>
      <c r="N709" s="281"/>
      <c r="O709" s="281"/>
      <c r="P709" s="281"/>
      <c r="Q709" s="281"/>
      <c r="R709" s="281">
        <f t="shared" si="874"/>
        <v>0</v>
      </c>
      <c r="S709" s="281"/>
      <c r="T709" s="281">
        <v>2000000000</v>
      </c>
      <c r="U709" s="281"/>
      <c r="V709" s="281"/>
      <c r="W709" s="281"/>
      <c r="X709" s="281"/>
      <c r="Y709" s="281"/>
      <c r="Z709" s="281"/>
      <c r="AA709" s="281">
        <f t="shared" si="876"/>
        <v>2000000000</v>
      </c>
      <c r="AB709" s="403">
        <f t="shared" si="839"/>
        <v>2000000000</v>
      </c>
      <c r="AC709" s="326">
        <f t="shared" si="880"/>
        <v>1</v>
      </c>
    </row>
    <row r="710" spans="1:29" ht="25.5" hidden="1" x14ac:dyDescent="0.2">
      <c r="A710" s="424"/>
      <c r="B710" s="323" t="s">
        <v>1596</v>
      </c>
      <c r="C710" s="206" t="s">
        <v>1597</v>
      </c>
      <c r="D710" s="281"/>
      <c r="E710" s="325">
        <f>SUM('ADICIONES  2021'!C710:N710)</f>
        <v>250000000</v>
      </c>
      <c r="F710" s="281"/>
      <c r="G710" s="281"/>
      <c r="H710" s="281"/>
      <c r="I710" s="281"/>
      <c r="J710" s="281"/>
      <c r="K710" s="281">
        <f t="shared" si="834"/>
        <v>250000000</v>
      </c>
      <c r="L710" s="281"/>
      <c r="M710" s="281"/>
      <c r="N710" s="281"/>
      <c r="O710" s="281"/>
      <c r="P710" s="281"/>
      <c r="Q710" s="281"/>
      <c r="R710" s="281">
        <f t="shared" si="874"/>
        <v>0</v>
      </c>
      <c r="S710" s="281"/>
      <c r="T710" s="281">
        <v>250000000</v>
      </c>
      <c r="U710" s="281"/>
      <c r="V710" s="281"/>
      <c r="W710" s="281"/>
      <c r="X710" s="281"/>
      <c r="Y710" s="281"/>
      <c r="Z710" s="281"/>
      <c r="AA710" s="281">
        <f t="shared" si="876"/>
        <v>250000000</v>
      </c>
      <c r="AB710" s="403">
        <f t="shared" si="839"/>
        <v>250000000</v>
      </c>
      <c r="AC710" s="326">
        <f t="shared" si="880"/>
        <v>1</v>
      </c>
    </row>
    <row r="711" spans="1:29" ht="25.5" hidden="1" x14ac:dyDescent="0.2">
      <c r="A711" s="424"/>
      <c r="B711" s="323" t="s">
        <v>1598</v>
      </c>
      <c r="C711" s="206" t="s">
        <v>1599</v>
      </c>
      <c r="D711" s="281"/>
      <c r="E711" s="325">
        <f>SUM('ADICIONES  2021'!C711:N711)</f>
        <v>400000000</v>
      </c>
      <c r="F711" s="281"/>
      <c r="G711" s="281"/>
      <c r="H711" s="281"/>
      <c r="I711" s="281"/>
      <c r="J711" s="281"/>
      <c r="K711" s="281">
        <f t="shared" si="834"/>
        <v>400000000</v>
      </c>
      <c r="L711" s="281"/>
      <c r="M711" s="281"/>
      <c r="N711" s="281"/>
      <c r="O711" s="281"/>
      <c r="P711" s="281"/>
      <c r="Q711" s="281"/>
      <c r="R711" s="281">
        <f t="shared" si="874"/>
        <v>0</v>
      </c>
      <c r="S711" s="281"/>
      <c r="T711" s="281">
        <v>400000000</v>
      </c>
      <c r="U711" s="281"/>
      <c r="V711" s="281"/>
      <c r="W711" s="281"/>
      <c r="X711" s="281"/>
      <c r="Y711" s="281"/>
      <c r="Z711" s="281"/>
      <c r="AA711" s="281">
        <f t="shared" si="876"/>
        <v>400000000</v>
      </c>
      <c r="AB711" s="403">
        <f t="shared" si="839"/>
        <v>400000000</v>
      </c>
      <c r="AC711" s="326">
        <f t="shared" si="880"/>
        <v>1</v>
      </c>
    </row>
    <row r="712" spans="1:29" ht="25.5" hidden="1" x14ac:dyDescent="0.2">
      <c r="A712" s="424"/>
      <c r="B712" s="323" t="s">
        <v>1600</v>
      </c>
      <c r="C712" s="206" t="s">
        <v>1599</v>
      </c>
      <c r="D712" s="281"/>
      <c r="E712" s="325">
        <f>SUM('ADICIONES  2021'!C712:N712)</f>
        <v>100126032</v>
      </c>
      <c r="F712" s="281"/>
      <c r="G712" s="281"/>
      <c r="H712" s="281"/>
      <c r="I712" s="281"/>
      <c r="J712" s="281"/>
      <c r="K712" s="281">
        <f t="shared" si="834"/>
        <v>100126032</v>
      </c>
      <c r="L712" s="281"/>
      <c r="M712" s="281"/>
      <c r="N712" s="281"/>
      <c r="O712" s="281"/>
      <c r="P712" s="281"/>
      <c r="Q712" s="281"/>
      <c r="R712" s="281">
        <f t="shared" si="874"/>
        <v>0</v>
      </c>
      <c r="S712" s="281"/>
      <c r="T712" s="281">
        <v>0</v>
      </c>
      <c r="U712" s="281">
        <v>100126032</v>
      </c>
      <c r="V712" s="281"/>
      <c r="W712" s="281"/>
      <c r="X712" s="281"/>
      <c r="Y712" s="281"/>
      <c r="Z712" s="281"/>
      <c r="AA712" s="281">
        <f t="shared" si="876"/>
        <v>100126032</v>
      </c>
      <c r="AB712" s="403">
        <f t="shared" si="839"/>
        <v>100126032</v>
      </c>
      <c r="AC712" s="326">
        <f t="shared" si="880"/>
        <v>1</v>
      </c>
    </row>
    <row r="713" spans="1:29" ht="51" hidden="1" x14ac:dyDescent="0.2">
      <c r="A713" s="424"/>
      <c r="B713" s="318" t="s">
        <v>1601</v>
      </c>
      <c r="C713" s="319" t="s">
        <v>1602</v>
      </c>
      <c r="D713" s="276">
        <f>SUM(D714:D718)</f>
        <v>0</v>
      </c>
      <c r="E713" s="322">
        <f>SUM('ADICIONES  2021'!C713:N713)</f>
        <v>2150000000</v>
      </c>
      <c r="F713" s="276">
        <f>SUM(F714:F718)</f>
        <v>0</v>
      </c>
      <c r="G713" s="276">
        <f>SUM(G714:G718)</f>
        <v>0</v>
      </c>
      <c r="H713" s="276">
        <f>SUM(H714:H718)</f>
        <v>0</v>
      </c>
      <c r="I713" s="276">
        <f>SUM(I714:I718)</f>
        <v>0</v>
      </c>
      <c r="J713" s="276">
        <f>SUM(J714:J718)</f>
        <v>0</v>
      </c>
      <c r="K713" s="281">
        <f t="shared" si="834"/>
        <v>2150000000</v>
      </c>
      <c r="L713" s="276">
        <f t="shared" ref="L713:Q713" si="896">SUM(L714:L718)</f>
        <v>0</v>
      </c>
      <c r="M713" s="276">
        <f t="shared" si="896"/>
        <v>0</v>
      </c>
      <c r="N713" s="276">
        <f t="shared" si="896"/>
        <v>0</v>
      </c>
      <c r="O713" s="276">
        <f t="shared" si="896"/>
        <v>0</v>
      </c>
      <c r="P713" s="276">
        <f t="shared" si="896"/>
        <v>0</v>
      </c>
      <c r="Q713" s="276">
        <f t="shared" si="896"/>
        <v>0</v>
      </c>
      <c r="R713" s="281">
        <f t="shared" si="874"/>
        <v>0</v>
      </c>
      <c r="S713" s="276">
        <f t="shared" ref="S713:Z713" si="897">SUM(S714:S718)</f>
        <v>0</v>
      </c>
      <c r="T713" s="276">
        <f t="shared" si="897"/>
        <v>2150000000</v>
      </c>
      <c r="U713" s="276">
        <f t="shared" si="897"/>
        <v>0</v>
      </c>
      <c r="V713" s="276">
        <f t="shared" si="897"/>
        <v>0</v>
      </c>
      <c r="W713" s="276">
        <f t="shared" si="897"/>
        <v>0</v>
      </c>
      <c r="X713" s="276">
        <f t="shared" si="897"/>
        <v>0</v>
      </c>
      <c r="Y713" s="276">
        <f t="shared" si="897"/>
        <v>0</v>
      </c>
      <c r="Z713" s="276">
        <f t="shared" si="897"/>
        <v>0</v>
      </c>
      <c r="AA713" s="281">
        <f t="shared" si="876"/>
        <v>2150000000</v>
      </c>
      <c r="AB713" s="403">
        <f t="shared" si="839"/>
        <v>2150000000</v>
      </c>
      <c r="AC713" s="326">
        <f t="shared" si="880"/>
        <v>1</v>
      </c>
    </row>
    <row r="714" spans="1:29" ht="25.5" hidden="1" x14ac:dyDescent="0.2">
      <c r="A714" s="424"/>
      <c r="B714" s="323" t="s">
        <v>1603</v>
      </c>
      <c r="C714" s="206" t="s">
        <v>1604</v>
      </c>
      <c r="D714" s="281"/>
      <c r="E714" s="325">
        <f>SUM('ADICIONES  2021'!C714:N714)</f>
        <v>900000000</v>
      </c>
      <c r="F714" s="281"/>
      <c r="G714" s="281"/>
      <c r="H714" s="281"/>
      <c r="I714" s="281"/>
      <c r="J714" s="281"/>
      <c r="K714" s="281">
        <f t="shared" si="834"/>
        <v>900000000</v>
      </c>
      <c r="L714" s="281"/>
      <c r="M714" s="281"/>
      <c r="N714" s="281"/>
      <c r="O714" s="281"/>
      <c r="P714" s="281"/>
      <c r="Q714" s="281"/>
      <c r="R714" s="281">
        <f t="shared" si="874"/>
        <v>0</v>
      </c>
      <c r="S714" s="281"/>
      <c r="T714" s="281">
        <v>900000000</v>
      </c>
      <c r="U714" s="281"/>
      <c r="V714" s="281"/>
      <c r="W714" s="281"/>
      <c r="X714" s="281"/>
      <c r="Y714" s="281"/>
      <c r="Z714" s="281"/>
      <c r="AA714" s="281">
        <f t="shared" si="876"/>
        <v>900000000</v>
      </c>
      <c r="AB714" s="403">
        <f t="shared" si="839"/>
        <v>900000000</v>
      </c>
      <c r="AC714" s="326">
        <f t="shared" si="880"/>
        <v>1</v>
      </c>
    </row>
    <row r="715" spans="1:29" ht="25.5" hidden="1" x14ac:dyDescent="0.2">
      <c r="A715" s="424"/>
      <c r="B715" s="323" t="s">
        <v>1605</v>
      </c>
      <c r="C715" s="206" t="s">
        <v>1606</v>
      </c>
      <c r="D715" s="281"/>
      <c r="E715" s="325">
        <f>SUM('ADICIONES  2021'!C715:N715)</f>
        <v>250000000</v>
      </c>
      <c r="F715" s="281"/>
      <c r="G715" s="281"/>
      <c r="H715" s="281"/>
      <c r="I715" s="281"/>
      <c r="J715" s="281"/>
      <c r="K715" s="281">
        <f t="shared" si="834"/>
        <v>250000000</v>
      </c>
      <c r="L715" s="281"/>
      <c r="M715" s="281"/>
      <c r="N715" s="281"/>
      <c r="O715" s="281"/>
      <c r="P715" s="281"/>
      <c r="Q715" s="281"/>
      <c r="R715" s="281">
        <f t="shared" si="874"/>
        <v>0</v>
      </c>
      <c r="S715" s="281"/>
      <c r="T715" s="281">
        <v>250000000</v>
      </c>
      <c r="U715" s="281"/>
      <c r="V715" s="281"/>
      <c r="W715" s="281"/>
      <c r="X715" s="281"/>
      <c r="Y715" s="281"/>
      <c r="Z715" s="281"/>
      <c r="AA715" s="281">
        <f t="shared" si="876"/>
        <v>250000000</v>
      </c>
      <c r="AB715" s="403">
        <f t="shared" si="839"/>
        <v>250000000</v>
      </c>
      <c r="AC715" s="326">
        <f t="shared" si="880"/>
        <v>1</v>
      </c>
    </row>
    <row r="716" spans="1:29" ht="25.5" hidden="1" x14ac:dyDescent="0.2">
      <c r="A716" s="424"/>
      <c r="B716" s="323" t="s">
        <v>1607</v>
      </c>
      <c r="C716" s="206" t="s">
        <v>1608</v>
      </c>
      <c r="D716" s="281"/>
      <c r="E716" s="325">
        <f>SUM('ADICIONES  2021'!C716:N716)</f>
        <v>280000000</v>
      </c>
      <c r="F716" s="281"/>
      <c r="G716" s="281"/>
      <c r="H716" s="281"/>
      <c r="I716" s="281"/>
      <c r="J716" s="281"/>
      <c r="K716" s="281">
        <f t="shared" si="834"/>
        <v>280000000</v>
      </c>
      <c r="L716" s="281"/>
      <c r="M716" s="281"/>
      <c r="N716" s="281"/>
      <c r="O716" s="281"/>
      <c r="P716" s="281"/>
      <c r="Q716" s="281"/>
      <c r="R716" s="281">
        <f t="shared" si="874"/>
        <v>0</v>
      </c>
      <c r="S716" s="281"/>
      <c r="T716" s="281">
        <v>280000000</v>
      </c>
      <c r="U716" s="281"/>
      <c r="V716" s="281"/>
      <c r="W716" s="281"/>
      <c r="X716" s="281"/>
      <c r="Y716" s="281"/>
      <c r="Z716" s="281"/>
      <c r="AA716" s="281">
        <f t="shared" si="876"/>
        <v>280000000</v>
      </c>
      <c r="AB716" s="403">
        <f t="shared" si="839"/>
        <v>280000000</v>
      </c>
      <c r="AC716" s="326">
        <f t="shared" si="880"/>
        <v>1</v>
      </c>
    </row>
    <row r="717" spans="1:29" ht="25.5" hidden="1" x14ac:dyDescent="0.2">
      <c r="A717" s="424"/>
      <c r="B717" s="323" t="s">
        <v>1609</v>
      </c>
      <c r="C717" s="206" t="s">
        <v>1610</v>
      </c>
      <c r="D717" s="281"/>
      <c r="E717" s="325">
        <f>SUM('ADICIONES  2021'!C717:N717)</f>
        <v>220000000</v>
      </c>
      <c r="F717" s="281"/>
      <c r="G717" s="281"/>
      <c r="H717" s="281"/>
      <c r="I717" s="281"/>
      <c r="J717" s="281"/>
      <c r="K717" s="281">
        <f t="shared" si="834"/>
        <v>220000000</v>
      </c>
      <c r="L717" s="281"/>
      <c r="M717" s="281"/>
      <c r="N717" s="281"/>
      <c r="O717" s="281"/>
      <c r="P717" s="281"/>
      <c r="Q717" s="281"/>
      <c r="R717" s="281">
        <f t="shared" si="874"/>
        <v>0</v>
      </c>
      <c r="S717" s="281"/>
      <c r="T717" s="281">
        <v>220000000</v>
      </c>
      <c r="U717" s="281"/>
      <c r="V717" s="281"/>
      <c r="W717" s="281"/>
      <c r="X717" s="281"/>
      <c r="Y717" s="281"/>
      <c r="Z717" s="281"/>
      <c r="AA717" s="281">
        <f t="shared" si="876"/>
        <v>220000000</v>
      </c>
      <c r="AB717" s="403">
        <f t="shared" si="839"/>
        <v>220000000</v>
      </c>
      <c r="AC717" s="326">
        <f t="shared" si="880"/>
        <v>1</v>
      </c>
    </row>
    <row r="718" spans="1:29" ht="25.5" hidden="1" x14ac:dyDescent="0.2">
      <c r="A718" s="424"/>
      <c r="B718" s="323" t="s">
        <v>1611</v>
      </c>
      <c r="C718" s="206" t="s">
        <v>1612</v>
      </c>
      <c r="D718" s="281"/>
      <c r="E718" s="325">
        <f>SUM('ADICIONES  2021'!C718:N718)</f>
        <v>500000000</v>
      </c>
      <c r="F718" s="281"/>
      <c r="G718" s="281"/>
      <c r="H718" s="281"/>
      <c r="I718" s="281"/>
      <c r="J718" s="281"/>
      <c r="K718" s="281">
        <f t="shared" si="834"/>
        <v>500000000</v>
      </c>
      <c r="L718" s="281"/>
      <c r="M718" s="281"/>
      <c r="N718" s="281"/>
      <c r="O718" s="281"/>
      <c r="P718" s="281"/>
      <c r="Q718" s="281"/>
      <c r="R718" s="281">
        <f t="shared" si="874"/>
        <v>0</v>
      </c>
      <c r="S718" s="281"/>
      <c r="T718" s="281">
        <v>500000000</v>
      </c>
      <c r="U718" s="281"/>
      <c r="V718" s="281"/>
      <c r="W718" s="281"/>
      <c r="X718" s="281"/>
      <c r="Y718" s="281"/>
      <c r="Z718" s="281"/>
      <c r="AA718" s="281">
        <f t="shared" si="876"/>
        <v>500000000</v>
      </c>
      <c r="AB718" s="403">
        <f t="shared" si="839"/>
        <v>500000000</v>
      </c>
      <c r="AC718" s="326">
        <f t="shared" si="880"/>
        <v>1</v>
      </c>
    </row>
    <row r="719" spans="1:29" s="185" customFormat="1" ht="19.5" hidden="1" x14ac:dyDescent="0.2">
      <c r="A719" s="182"/>
      <c r="B719" s="343" t="s">
        <v>1613</v>
      </c>
      <c r="C719" s="344" t="s">
        <v>1614</v>
      </c>
      <c r="D719" s="285">
        <f>+D720</f>
        <v>0</v>
      </c>
      <c r="E719" s="320">
        <f>SUM('ADICIONES  2021'!C719:N719)</f>
        <v>137470491076.75</v>
      </c>
      <c r="F719" s="285">
        <f t="shared" ref="F719:J722" si="898">+F720</f>
        <v>0</v>
      </c>
      <c r="G719" s="285">
        <f t="shared" si="898"/>
        <v>0</v>
      </c>
      <c r="H719" s="285">
        <f t="shared" si="898"/>
        <v>0</v>
      </c>
      <c r="I719" s="285">
        <f t="shared" si="898"/>
        <v>0</v>
      </c>
      <c r="J719" s="285">
        <f t="shared" si="898"/>
        <v>0</v>
      </c>
      <c r="K719" s="316">
        <f t="shared" si="834"/>
        <v>137470491076.75</v>
      </c>
      <c r="L719" s="285">
        <f t="shared" ref="L719:Q722" si="899">+L720</f>
        <v>0</v>
      </c>
      <c r="M719" s="285">
        <f t="shared" si="899"/>
        <v>0</v>
      </c>
      <c r="N719" s="285">
        <f t="shared" si="899"/>
        <v>0</v>
      </c>
      <c r="O719" s="285">
        <f t="shared" si="899"/>
        <v>0</v>
      </c>
      <c r="P719" s="285">
        <f t="shared" si="899"/>
        <v>0</v>
      </c>
      <c r="Q719" s="285">
        <f t="shared" si="899"/>
        <v>0</v>
      </c>
      <c r="R719" s="316">
        <f t="shared" si="874"/>
        <v>0</v>
      </c>
      <c r="S719" s="285">
        <f t="shared" ref="S719:Z722" si="900">+S720</f>
        <v>81854176518.970001</v>
      </c>
      <c r="T719" s="285">
        <f t="shared" si="900"/>
        <v>0</v>
      </c>
      <c r="U719" s="285">
        <f t="shared" si="900"/>
        <v>0</v>
      </c>
      <c r="V719" s="285">
        <f t="shared" si="900"/>
        <v>0</v>
      </c>
      <c r="W719" s="285">
        <f t="shared" si="900"/>
        <v>0</v>
      </c>
      <c r="X719" s="285">
        <f t="shared" si="900"/>
        <v>17010953802.65</v>
      </c>
      <c r="Y719" s="285">
        <f t="shared" si="900"/>
        <v>0</v>
      </c>
      <c r="Z719" s="285">
        <f t="shared" si="900"/>
        <v>0</v>
      </c>
      <c r="AA719" s="316">
        <f t="shared" si="876"/>
        <v>98865130321.619995</v>
      </c>
      <c r="AB719" s="401">
        <f t="shared" si="839"/>
        <v>98865130321.619995</v>
      </c>
      <c r="AC719" s="317">
        <f t="shared" si="880"/>
        <v>0.71917347168290413</v>
      </c>
    </row>
    <row r="720" spans="1:29" ht="14.25" hidden="1" x14ac:dyDescent="0.2">
      <c r="A720" s="424"/>
      <c r="B720" s="318" t="s">
        <v>1615</v>
      </c>
      <c r="C720" s="319" t="s">
        <v>1127</v>
      </c>
      <c r="D720" s="276">
        <f>+D721</f>
        <v>0</v>
      </c>
      <c r="E720" s="322">
        <f>SUM('ADICIONES  2021'!C720:N720)</f>
        <v>137470491076.75</v>
      </c>
      <c r="F720" s="276">
        <f t="shared" si="898"/>
        <v>0</v>
      </c>
      <c r="G720" s="276">
        <f t="shared" si="898"/>
        <v>0</v>
      </c>
      <c r="H720" s="276">
        <f t="shared" si="898"/>
        <v>0</v>
      </c>
      <c r="I720" s="276">
        <f t="shared" si="898"/>
        <v>0</v>
      </c>
      <c r="J720" s="276">
        <f t="shared" si="898"/>
        <v>0</v>
      </c>
      <c r="K720" s="281">
        <f t="shared" si="834"/>
        <v>137470491076.75</v>
      </c>
      <c r="L720" s="276">
        <f t="shared" si="899"/>
        <v>0</v>
      </c>
      <c r="M720" s="276">
        <f t="shared" si="899"/>
        <v>0</v>
      </c>
      <c r="N720" s="276">
        <f t="shared" si="899"/>
        <v>0</v>
      </c>
      <c r="O720" s="276">
        <f t="shared" si="899"/>
        <v>0</v>
      </c>
      <c r="P720" s="276">
        <f t="shared" si="899"/>
        <v>0</v>
      </c>
      <c r="Q720" s="276">
        <f t="shared" si="899"/>
        <v>0</v>
      </c>
      <c r="R720" s="281">
        <f t="shared" si="874"/>
        <v>0</v>
      </c>
      <c r="S720" s="276">
        <f t="shared" si="900"/>
        <v>81854176518.970001</v>
      </c>
      <c r="T720" s="276">
        <f t="shared" si="900"/>
        <v>0</v>
      </c>
      <c r="U720" s="276">
        <f t="shared" si="900"/>
        <v>0</v>
      </c>
      <c r="V720" s="276">
        <f t="shared" si="900"/>
        <v>0</v>
      </c>
      <c r="W720" s="276">
        <f t="shared" si="900"/>
        <v>0</v>
      </c>
      <c r="X720" s="276">
        <f t="shared" si="900"/>
        <v>17010953802.65</v>
      </c>
      <c r="Y720" s="276">
        <f t="shared" si="900"/>
        <v>0</v>
      </c>
      <c r="Z720" s="276">
        <f t="shared" si="900"/>
        <v>0</v>
      </c>
      <c r="AA720" s="281">
        <f t="shared" si="876"/>
        <v>98865130321.619995</v>
      </c>
      <c r="AB720" s="403">
        <f t="shared" si="839"/>
        <v>98865130321.619995</v>
      </c>
      <c r="AC720" s="326">
        <f t="shared" si="880"/>
        <v>0.71917347168290413</v>
      </c>
    </row>
    <row r="721" spans="1:29" s="5" customFormat="1" ht="15.75" thickBot="1" x14ac:dyDescent="0.25">
      <c r="A721" s="96">
        <v>1</v>
      </c>
      <c r="B721" s="172" t="s">
        <v>1616</v>
      </c>
      <c r="C721" s="173" t="s">
        <v>1617</v>
      </c>
      <c r="D721" s="276">
        <f>+D722</f>
        <v>0</v>
      </c>
      <c r="E721" s="322">
        <f>SUM('ADICIONES  2021'!C721:N721)</f>
        <v>137470491076.75</v>
      </c>
      <c r="F721" s="276">
        <f t="shared" si="898"/>
        <v>0</v>
      </c>
      <c r="G721" s="276">
        <f t="shared" si="898"/>
        <v>0</v>
      </c>
      <c r="H721" s="276">
        <f t="shared" si="898"/>
        <v>0</v>
      </c>
      <c r="I721" s="276">
        <f t="shared" si="898"/>
        <v>0</v>
      </c>
      <c r="J721" s="276">
        <f t="shared" si="898"/>
        <v>0</v>
      </c>
      <c r="K721" s="123">
        <f t="shared" si="834"/>
        <v>137470491076.75</v>
      </c>
      <c r="L721" s="276">
        <f t="shared" si="899"/>
        <v>0</v>
      </c>
      <c r="M721" s="276">
        <f t="shared" si="899"/>
        <v>0</v>
      </c>
      <c r="N721" s="276">
        <f t="shared" si="899"/>
        <v>0</v>
      </c>
      <c r="O721" s="276">
        <f t="shared" si="899"/>
        <v>0</v>
      </c>
      <c r="P721" s="276">
        <f t="shared" si="899"/>
        <v>0</v>
      </c>
      <c r="Q721" s="276">
        <f t="shared" si="899"/>
        <v>0</v>
      </c>
      <c r="R721" s="123">
        <f t="shared" si="874"/>
        <v>0</v>
      </c>
      <c r="S721" s="123">
        <f t="shared" si="900"/>
        <v>81854176518.970001</v>
      </c>
      <c r="T721" s="123">
        <f t="shared" si="900"/>
        <v>0</v>
      </c>
      <c r="U721" s="123">
        <f t="shared" si="900"/>
        <v>0</v>
      </c>
      <c r="V721" s="123">
        <f t="shared" si="900"/>
        <v>0</v>
      </c>
      <c r="W721" s="123">
        <f t="shared" si="900"/>
        <v>0</v>
      </c>
      <c r="X721" s="123">
        <f t="shared" si="900"/>
        <v>17010953802.65</v>
      </c>
      <c r="Y721" s="123">
        <f t="shared" si="900"/>
        <v>0</v>
      </c>
      <c r="Z721" s="276">
        <f t="shared" si="900"/>
        <v>0</v>
      </c>
      <c r="AA721" s="281">
        <f t="shared" si="876"/>
        <v>98865130321.619995</v>
      </c>
      <c r="AB721" s="432">
        <f t="shared" si="839"/>
        <v>98865130321.619995</v>
      </c>
      <c r="AC721" s="163">
        <f t="shared" si="880"/>
        <v>0.71917347168290413</v>
      </c>
    </row>
    <row r="722" spans="1:29" hidden="1" thickBot="1" x14ac:dyDescent="0.25">
      <c r="A722" s="424"/>
      <c r="B722" s="318" t="s">
        <v>1618</v>
      </c>
      <c r="C722" s="319" t="s">
        <v>1619</v>
      </c>
      <c r="D722" s="276">
        <f>+D723</f>
        <v>0</v>
      </c>
      <c r="E722" s="322">
        <f>SUM('ADICIONES  2021'!C722:N722)</f>
        <v>137470491076.75</v>
      </c>
      <c r="F722" s="276">
        <f t="shared" si="898"/>
        <v>0</v>
      </c>
      <c r="G722" s="276">
        <f t="shared" si="898"/>
        <v>0</v>
      </c>
      <c r="H722" s="276">
        <f t="shared" si="898"/>
        <v>0</v>
      </c>
      <c r="I722" s="276">
        <f t="shared" si="898"/>
        <v>0</v>
      </c>
      <c r="J722" s="276">
        <f t="shared" si="898"/>
        <v>0</v>
      </c>
      <c r="K722" s="281">
        <f t="shared" si="834"/>
        <v>137470491076.75</v>
      </c>
      <c r="L722" s="276">
        <f t="shared" si="899"/>
        <v>0</v>
      </c>
      <c r="M722" s="276">
        <f t="shared" si="899"/>
        <v>0</v>
      </c>
      <c r="N722" s="276">
        <f t="shared" si="899"/>
        <v>0</v>
      </c>
      <c r="O722" s="276">
        <f t="shared" si="899"/>
        <v>0</v>
      </c>
      <c r="P722" s="276">
        <f t="shared" si="899"/>
        <v>0</v>
      </c>
      <c r="Q722" s="276">
        <f t="shared" si="899"/>
        <v>0</v>
      </c>
      <c r="R722" s="281">
        <f t="shared" si="874"/>
        <v>0</v>
      </c>
      <c r="S722" s="276">
        <f t="shared" si="900"/>
        <v>81854176518.970001</v>
      </c>
      <c r="T722" s="276">
        <f t="shared" si="900"/>
        <v>0</v>
      </c>
      <c r="U722" s="276">
        <f t="shared" si="900"/>
        <v>0</v>
      </c>
      <c r="V722" s="276">
        <f t="shared" si="900"/>
        <v>0</v>
      </c>
      <c r="W722" s="276">
        <f t="shared" si="900"/>
        <v>0</v>
      </c>
      <c r="X722" s="276">
        <f t="shared" si="900"/>
        <v>17010953802.65</v>
      </c>
      <c r="Y722" s="276">
        <f t="shared" si="900"/>
        <v>0</v>
      </c>
      <c r="Z722" s="276">
        <f t="shared" si="900"/>
        <v>0</v>
      </c>
      <c r="AA722" s="281">
        <f t="shared" si="876"/>
        <v>98865130321.619995</v>
      </c>
      <c r="AB722" s="403">
        <f t="shared" si="839"/>
        <v>98865130321.619995</v>
      </c>
      <c r="AC722" s="326">
        <f t="shared" si="880"/>
        <v>0.71917347168290413</v>
      </c>
    </row>
    <row r="723" spans="1:29" hidden="1" thickBot="1" x14ac:dyDescent="0.25">
      <c r="A723" s="424"/>
      <c r="B723" s="318" t="s">
        <v>1620</v>
      </c>
      <c r="C723" s="319" t="s">
        <v>1621</v>
      </c>
      <c r="D723" s="276">
        <f>+D724+D729+D731+D733+D735+D737+D739+D741+D743+D745+D753+D758+D769+D771</f>
        <v>0</v>
      </c>
      <c r="E723" s="322">
        <f>SUM('ADICIONES  2021'!C723:N723)</f>
        <v>137470491076.75</v>
      </c>
      <c r="F723" s="276">
        <f>+F724+F729+F731+F733+F735+F737+F739+F741+F743+F745+F753+F758+F769+F771</f>
        <v>0</v>
      </c>
      <c r="G723" s="276">
        <f>+G724+G729+G731+G733+G735+G737+G739+G741+G743+G745+G753+G758+G769+G771</f>
        <v>0</v>
      </c>
      <c r="H723" s="276">
        <f>+H724+H729+H731+H733+H735+H737+H739+H741+H743+H745+H753+H758+H769+H771</f>
        <v>0</v>
      </c>
      <c r="I723" s="276">
        <f>+I724+I729+I731+I733+I735+I737+I739+I741+I743+I745+I753+I758+I769+I771</f>
        <v>0</v>
      </c>
      <c r="J723" s="276">
        <f>+J724+J729+J731+J733+J735+J737+J739+J741+J743+J745+J753+J758+J769+J771</f>
        <v>0</v>
      </c>
      <c r="K723" s="281">
        <f t="shared" si="834"/>
        <v>137470491076.75</v>
      </c>
      <c r="L723" s="276">
        <f t="shared" ref="L723:Q723" si="901">+L724+L729+L731+L733+L735+L737+L739+L741+L743+L745+L753+L758+L769+L771</f>
        <v>0</v>
      </c>
      <c r="M723" s="276">
        <f t="shared" si="901"/>
        <v>0</v>
      </c>
      <c r="N723" s="276">
        <f t="shared" si="901"/>
        <v>0</v>
      </c>
      <c r="O723" s="276">
        <f t="shared" si="901"/>
        <v>0</v>
      </c>
      <c r="P723" s="276">
        <f t="shared" si="901"/>
        <v>0</v>
      </c>
      <c r="Q723" s="276">
        <f t="shared" si="901"/>
        <v>0</v>
      </c>
      <c r="R723" s="281">
        <f t="shared" si="874"/>
        <v>0</v>
      </c>
      <c r="S723" s="276">
        <f>+S724+S729+S731+S733+S735+S737+S739+S741+S743+S745+S753+S758+S769+S771</f>
        <v>81854176518.970001</v>
      </c>
      <c r="T723" s="276">
        <f t="shared" ref="T723:Z723" si="902">+T724+T729+T731+T733+T735+T737+T739+T741+T743+T745+T753+T758+T769+T771</f>
        <v>0</v>
      </c>
      <c r="U723" s="276">
        <f t="shared" si="902"/>
        <v>0</v>
      </c>
      <c r="V723" s="276">
        <f t="shared" si="902"/>
        <v>0</v>
      </c>
      <c r="W723" s="276">
        <f t="shared" si="902"/>
        <v>0</v>
      </c>
      <c r="X723" s="276">
        <f t="shared" si="902"/>
        <v>17010953802.65</v>
      </c>
      <c r="Y723" s="276">
        <f t="shared" si="902"/>
        <v>0</v>
      </c>
      <c r="Z723" s="276">
        <f t="shared" si="902"/>
        <v>0</v>
      </c>
      <c r="AA723" s="281">
        <f t="shared" si="876"/>
        <v>98865130321.619995</v>
      </c>
      <c r="AB723" s="403">
        <f t="shared" si="839"/>
        <v>98865130321.619995</v>
      </c>
      <c r="AC723" s="326">
        <f t="shared" si="880"/>
        <v>0.71917347168290413</v>
      </c>
    </row>
    <row r="724" spans="1:29" hidden="1" thickBot="1" x14ac:dyDescent="0.25">
      <c r="A724" s="424"/>
      <c r="B724" s="318" t="s">
        <v>1622</v>
      </c>
      <c r="C724" s="319" t="s">
        <v>1623</v>
      </c>
      <c r="D724" s="276">
        <f>+D725</f>
        <v>0</v>
      </c>
      <c r="E724" s="322">
        <f>SUM('ADICIONES  2021'!C724:N724)</f>
        <v>9474523795.8700008</v>
      </c>
      <c r="F724" s="276">
        <f>+F725</f>
        <v>0</v>
      </c>
      <c r="G724" s="276">
        <f>+G725</f>
        <v>0</v>
      </c>
      <c r="H724" s="276">
        <f>+H725</f>
        <v>0</v>
      </c>
      <c r="I724" s="276">
        <f>+I725</f>
        <v>0</v>
      </c>
      <c r="J724" s="276">
        <f>+J725</f>
        <v>0</v>
      </c>
      <c r="K724" s="281">
        <f t="shared" si="834"/>
        <v>9474523795.8700008</v>
      </c>
      <c r="L724" s="276">
        <f t="shared" ref="L724:Q724" si="903">+L725</f>
        <v>0</v>
      </c>
      <c r="M724" s="276">
        <f t="shared" si="903"/>
        <v>0</v>
      </c>
      <c r="N724" s="276">
        <f t="shared" si="903"/>
        <v>0</v>
      </c>
      <c r="O724" s="276">
        <f t="shared" si="903"/>
        <v>0</v>
      </c>
      <c r="P724" s="276">
        <f t="shared" si="903"/>
        <v>0</v>
      </c>
      <c r="Q724" s="276">
        <f t="shared" si="903"/>
        <v>0</v>
      </c>
      <c r="R724" s="281">
        <f t="shared" si="874"/>
        <v>0</v>
      </c>
      <c r="S724" s="276">
        <f>+S725</f>
        <v>9474523795.8700008</v>
      </c>
      <c r="T724" s="276">
        <f t="shared" ref="T724:Z724" si="904">+T725</f>
        <v>0</v>
      </c>
      <c r="U724" s="276">
        <f t="shared" si="904"/>
        <v>0</v>
      </c>
      <c r="V724" s="276">
        <f t="shared" si="904"/>
        <v>0</v>
      </c>
      <c r="W724" s="276">
        <f t="shared" si="904"/>
        <v>0</v>
      </c>
      <c r="X724" s="276">
        <f t="shared" si="904"/>
        <v>0</v>
      </c>
      <c r="Y724" s="276">
        <f t="shared" si="904"/>
        <v>0</v>
      </c>
      <c r="Z724" s="276">
        <f t="shared" si="904"/>
        <v>0</v>
      </c>
      <c r="AA724" s="281">
        <f t="shared" si="876"/>
        <v>9474523795.8700008</v>
      </c>
      <c r="AB724" s="403">
        <f t="shared" si="839"/>
        <v>9474523795.8700008</v>
      </c>
      <c r="AC724" s="326">
        <f t="shared" si="880"/>
        <v>1</v>
      </c>
    </row>
    <row r="725" spans="1:29" ht="39" hidden="1" thickBot="1" x14ac:dyDescent="0.25">
      <c r="A725" s="424"/>
      <c r="B725" s="318" t="s">
        <v>1624</v>
      </c>
      <c r="C725" s="319" t="s">
        <v>1625</v>
      </c>
      <c r="D725" s="276">
        <f>SUM(D726:D728)</f>
        <v>0</v>
      </c>
      <c r="E725" s="322">
        <f>SUM('ADICIONES  2021'!C725:N725)</f>
        <v>9474523795.8700008</v>
      </c>
      <c r="F725" s="276">
        <f>SUM(F726:F728)</f>
        <v>0</v>
      </c>
      <c r="G725" s="276">
        <f>SUM(G726:G728)</f>
        <v>0</v>
      </c>
      <c r="H725" s="276">
        <f>SUM(H726:H728)</f>
        <v>0</v>
      </c>
      <c r="I725" s="276">
        <f>SUM(I726:I728)</f>
        <v>0</v>
      </c>
      <c r="J725" s="276">
        <f>SUM(J726:J728)</f>
        <v>0</v>
      </c>
      <c r="K725" s="281">
        <f t="shared" si="834"/>
        <v>9474523795.8700008</v>
      </c>
      <c r="L725" s="276">
        <f t="shared" ref="L725:Q725" si="905">SUM(L726:L728)</f>
        <v>0</v>
      </c>
      <c r="M725" s="276">
        <f t="shared" si="905"/>
        <v>0</v>
      </c>
      <c r="N725" s="276">
        <f t="shared" si="905"/>
        <v>0</v>
      </c>
      <c r="O725" s="276">
        <f t="shared" si="905"/>
        <v>0</v>
      </c>
      <c r="P725" s="276">
        <f t="shared" si="905"/>
        <v>0</v>
      </c>
      <c r="Q725" s="276">
        <f t="shared" si="905"/>
        <v>0</v>
      </c>
      <c r="R725" s="281">
        <f t="shared" si="874"/>
        <v>0</v>
      </c>
      <c r="S725" s="276">
        <f>SUM(S726:S728)</f>
        <v>9474523795.8700008</v>
      </c>
      <c r="T725" s="276">
        <f t="shared" ref="T725:Z725" si="906">SUM(T726:T728)</f>
        <v>0</v>
      </c>
      <c r="U725" s="276">
        <f t="shared" si="906"/>
        <v>0</v>
      </c>
      <c r="V725" s="276">
        <f t="shared" si="906"/>
        <v>0</v>
      </c>
      <c r="W725" s="276">
        <f t="shared" si="906"/>
        <v>0</v>
      </c>
      <c r="X725" s="276">
        <f t="shared" si="906"/>
        <v>0</v>
      </c>
      <c r="Y725" s="276">
        <f t="shared" si="906"/>
        <v>0</v>
      </c>
      <c r="Z725" s="276">
        <f t="shared" si="906"/>
        <v>0</v>
      </c>
      <c r="AA725" s="281">
        <f t="shared" si="876"/>
        <v>9474523795.8700008</v>
      </c>
      <c r="AB725" s="403">
        <f t="shared" si="839"/>
        <v>9474523795.8700008</v>
      </c>
      <c r="AC725" s="326">
        <f t="shared" si="880"/>
        <v>1</v>
      </c>
    </row>
    <row r="726" spans="1:29" hidden="1" thickBot="1" x14ac:dyDescent="0.25">
      <c r="A726" s="424"/>
      <c r="B726" s="323" t="s">
        <v>1626</v>
      </c>
      <c r="C726" s="206" t="s">
        <v>1627</v>
      </c>
      <c r="D726" s="281"/>
      <c r="E726" s="325">
        <f>SUM('ADICIONES  2021'!C726:N726)</f>
        <v>9462323795.8700008</v>
      </c>
      <c r="F726" s="281"/>
      <c r="G726" s="281"/>
      <c r="H726" s="281"/>
      <c r="I726" s="281"/>
      <c r="J726" s="281"/>
      <c r="K726" s="281">
        <f t="shared" si="834"/>
        <v>9462323795.8700008</v>
      </c>
      <c r="L726" s="281"/>
      <c r="M726" s="281"/>
      <c r="N726" s="281"/>
      <c r="O726" s="281"/>
      <c r="P726" s="281"/>
      <c r="Q726" s="281"/>
      <c r="R726" s="281">
        <f t="shared" si="874"/>
        <v>0</v>
      </c>
      <c r="S726" s="281">
        <v>9462323795.8700008</v>
      </c>
      <c r="T726" s="281"/>
      <c r="U726" s="281"/>
      <c r="V726" s="281"/>
      <c r="W726" s="281"/>
      <c r="X726" s="281"/>
      <c r="Y726" s="281"/>
      <c r="Z726" s="281"/>
      <c r="AA726" s="281">
        <f t="shared" si="876"/>
        <v>9462323795.8700008</v>
      </c>
      <c r="AB726" s="403">
        <f t="shared" si="839"/>
        <v>9462323795.8700008</v>
      </c>
      <c r="AC726" s="326">
        <f t="shared" si="880"/>
        <v>1</v>
      </c>
    </row>
    <row r="727" spans="1:29" hidden="1" thickBot="1" x14ac:dyDescent="0.25">
      <c r="A727" s="424"/>
      <c r="B727" s="323" t="s">
        <v>1628</v>
      </c>
      <c r="C727" s="206" t="s">
        <v>1629</v>
      </c>
      <c r="D727" s="281"/>
      <c r="E727" s="325">
        <f>SUM('ADICIONES  2021'!C727:N727)</f>
        <v>9500000</v>
      </c>
      <c r="F727" s="281"/>
      <c r="G727" s="281"/>
      <c r="H727" s="281"/>
      <c r="I727" s="281"/>
      <c r="J727" s="281"/>
      <c r="K727" s="281">
        <f t="shared" si="834"/>
        <v>9500000</v>
      </c>
      <c r="L727" s="281"/>
      <c r="M727" s="281"/>
      <c r="N727" s="281"/>
      <c r="O727" s="281"/>
      <c r="P727" s="281"/>
      <c r="Q727" s="281"/>
      <c r="R727" s="281">
        <f t="shared" si="874"/>
        <v>0</v>
      </c>
      <c r="S727" s="281">
        <v>9500000</v>
      </c>
      <c r="T727" s="281"/>
      <c r="U727" s="281"/>
      <c r="V727" s="281"/>
      <c r="W727" s="281"/>
      <c r="X727" s="281"/>
      <c r="Y727" s="281"/>
      <c r="Z727" s="281"/>
      <c r="AA727" s="281">
        <f t="shared" si="876"/>
        <v>9500000</v>
      </c>
      <c r="AB727" s="403">
        <f t="shared" si="839"/>
        <v>9500000</v>
      </c>
      <c r="AC727" s="326">
        <f t="shared" si="880"/>
        <v>1</v>
      </c>
    </row>
    <row r="728" spans="1:29" hidden="1" thickBot="1" x14ac:dyDescent="0.25">
      <c r="A728" s="424"/>
      <c r="B728" s="323" t="s">
        <v>1630</v>
      </c>
      <c r="C728" s="206" t="s">
        <v>1631</v>
      </c>
      <c r="D728" s="281"/>
      <c r="E728" s="325">
        <f>SUM('ADICIONES  2021'!C728:N728)</f>
        <v>2700000</v>
      </c>
      <c r="F728" s="281"/>
      <c r="G728" s="281"/>
      <c r="H728" s="281"/>
      <c r="I728" s="281"/>
      <c r="J728" s="281"/>
      <c r="K728" s="281">
        <f t="shared" si="834"/>
        <v>2700000</v>
      </c>
      <c r="L728" s="281"/>
      <c r="M728" s="281"/>
      <c r="N728" s="281"/>
      <c r="O728" s="281"/>
      <c r="P728" s="281"/>
      <c r="Q728" s="281"/>
      <c r="R728" s="281">
        <f t="shared" si="874"/>
        <v>0</v>
      </c>
      <c r="S728" s="281">
        <v>2700000</v>
      </c>
      <c r="T728" s="281"/>
      <c r="U728" s="281"/>
      <c r="V728" s="281"/>
      <c r="W728" s="281"/>
      <c r="X728" s="281"/>
      <c r="Y728" s="281"/>
      <c r="Z728" s="281"/>
      <c r="AA728" s="281">
        <f t="shared" si="876"/>
        <v>2700000</v>
      </c>
      <c r="AB728" s="403">
        <f t="shared" si="839"/>
        <v>2700000</v>
      </c>
      <c r="AC728" s="326">
        <f t="shared" si="880"/>
        <v>1</v>
      </c>
    </row>
    <row r="729" spans="1:29" ht="26.25" hidden="1" thickBot="1" x14ac:dyDescent="0.25">
      <c r="A729" s="424"/>
      <c r="B729" s="318" t="s">
        <v>1632</v>
      </c>
      <c r="C729" s="319" t="s">
        <v>1633</v>
      </c>
      <c r="D729" s="276">
        <f>+D730</f>
        <v>0</v>
      </c>
      <c r="E729" s="322">
        <f>SUM('ADICIONES  2021'!C729:N729)</f>
        <v>36050864285.730003</v>
      </c>
      <c r="F729" s="276">
        <f>+F730</f>
        <v>0</v>
      </c>
      <c r="G729" s="276">
        <f>+G730</f>
        <v>0</v>
      </c>
      <c r="H729" s="276">
        <f>+H730</f>
        <v>0</v>
      </c>
      <c r="I729" s="276">
        <f>+I730</f>
        <v>0</v>
      </c>
      <c r="J729" s="276">
        <f>+J730</f>
        <v>0</v>
      </c>
      <c r="K729" s="281">
        <f t="shared" si="834"/>
        <v>36050864285.730003</v>
      </c>
      <c r="L729" s="276">
        <f t="shared" ref="L729:Q729" si="907">+L730</f>
        <v>0</v>
      </c>
      <c r="M729" s="276">
        <f t="shared" si="907"/>
        <v>0</v>
      </c>
      <c r="N729" s="276">
        <f t="shared" si="907"/>
        <v>0</v>
      </c>
      <c r="O729" s="276">
        <f t="shared" si="907"/>
        <v>0</v>
      </c>
      <c r="P729" s="276">
        <f t="shared" si="907"/>
        <v>0</v>
      </c>
      <c r="Q729" s="276">
        <f t="shared" si="907"/>
        <v>0</v>
      </c>
      <c r="R729" s="281">
        <f t="shared" si="874"/>
        <v>0</v>
      </c>
      <c r="S729" s="276">
        <f t="shared" ref="S729:Z729" si="908">+S730</f>
        <v>0</v>
      </c>
      <c r="T729" s="276">
        <f t="shared" si="908"/>
        <v>0</v>
      </c>
      <c r="U729" s="276">
        <f t="shared" si="908"/>
        <v>0</v>
      </c>
      <c r="V729" s="276">
        <f t="shared" si="908"/>
        <v>0</v>
      </c>
      <c r="W729" s="276">
        <f t="shared" si="908"/>
        <v>0</v>
      </c>
      <c r="X729" s="276">
        <f t="shared" si="908"/>
        <v>0</v>
      </c>
      <c r="Y729" s="276">
        <f t="shared" si="908"/>
        <v>0</v>
      </c>
      <c r="Z729" s="276">
        <f t="shared" si="908"/>
        <v>0</v>
      </c>
      <c r="AA729" s="281">
        <f t="shared" si="876"/>
        <v>0</v>
      </c>
      <c r="AB729" s="403">
        <f t="shared" si="839"/>
        <v>0</v>
      </c>
      <c r="AC729" s="326">
        <f t="shared" si="880"/>
        <v>0</v>
      </c>
    </row>
    <row r="730" spans="1:29" hidden="1" thickBot="1" x14ac:dyDescent="0.25">
      <c r="A730" s="424"/>
      <c r="B730" s="323" t="s">
        <v>1634</v>
      </c>
      <c r="C730" s="206" t="s">
        <v>1635</v>
      </c>
      <c r="D730" s="281"/>
      <c r="E730" s="325">
        <f>SUM('ADICIONES  2021'!C730:N730)</f>
        <v>36050864285.730003</v>
      </c>
      <c r="F730" s="281"/>
      <c r="G730" s="281"/>
      <c r="H730" s="281"/>
      <c r="I730" s="281"/>
      <c r="J730" s="281"/>
      <c r="K730" s="281">
        <f t="shared" si="834"/>
        <v>36050864285.730003</v>
      </c>
      <c r="L730" s="281"/>
      <c r="M730" s="281"/>
      <c r="N730" s="281"/>
      <c r="O730" s="281"/>
      <c r="P730" s="281"/>
      <c r="Q730" s="281"/>
      <c r="R730" s="281">
        <f t="shared" si="874"/>
        <v>0</v>
      </c>
      <c r="S730" s="281"/>
      <c r="T730" s="281"/>
      <c r="U730" s="281"/>
      <c r="V730" s="281"/>
      <c r="W730" s="281"/>
      <c r="X730" s="281"/>
      <c r="Y730" s="281"/>
      <c r="Z730" s="281"/>
      <c r="AA730" s="281">
        <f t="shared" si="876"/>
        <v>0</v>
      </c>
      <c r="AB730" s="403">
        <f t="shared" si="839"/>
        <v>0</v>
      </c>
      <c r="AC730" s="326">
        <f t="shared" si="880"/>
        <v>0</v>
      </c>
    </row>
    <row r="731" spans="1:29" hidden="1" thickBot="1" x14ac:dyDescent="0.25">
      <c r="A731" s="424"/>
      <c r="B731" s="318" t="s">
        <v>1636</v>
      </c>
      <c r="C731" s="319" t="s">
        <v>1637</v>
      </c>
      <c r="D731" s="276">
        <f>+D732</f>
        <v>0</v>
      </c>
      <c r="E731" s="322">
        <f>SUM('ADICIONES  2021'!C731:N731)</f>
        <v>10500000</v>
      </c>
      <c r="F731" s="276">
        <f>+F732</f>
        <v>0</v>
      </c>
      <c r="G731" s="276">
        <f>+G732</f>
        <v>0</v>
      </c>
      <c r="H731" s="276">
        <f>+H732</f>
        <v>0</v>
      </c>
      <c r="I731" s="276">
        <f>+I732</f>
        <v>0</v>
      </c>
      <c r="J731" s="276">
        <f>+J732</f>
        <v>0</v>
      </c>
      <c r="K731" s="281">
        <f t="shared" si="834"/>
        <v>10500000</v>
      </c>
      <c r="L731" s="276">
        <f t="shared" ref="L731:Q731" si="909">+L732</f>
        <v>0</v>
      </c>
      <c r="M731" s="276">
        <f t="shared" si="909"/>
        <v>0</v>
      </c>
      <c r="N731" s="276">
        <f t="shared" si="909"/>
        <v>0</v>
      </c>
      <c r="O731" s="276">
        <f t="shared" si="909"/>
        <v>0</v>
      </c>
      <c r="P731" s="276">
        <f t="shared" si="909"/>
        <v>0</v>
      </c>
      <c r="Q731" s="276">
        <f t="shared" si="909"/>
        <v>0</v>
      </c>
      <c r="R731" s="281">
        <f t="shared" si="874"/>
        <v>0</v>
      </c>
      <c r="S731" s="276">
        <f t="shared" ref="S731:Z731" si="910">+S732</f>
        <v>10500000</v>
      </c>
      <c r="T731" s="276">
        <f t="shared" si="910"/>
        <v>0</v>
      </c>
      <c r="U731" s="276">
        <f t="shared" si="910"/>
        <v>0</v>
      </c>
      <c r="V731" s="276">
        <f t="shared" si="910"/>
        <v>0</v>
      </c>
      <c r="W731" s="276">
        <f t="shared" si="910"/>
        <v>0</v>
      </c>
      <c r="X731" s="276">
        <f t="shared" si="910"/>
        <v>0</v>
      </c>
      <c r="Y731" s="276">
        <f t="shared" si="910"/>
        <v>0</v>
      </c>
      <c r="Z731" s="276">
        <f t="shared" si="910"/>
        <v>0</v>
      </c>
      <c r="AA731" s="281">
        <f t="shared" si="876"/>
        <v>10500000</v>
      </c>
      <c r="AB731" s="403">
        <f t="shared" si="839"/>
        <v>10500000</v>
      </c>
      <c r="AC731" s="326">
        <f t="shared" si="880"/>
        <v>1</v>
      </c>
    </row>
    <row r="732" spans="1:29" hidden="1" thickBot="1" x14ac:dyDescent="0.25">
      <c r="A732" s="424"/>
      <c r="B732" s="323" t="s">
        <v>1638</v>
      </c>
      <c r="C732" s="206" t="s">
        <v>1639</v>
      </c>
      <c r="D732" s="281"/>
      <c r="E732" s="325">
        <f>SUM('ADICIONES  2021'!C732:N732)</f>
        <v>10500000</v>
      </c>
      <c r="F732" s="281"/>
      <c r="G732" s="281"/>
      <c r="H732" s="281"/>
      <c r="I732" s="281"/>
      <c r="J732" s="281"/>
      <c r="K732" s="281">
        <f t="shared" si="834"/>
        <v>10500000</v>
      </c>
      <c r="L732" s="281"/>
      <c r="M732" s="281"/>
      <c r="N732" s="281"/>
      <c r="O732" s="281"/>
      <c r="P732" s="281"/>
      <c r="Q732" s="281"/>
      <c r="R732" s="281">
        <f t="shared" si="874"/>
        <v>0</v>
      </c>
      <c r="S732" s="281">
        <v>10500000</v>
      </c>
      <c r="T732" s="281"/>
      <c r="U732" s="281"/>
      <c r="V732" s="281"/>
      <c r="W732" s="281"/>
      <c r="X732" s="281"/>
      <c r="Y732" s="281"/>
      <c r="Z732" s="281"/>
      <c r="AA732" s="281">
        <f t="shared" si="876"/>
        <v>10500000</v>
      </c>
      <c r="AB732" s="403">
        <f t="shared" si="839"/>
        <v>10500000</v>
      </c>
      <c r="AC732" s="326">
        <f t="shared" si="880"/>
        <v>1</v>
      </c>
    </row>
    <row r="733" spans="1:29" ht="26.25" hidden="1" thickBot="1" x14ac:dyDescent="0.25">
      <c r="A733" s="424"/>
      <c r="B733" s="318" t="s">
        <v>1640</v>
      </c>
      <c r="C733" s="319" t="s">
        <v>1641</v>
      </c>
      <c r="D733" s="276">
        <f>+D734</f>
        <v>0</v>
      </c>
      <c r="E733" s="322">
        <f>SUM('ADICIONES  2021'!C733:N733)</f>
        <v>7462000</v>
      </c>
      <c r="F733" s="276">
        <f>+F734</f>
        <v>0</v>
      </c>
      <c r="G733" s="276">
        <f>+G734</f>
        <v>0</v>
      </c>
      <c r="H733" s="276">
        <f>+H734</f>
        <v>0</v>
      </c>
      <c r="I733" s="276">
        <f>+I734</f>
        <v>0</v>
      </c>
      <c r="J733" s="276">
        <f>+J734</f>
        <v>0</v>
      </c>
      <c r="K733" s="281">
        <f t="shared" si="834"/>
        <v>7462000</v>
      </c>
      <c r="L733" s="276">
        <f t="shared" ref="L733:Q733" si="911">+L734</f>
        <v>0</v>
      </c>
      <c r="M733" s="276">
        <f t="shared" si="911"/>
        <v>0</v>
      </c>
      <c r="N733" s="276">
        <f t="shared" si="911"/>
        <v>0</v>
      </c>
      <c r="O733" s="276">
        <f t="shared" si="911"/>
        <v>0</v>
      </c>
      <c r="P733" s="276">
        <f t="shared" si="911"/>
        <v>0</v>
      </c>
      <c r="Q733" s="276">
        <f t="shared" si="911"/>
        <v>0</v>
      </c>
      <c r="R733" s="281">
        <f t="shared" si="874"/>
        <v>0</v>
      </c>
      <c r="S733" s="276">
        <f t="shared" ref="S733:Z733" si="912">+S734</f>
        <v>7462000</v>
      </c>
      <c r="T733" s="276">
        <f t="shared" si="912"/>
        <v>0</v>
      </c>
      <c r="U733" s="276">
        <f t="shared" si="912"/>
        <v>0</v>
      </c>
      <c r="V733" s="276">
        <f t="shared" si="912"/>
        <v>0</v>
      </c>
      <c r="W733" s="276">
        <f t="shared" si="912"/>
        <v>0</v>
      </c>
      <c r="X733" s="276">
        <f t="shared" si="912"/>
        <v>0</v>
      </c>
      <c r="Y733" s="276">
        <f t="shared" si="912"/>
        <v>0</v>
      </c>
      <c r="Z733" s="276">
        <f t="shared" si="912"/>
        <v>0</v>
      </c>
      <c r="AA733" s="281">
        <f t="shared" si="876"/>
        <v>7462000</v>
      </c>
      <c r="AB733" s="403">
        <f t="shared" si="839"/>
        <v>7462000</v>
      </c>
      <c r="AC733" s="326">
        <f t="shared" si="880"/>
        <v>1</v>
      </c>
    </row>
    <row r="734" spans="1:29" hidden="1" thickBot="1" x14ac:dyDescent="0.25">
      <c r="A734" s="424"/>
      <c r="B734" s="323" t="s">
        <v>1642</v>
      </c>
      <c r="C734" s="206" t="s">
        <v>1643</v>
      </c>
      <c r="D734" s="281"/>
      <c r="E734" s="325">
        <f>SUM('ADICIONES  2021'!C734:N734)</f>
        <v>7462000</v>
      </c>
      <c r="F734" s="281"/>
      <c r="G734" s="281"/>
      <c r="H734" s="281"/>
      <c r="I734" s="281"/>
      <c r="J734" s="281"/>
      <c r="K734" s="281">
        <f t="shared" si="834"/>
        <v>7462000</v>
      </c>
      <c r="L734" s="281"/>
      <c r="M734" s="281"/>
      <c r="N734" s="281"/>
      <c r="O734" s="281"/>
      <c r="P734" s="281"/>
      <c r="Q734" s="281"/>
      <c r="R734" s="281">
        <f t="shared" si="874"/>
        <v>0</v>
      </c>
      <c r="S734" s="281">
        <v>7462000</v>
      </c>
      <c r="T734" s="281"/>
      <c r="U734" s="281"/>
      <c r="V734" s="281"/>
      <c r="W734" s="281"/>
      <c r="X734" s="281"/>
      <c r="Y734" s="281"/>
      <c r="Z734" s="281"/>
      <c r="AA734" s="281">
        <f t="shared" si="876"/>
        <v>7462000</v>
      </c>
      <c r="AB734" s="403">
        <f t="shared" si="839"/>
        <v>7462000</v>
      </c>
      <c r="AC734" s="326">
        <f t="shared" si="880"/>
        <v>1</v>
      </c>
    </row>
    <row r="735" spans="1:29" ht="39" hidden="1" thickBot="1" x14ac:dyDescent="0.25">
      <c r="A735" s="424"/>
      <c r="B735" s="318" t="s">
        <v>1644</v>
      </c>
      <c r="C735" s="319" t="s">
        <v>1645</v>
      </c>
      <c r="D735" s="276">
        <f>+D736</f>
        <v>0</v>
      </c>
      <c r="E735" s="322">
        <f>SUM('ADICIONES  2021'!C735:N735)</f>
        <v>27103488.100000001</v>
      </c>
      <c r="F735" s="276">
        <f>+F736</f>
        <v>0</v>
      </c>
      <c r="G735" s="276">
        <f>+G736</f>
        <v>0</v>
      </c>
      <c r="H735" s="276">
        <f>+H736</f>
        <v>0</v>
      </c>
      <c r="I735" s="276">
        <f>+I736</f>
        <v>0</v>
      </c>
      <c r="J735" s="276">
        <f>+J736</f>
        <v>0</v>
      </c>
      <c r="K735" s="281">
        <f t="shared" si="834"/>
        <v>27103488.100000001</v>
      </c>
      <c r="L735" s="276">
        <f t="shared" ref="L735:Q735" si="913">+L736</f>
        <v>0</v>
      </c>
      <c r="M735" s="276">
        <f t="shared" si="913"/>
        <v>0</v>
      </c>
      <c r="N735" s="276">
        <f t="shared" si="913"/>
        <v>0</v>
      </c>
      <c r="O735" s="276">
        <f t="shared" si="913"/>
        <v>0</v>
      </c>
      <c r="P735" s="276">
        <f t="shared" si="913"/>
        <v>0</v>
      </c>
      <c r="Q735" s="276">
        <f t="shared" si="913"/>
        <v>0</v>
      </c>
      <c r="R735" s="281">
        <f t="shared" si="874"/>
        <v>0</v>
      </c>
      <c r="S735" s="276">
        <f t="shared" ref="S735:Z735" si="914">+S736</f>
        <v>27103488.100000001</v>
      </c>
      <c r="T735" s="276">
        <f t="shared" si="914"/>
        <v>0</v>
      </c>
      <c r="U735" s="276">
        <f t="shared" si="914"/>
        <v>0</v>
      </c>
      <c r="V735" s="276">
        <f t="shared" si="914"/>
        <v>0</v>
      </c>
      <c r="W735" s="276">
        <f t="shared" si="914"/>
        <v>0</v>
      </c>
      <c r="X735" s="276">
        <f t="shared" si="914"/>
        <v>0</v>
      </c>
      <c r="Y735" s="276">
        <f t="shared" si="914"/>
        <v>0</v>
      </c>
      <c r="Z735" s="276">
        <f t="shared" si="914"/>
        <v>0</v>
      </c>
      <c r="AA735" s="281">
        <f t="shared" si="876"/>
        <v>27103488.100000001</v>
      </c>
      <c r="AB735" s="403">
        <f t="shared" si="839"/>
        <v>27103488.100000001</v>
      </c>
      <c r="AC735" s="326">
        <f t="shared" si="880"/>
        <v>1</v>
      </c>
    </row>
    <row r="736" spans="1:29" ht="39" hidden="1" thickBot="1" x14ac:dyDescent="0.25">
      <c r="A736" s="424"/>
      <c r="B736" s="323" t="s">
        <v>1646</v>
      </c>
      <c r="C736" s="206" t="s">
        <v>1645</v>
      </c>
      <c r="D736" s="281"/>
      <c r="E736" s="325">
        <f>SUM('ADICIONES  2021'!C736:N736)</f>
        <v>27103488.100000001</v>
      </c>
      <c r="F736" s="281"/>
      <c r="G736" s="281"/>
      <c r="H736" s="281"/>
      <c r="I736" s="281"/>
      <c r="J736" s="281"/>
      <c r="K736" s="281">
        <f t="shared" si="834"/>
        <v>27103488.100000001</v>
      </c>
      <c r="L736" s="281"/>
      <c r="M736" s="281"/>
      <c r="N736" s="281"/>
      <c r="O736" s="281"/>
      <c r="P736" s="281"/>
      <c r="Q736" s="281"/>
      <c r="R736" s="281">
        <f t="shared" si="874"/>
        <v>0</v>
      </c>
      <c r="S736" s="281">
        <v>27103488.100000001</v>
      </c>
      <c r="T736" s="281"/>
      <c r="U736" s="281"/>
      <c r="V736" s="281"/>
      <c r="W736" s="281"/>
      <c r="X736" s="281"/>
      <c r="Y736" s="281"/>
      <c r="Z736" s="281"/>
      <c r="AA736" s="281">
        <f t="shared" si="876"/>
        <v>27103488.100000001</v>
      </c>
      <c r="AB736" s="403">
        <f t="shared" si="839"/>
        <v>27103488.100000001</v>
      </c>
      <c r="AC736" s="326">
        <f t="shared" si="880"/>
        <v>1</v>
      </c>
    </row>
    <row r="737" spans="1:29" hidden="1" thickBot="1" x14ac:dyDescent="0.25">
      <c r="A737" s="424"/>
      <c r="B737" s="318" t="s">
        <v>1647</v>
      </c>
      <c r="C737" s="319" t="s">
        <v>1648</v>
      </c>
      <c r="D737" s="276">
        <f>+D738</f>
        <v>0</v>
      </c>
      <c r="E737" s="322">
        <f>SUM('ADICIONES  2021'!C737:N737)</f>
        <v>259662713</v>
      </c>
      <c r="F737" s="276">
        <f>+F738</f>
        <v>0</v>
      </c>
      <c r="G737" s="276">
        <f>+G738</f>
        <v>0</v>
      </c>
      <c r="H737" s="276">
        <f>+H738</f>
        <v>0</v>
      </c>
      <c r="I737" s="276">
        <f>+I738</f>
        <v>0</v>
      </c>
      <c r="J737" s="276">
        <f>+J738</f>
        <v>0</v>
      </c>
      <c r="K737" s="281">
        <f t="shared" si="834"/>
        <v>259662713</v>
      </c>
      <c r="L737" s="276">
        <f t="shared" ref="L737:Q737" si="915">+L738</f>
        <v>0</v>
      </c>
      <c r="M737" s="276">
        <f t="shared" si="915"/>
        <v>0</v>
      </c>
      <c r="N737" s="276">
        <f t="shared" si="915"/>
        <v>0</v>
      </c>
      <c r="O737" s="276">
        <f t="shared" si="915"/>
        <v>0</v>
      </c>
      <c r="P737" s="276">
        <f t="shared" si="915"/>
        <v>0</v>
      </c>
      <c r="Q737" s="276">
        <f t="shared" si="915"/>
        <v>0</v>
      </c>
      <c r="R737" s="281">
        <f t="shared" si="874"/>
        <v>0</v>
      </c>
      <c r="S737" s="276">
        <f t="shared" ref="S737:Z737" si="916">+S738</f>
        <v>259662713</v>
      </c>
      <c r="T737" s="276">
        <f t="shared" si="916"/>
        <v>0</v>
      </c>
      <c r="U737" s="276">
        <f t="shared" si="916"/>
        <v>0</v>
      </c>
      <c r="V737" s="276">
        <f t="shared" si="916"/>
        <v>0</v>
      </c>
      <c r="W737" s="276">
        <f t="shared" si="916"/>
        <v>0</v>
      </c>
      <c r="X737" s="276">
        <f t="shared" si="916"/>
        <v>0</v>
      </c>
      <c r="Y737" s="276">
        <f t="shared" si="916"/>
        <v>0</v>
      </c>
      <c r="Z737" s="276">
        <f t="shared" si="916"/>
        <v>0</v>
      </c>
      <c r="AA737" s="281">
        <f t="shared" si="876"/>
        <v>259662713</v>
      </c>
      <c r="AB737" s="403">
        <f t="shared" si="839"/>
        <v>259662713</v>
      </c>
      <c r="AC737" s="326">
        <f t="shared" si="880"/>
        <v>1</v>
      </c>
    </row>
    <row r="738" spans="1:29" hidden="1" thickBot="1" x14ac:dyDescent="0.25">
      <c r="A738" s="424"/>
      <c r="B738" s="323" t="s">
        <v>1649</v>
      </c>
      <c r="C738" s="206" t="s">
        <v>1476</v>
      </c>
      <c r="D738" s="281"/>
      <c r="E738" s="325">
        <f>SUM('ADICIONES  2021'!C738:N738)</f>
        <v>259662713</v>
      </c>
      <c r="F738" s="281"/>
      <c r="G738" s="281"/>
      <c r="H738" s="281"/>
      <c r="I738" s="281"/>
      <c r="J738" s="281"/>
      <c r="K738" s="281">
        <f t="shared" si="834"/>
        <v>259662713</v>
      </c>
      <c r="L738" s="281"/>
      <c r="M738" s="281"/>
      <c r="N738" s="281"/>
      <c r="O738" s="281"/>
      <c r="P738" s="281"/>
      <c r="Q738" s="281"/>
      <c r="R738" s="281">
        <f t="shared" si="874"/>
        <v>0</v>
      </c>
      <c r="S738" s="281">
        <v>259662713</v>
      </c>
      <c r="T738" s="281"/>
      <c r="U738" s="281"/>
      <c r="V738" s="281"/>
      <c r="W738" s="281"/>
      <c r="X738" s="281"/>
      <c r="Y738" s="281"/>
      <c r="Z738" s="281"/>
      <c r="AA738" s="281">
        <f t="shared" si="876"/>
        <v>259662713</v>
      </c>
      <c r="AB738" s="403">
        <f t="shared" si="839"/>
        <v>259662713</v>
      </c>
      <c r="AC738" s="326">
        <f t="shared" si="880"/>
        <v>1</v>
      </c>
    </row>
    <row r="739" spans="1:29" ht="26.25" hidden="1" thickBot="1" x14ac:dyDescent="0.25">
      <c r="A739" s="424"/>
      <c r="B739" s="318" t="s">
        <v>1650</v>
      </c>
      <c r="C739" s="319" t="s">
        <v>1651</v>
      </c>
      <c r="D739" s="276">
        <f>+D740</f>
        <v>0</v>
      </c>
      <c r="E739" s="322">
        <f>SUM('ADICIONES  2021'!C739:N739)</f>
        <v>98246400</v>
      </c>
      <c r="F739" s="276">
        <f>+F740</f>
        <v>0</v>
      </c>
      <c r="G739" s="276">
        <f>+G740</f>
        <v>0</v>
      </c>
      <c r="H739" s="276">
        <f>+H740</f>
        <v>0</v>
      </c>
      <c r="I739" s="276">
        <f>+I740</f>
        <v>0</v>
      </c>
      <c r="J739" s="276">
        <f>+J740</f>
        <v>0</v>
      </c>
      <c r="K739" s="281">
        <f t="shared" si="834"/>
        <v>98246400</v>
      </c>
      <c r="L739" s="276">
        <f t="shared" ref="L739:Q739" si="917">+L740</f>
        <v>0</v>
      </c>
      <c r="M739" s="276">
        <f t="shared" si="917"/>
        <v>0</v>
      </c>
      <c r="N739" s="276">
        <f t="shared" si="917"/>
        <v>0</v>
      </c>
      <c r="O739" s="276">
        <f t="shared" si="917"/>
        <v>0</v>
      </c>
      <c r="P739" s="276">
        <f t="shared" si="917"/>
        <v>0</v>
      </c>
      <c r="Q739" s="276">
        <f t="shared" si="917"/>
        <v>0</v>
      </c>
      <c r="R739" s="281">
        <f t="shared" si="874"/>
        <v>0</v>
      </c>
      <c r="S739" s="276">
        <f t="shared" ref="S739:Z739" si="918">+S740</f>
        <v>98246400</v>
      </c>
      <c r="T739" s="276">
        <f t="shared" si="918"/>
        <v>0</v>
      </c>
      <c r="U739" s="276">
        <f t="shared" si="918"/>
        <v>0</v>
      </c>
      <c r="V739" s="276">
        <f t="shared" si="918"/>
        <v>0</v>
      </c>
      <c r="W739" s="276">
        <f t="shared" si="918"/>
        <v>0</v>
      </c>
      <c r="X739" s="276">
        <f t="shared" si="918"/>
        <v>0</v>
      </c>
      <c r="Y739" s="276">
        <f t="shared" si="918"/>
        <v>0</v>
      </c>
      <c r="Z739" s="276">
        <f t="shared" si="918"/>
        <v>0</v>
      </c>
      <c r="AA739" s="281">
        <f t="shared" si="876"/>
        <v>98246400</v>
      </c>
      <c r="AB739" s="403">
        <f t="shared" si="839"/>
        <v>98246400</v>
      </c>
      <c r="AC739" s="326">
        <f t="shared" si="880"/>
        <v>1</v>
      </c>
    </row>
    <row r="740" spans="1:29" ht="26.25" hidden="1" thickBot="1" x14ac:dyDescent="0.25">
      <c r="A740" s="424"/>
      <c r="B740" s="323" t="s">
        <v>1652</v>
      </c>
      <c r="C740" s="206" t="s">
        <v>1653</v>
      </c>
      <c r="D740" s="281"/>
      <c r="E740" s="325">
        <f>SUM('ADICIONES  2021'!C740:N740)</f>
        <v>98246400</v>
      </c>
      <c r="F740" s="281"/>
      <c r="G740" s="281"/>
      <c r="H740" s="281"/>
      <c r="I740" s="281"/>
      <c r="J740" s="281"/>
      <c r="K740" s="281">
        <f t="shared" si="834"/>
        <v>98246400</v>
      </c>
      <c r="L740" s="281"/>
      <c r="M740" s="281"/>
      <c r="N740" s="281"/>
      <c r="O740" s="281"/>
      <c r="P740" s="281"/>
      <c r="Q740" s="281"/>
      <c r="R740" s="281">
        <f t="shared" si="874"/>
        <v>0</v>
      </c>
      <c r="S740" s="281">
        <v>98246400</v>
      </c>
      <c r="T740" s="281"/>
      <c r="U740" s="281"/>
      <c r="V740" s="281"/>
      <c r="W740" s="281"/>
      <c r="X740" s="281"/>
      <c r="Y740" s="281"/>
      <c r="Z740" s="281"/>
      <c r="AA740" s="281">
        <f t="shared" si="876"/>
        <v>98246400</v>
      </c>
      <c r="AB740" s="403">
        <f t="shared" si="839"/>
        <v>98246400</v>
      </c>
      <c r="AC740" s="326">
        <f t="shared" si="880"/>
        <v>1</v>
      </c>
    </row>
    <row r="741" spans="1:29" ht="26.25" hidden="1" thickBot="1" x14ac:dyDescent="0.25">
      <c r="A741" s="424"/>
      <c r="B741" s="318" t="s">
        <v>1654</v>
      </c>
      <c r="C741" s="319" t="s">
        <v>1655</v>
      </c>
      <c r="D741" s="276">
        <f>+D742</f>
        <v>0</v>
      </c>
      <c r="E741" s="322">
        <f>SUM('ADICIONES  2021'!C741:N741)</f>
        <v>506016671</v>
      </c>
      <c r="F741" s="276">
        <f>+F742</f>
        <v>0</v>
      </c>
      <c r="G741" s="276">
        <f>+G742</f>
        <v>0</v>
      </c>
      <c r="H741" s="276">
        <f>+H742</f>
        <v>0</v>
      </c>
      <c r="I741" s="276">
        <f>+I742</f>
        <v>0</v>
      </c>
      <c r="J741" s="276">
        <f>+J742</f>
        <v>0</v>
      </c>
      <c r="K741" s="281">
        <f t="shared" si="834"/>
        <v>506016671</v>
      </c>
      <c r="L741" s="276">
        <f t="shared" ref="L741:Q741" si="919">+L742</f>
        <v>0</v>
      </c>
      <c r="M741" s="276">
        <f t="shared" si="919"/>
        <v>0</v>
      </c>
      <c r="N741" s="276">
        <f t="shared" si="919"/>
        <v>0</v>
      </c>
      <c r="O741" s="276">
        <f t="shared" si="919"/>
        <v>0</v>
      </c>
      <c r="P741" s="276">
        <f t="shared" si="919"/>
        <v>0</v>
      </c>
      <c r="Q741" s="276">
        <f t="shared" si="919"/>
        <v>0</v>
      </c>
      <c r="R741" s="281">
        <f t="shared" si="874"/>
        <v>0</v>
      </c>
      <c r="S741" s="276">
        <f t="shared" ref="S741:Z741" si="920">+S742</f>
        <v>506016671</v>
      </c>
      <c r="T741" s="276">
        <f t="shared" si="920"/>
        <v>0</v>
      </c>
      <c r="U741" s="276">
        <f t="shared" si="920"/>
        <v>0</v>
      </c>
      <c r="V741" s="276">
        <f t="shared" si="920"/>
        <v>0</v>
      </c>
      <c r="W741" s="276">
        <f t="shared" si="920"/>
        <v>0</v>
      </c>
      <c r="X741" s="276">
        <f t="shared" si="920"/>
        <v>0</v>
      </c>
      <c r="Y741" s="276">
        <f t="shared" si="920"/>
        <v>0</v>
      </c>
      <c r="Z741" s="276">
        <f t="shared" si="920"/>
        <v>0</v>
      </c>
      <c r="AA741" s="281">
        <f t="shared" si="876"/>
        <v>506016671</v>
      </c>
      <c r="AB741" s="403">
        <f t="shared" si="839"/>
        <v>506016671</v>
      </c>
      <c r="AC741" s="326">
        <f t="shared" si="880"/>
        <v>1</v>
      </c>
    </row>
    <row r="742" spans="1:29" hidden="1" thickBot="1" x14ac:dyDescent="0.25">
      <c r="A742" s="424"/>
      <c r="B742" s="323" t="s">
        <v>1656</v>
      </c>
      <c r="C742" s="206" t="s">
        <v>1657</v>
      </c>
      <c r="D742" s="281"/>
      <c r="E742" s="325">
        <f>SUM('ADICIONES  2021'!C742:N742)</f>
        <v>506016671</v>
      </c>
      <c r="F742" s="281"/>
      <c r="G742" s="281"/>
      <c r="H742" s="281"/>
      <c r="I742" s="281"/>
      <c r="J742" s="281"/>
      <c r="K742" s="281">
        <f t="shared" si="834"/>
        <v>506016671</v>
      </c>
      <c r="L742" s="281"/>
      <c r="M742" s="281"/>
      <c r="N742" s="281"/>
      <c r="O742" s="281"/>
      <c r="P742" s="281"/>
      <c r="Q742" s="281"/>
      <c r="R742" s="281">
        <f t="shared" si="874"/>
        <v>0</v>
      </c>
      <c r="S742" s="281">
        <v>506016671</v>
      </c>
      <c r="T742" s="281"/>
      <c r="U742" s="281"/>
      <c r="V742" s="281"/>
      <c r="W742" s="281"/>
      <c r="X742" s="281"/>
      <c r="Y742" s="281"/>
      <c r="Z742" s="281"/>
      <c r="AA742" s="281">
        <f t="shared" si="876"/>
        <v>506016671</v>
      </c>
      <c r="AB742" s="403">
        <f t="shared" si="839"/>
        <v>506016671</v>
      </c>
      <c r="AC742" s="326">
        <f t="shared" si="880"/>
        <v>1</v>
      </c>
    </row>
    <row r="743" spans="1:29" ht="26.25" hidden="1" thickBot="1" x14ac:dyDescent="0.25">
      <c r="A743" s="424"/>
      <c r="B743" s="318" t="s">
        <v>1658</v>
      </c>
      <c r="C743" s="319" t="s">
        <v>1659</v>
      </c>
      <c r="D743" s="276">
        <f>+D744</f>
        <v>0</v>
      </c>
      <c r="E743" s="322">
        <f>SUM('ADICIONES  2021'!C743:N743)</f>
        <v>1984436974.3900001</v>
      </c>
      <c r="F743" s="276">
        <f>+F744</f>
        <v>0</v>
      </c>
      <c r="G743" s="276">
        <f>+G744</f>
        <v>0</v>
      </c>
      <c r="H743" s="276">
        <f>+H744</f>
        <v>0</v>
      </c>
      <c r="I743" s="276">
        <f>+I744</f>
        <v>0</v>
      </c>
      <c r="J743" s="276">
        <f>+J744</f>
        <v>0</v>
      </c>
      <c r="K743" s="281">
        <f t="shared" si="834"/>
        <v>1984436974.3900001</v>
      </c>
      <c r="L743" s="276">
        <f t="shared" ref="L743:Q743" si="921">+L744</f>
        <v>0</v>
      </c>
      <c r="M743" s="276">
        <f t="shared" si="921"/>
        <v>0</v>
      </c>
      <c r="N743" s="276">
        <f t="shared" si="921"/>
        <v>0</v>
      </c>
      <c r="O743" s="276">
        <f t="shared" si="921"/>
        <v>0</v>
      </c>
      <c r="P743" s="276">
        <f t="shared" si="921"/>
        <v>0</v>
      </c>
      <c r="Q743" s="276">
        <f t="shared" si="921"/>
        <v>0</v>
      </c>
      <c r="R743" s="281">
        <f t="shared" si="874"/>
        <v>0</v>
      </c>
      <c r="S743" s="276">
        <f t="shared" ref="S743:Z743" si="922">+S744</f>
        <v>1984436974.3900001</v>
      </c>
      <c r="T743" s="276">
        <f t="shared" si="922"/>
        <v>0</v>
      </c>
      <c r="U743" s="276">
        <f t="shared" si="922"/>
        <v>0</v>
      </c>
      <c r="V743" s="276">
        <f t="shared" si="922"/>
        <v>0</v>
      </c>
      <c r="W743" s="276">
        <f t="shared" si="922"/>
        <v>0</v>
      </c>
      <c r="X743" s="276">
        <f t="shared" si="922"/>
        <v>0</v>
      </c>
      <c r="Y743" s="276">
        <f t="shared" si="922"/>
        <v>0</v>
      </c>
      <c r="Z743" s="276">
        <f t="shared" si="922"/>
        <v>0</v>
      </c>
      <c r="AA743" s="281">
        <f t="shared" si="876"/>
        <v>1984436974.3900001</v>
      </c>
      <c r="AB743" s="403">
        <f t="shared" si="839"/>
        <v>1984436974.3900001</v>
      </c>
      <c r="AC743" s="326">
        <f t="shared" si="880"/>
        <v>1</v>
      </c>
    </row>
    <row r="744" spans="1:29" ht="26.25" hidden="1" thickBot="1" x14ac:dyDescent="0.25">
      <c r="A744" s="424"/>
      <c r="B744" s="323" t="s">
        <v>1660</v>
      </c>
      <c r="C744" s="206" t="s">
        <v>1661</v>
      </c>
      <c r="D744" s="281"/>
      <c r="E744" s="325">
        <f>SUM('ADICIONES  2021'!C744:N744)</f>
        <v>1984436974.3900001</v>
      </c>
      <c r="F744" s="281"/>
      <c r="G744" s="281"/>
      <c r="H744" s="281"/>
      <c r="I744" s="281"/>
      <c r="J744" s="281"/>
      <c r="K744" s="281">
        <f t="shared" si="834"/>
        <v>1984436974.3900001</v>
      </c>
      <c r="L744" s="281"/>
      <c r="M744" s="281"/>
      <c r="N744" s="281"/>
      <c r="O744" s="281"/>
      <c r="P744" s="281"/>
      <c r="Q744" s="281"/>
      <c r="R744" s="281">
        <f t="shared" si="874"/>
        <v>0</v>
      </c>
      <c r="S744" s="281">
        <v>1984436974.3900001</v>
      </c>
      <c r="T744" s="281"/>
      <c r="U744" s="281"/>
      <c r="V744" s="281"/>
      <c r="W744" s="281"/>
      <c r="X744" s="281"/>
      <c r="Y744" s="281"/>
      <c r="Z744" s="281"/>
      <c r="AA744" s="281">
        <f t="shared" si="876"/>
        <v>1984436974.3900001</v>
      </c>
      <c r="AB744" s="403">
        <f t="shared" si="839"/>
        <v>1984436974.3900001</v>
      </c>
      <c r="AC744" s="326">
        <f t="shared" si="880"/>
        <v>1</v>
      </c>
    </row>
    <row r="745" spans="1:29" hidden="1" thickBot="1" x14ac:dyDescent="0.25">
      <c r="A745" s="424"/>
      <c r="B745" s="318" t="s">
        <v>1662</v>
      </c>
      <c r="C745" s="319" t="s">
        <v>1663</v>
      </c>
      <c r="D745" s="276">
        <f>+D746+D749+D751</f>
        <v>0</v>
      </c>
      <c r="E745" s="322">
        <f>SUM('ADICIONES  2021'!C745:N745)</f>
        <v>9114153339.3700008</v>
      </c>
      <c r="F745" s="276">
        <f>+F746+F749+F751</f>
        <v>0</v>
      </c>
      <c r="G745" s="276">
        <f>+G746+G749+G751</f>
        <v>0</v>
      </c>
      <c r="H745" s="276">
        <f>+H746+H749+H751</f>
        <v>0</v>
      </c>
      <c r="I745" s="276">
        <f>+I746+I749+I751</f>
        <v>0</v>
      </c>
      <c r="J745" s="276">
        <f>+J746+J749+J751</f>
        <v>0</v>
      </c>
      <c r="K745" s="281">
        <f t="shared" si="834"/>
        <v>9114153339.3700008</v>
      </c>
      <c r="L745" s="276">
        <f t="shared" ref="L745:Q745" si="923">+L746+L749+L751</f>
        <v>0</v>
      </c>
      <c r="M745" s="276">
        <f t="shared" si="923"/>
        <v>0</v>
      </c>
      <c r="N745" s="276">
        <f t="shared" si="923"/>
        <v>0</v>
      </c>
      <c r="O745" s="276">
        <f t="shared" si="923"/>
        <v>0</v>
      </c>
      <c r="P745" s="276">
        <f t="shared" si="923"/>
        <v>0</v>
      </c>
      <c r="Q745" s="276">
        <f t="shared" si="923"/>
        <v>0</v>
      </c>
      <c r="R745" s="281">
        <f t="shared" si="874"/>
        <v>0</v>
      </c>
      <c r="S745" s="276">
        <f t="shared" ref="S745:Z745" si="924">+S746+S749+S751</f>
        <v>9114153339.3700008</v>
      </c>
      <c r="T745" s="276">
        <f t="shared" si="924"/>
        <v>0</v>
      </c>
      <c r="U745" s="276">
        <f t="shared" si="924"/>
        <v>0</v>
      </c>
      <c r="V745" s="276">
        <f t="shared" si="924"/>
        <v>0</v>
      </c>
      <c r="W745" s="276">
        <f t="shared" si="924"/>
        <v>0</v>
      </c>
      <c r="X745" s="276">
        <f t="shared" si="924"/>
        <v>0</v>
      </c>
      <c r="Y745" s="276">
        <f t="shared" si="924"/>
        <v>0</v>
      </c>
      <c r="Z745" s="276">
        <f t="shared" si="924"/>
        <v>0</v>
      </c>
      <c r="AA745" s="281">
        <f t="shared" si="876"/>
        <v>9114153339.3700008</v>
      </c>
      <c r="AB745" s="403">
        <f t="shared" si="839"/>
        <v>9114153339.3700008</v>
      </c>
      <c r="AC745" s="326">
        <f t="shared" si="880"/>
        <v>1</v>
      </c>
    </row>
    <row r="746" spans="1:29" hidden="1" thickBot="1" x14ac:dyDescent="0.25">
      <c r="A746" s="424"/>
      <c r="B746" s="318" t="s">
        <v>1664</v>
      </c>
      <c r="C746" s="319" t="s">
        <v>1665</v>
      </c>
      <c r="D746" s="276">
        <f>SUM(D747:D748)</f>
        <v>0</v>
      </c>
      <c r="E746" s="322">
        <f>SUM('ADICIONES  2021'!C746:N746)</f>
        <v>3130592786.1300001</v>
      </c>
      <c r="F746" s="276">
        <f>SUM(F747:F748)</f>
        <v>0</v>
      </c>
      <c r="G746" s="276">
        <f>SUM(G747:G748)</f>
        <v>0</v>
      </c>
      <c r="H746" s="276">
        <f>SUM(H747:H748)</f>
        <v>0</v>
      </c>
      <c r="I746" s="276">
        <f>SUM(I747:I748)</f>
        <v>0</v>
      </c>
      <c r="J746" s="276">
        <f>SUM(J747:J748)</f>
        <v>0</v>
      </c>
      <c r="K746" s="281">
        <f t="shared" si="834"/>
        <v>3130592786.1300001</v>
      </c>
      <c r="L746" s="276">
        <f t="shared" ref="L746:Q746" si="925">SUM(L747:L748)</f>
        <v>0</v>
      </c>
      <c r="M746" s="276">
        <f t="shared" si="925"/>
        <v>0</v>
      </c>
      <c r="N746" s="276">
        <f t="shared" si="925"/>
        <v>0</v>
      </c>
      <c r="O746" s="276">
        <f t="shared" si="925"/>
        <v>0</v>
      </c>
      <c r="P746" s="276">
        <f t="shared" si="925"/>
        <v>0</v>
      </c>
      <c r="Q746" s="276">
        <f t="shared" si="925"/>
        <v>0</v>
      </c>
      <c r="R746" s="281">
        <f t="shared" si="874"/>
        <v>0</v>
      </c>
      <c r="S746" s="276">
        <f t="shared" ref="S746:Z746" si="926">SUM(S747:S748)</f>
        <v>3130592786.1300001</v>
      </c>
      <c r="T746" s="276">
        <f t="shared" si="926"/>
        <v>0</v>
      </c>
      <c r="U746" s="276">
        <f t="shared" si="926"/>
        <v>0</v>
      </c>
      <c r="V746" s="276">
        <f t="shared" si="926"/>
        <v>0</v>
      </c>
      <c r="W746" s="276">
        <f t="shared" si="926"/>
        <v>0</v>
      </c>
      <c r="X746" s="276">
        <f t="shared" si="926"/>
        <v>0</v>
      </c>
      <c r="Y746" s="276">
        <f t="shared" si="926"/>
        <v>0</v>
      </c>
      <c r="Z746" s="276">
        <f t="shared" si="926"/>
        <v>0</v>
      </c>
      <c r="AA746" s="281">
        <f t="shared" si="876"/>
        <v>3130592786.1300001</v>
      </c>
      <c r="AB746" s="403">
        <f t="shared" si="839"/>
        <v>3130592786.1300001</v>
      </c>
      <c r="AC746" s="326">
        <f t="shared" si="880"/>
        <v>1</v>
      </c>
    </row>
    <row r="747" spans="1:29" hidden="1" thickBot="1" x14ac:dyDescent="0.25">
      <c r="A747" s="424"/>
      <c r="B747" s="323" t="s">
        <v>1666</v>
      </c>
      <c r="C747" s="206" t="s">
        <v>1667</v>
      </c>
      <c r="D747" s="281"/>
      <c r="E747" s="325">
        <f>SUM('ADICIONES  2021'!C747:N747)</f>
        <v>2075464682.5699999</v>
      </c>
      <c r="F747" s="281"/>
      <c r="G747" s="281"/>
      <c r="H747" s="281"/>
      <c r="I747" s="281"/>
      <c r="J747" s="281"/>
      <c r="K747" s="281">
        <f t="shared" si="834"/>
        <v>2075464682.5699999</v>
      </c>
      <c r="L747" s="281"/>
      <c r="M747" s="281"/>
      <c r="N747" s="281"/>
      <c r="O747" s="281"/>
      <c r="P747" s="281"/>
      <c r="Q747" s="281"/>
      <c r="R747" s="281">
        <f t="shared" si="874"/>
        <v>0</v>
      </c>
      <c r="S747" s="281">
        <v>2075464682.5699999</v>
      </c>
      <c r="T747" s="281"/>
      <c r="U747" s="281"/>
      <c r="V747" s="281"/>
      <c r="W747" s="281"/>
      <c r="X747" s="281"/>
      <c r="Y747" s="281"/>
      <c r="Z747" s="281"/>
      <c r="AA747" s="281">
        <f t="shared" si="876"/>
        <v>2075464682.5699999</v>
      </c>
      <c r="AB747" s="403">
        <f t="shared" si="839"/>
        <v>2075464682.5699999</v>
      </c>
      <c r="AC747" s="326">
        <f t="shared" si="880"/>
        <v>1</v>
      </c>
    </row>
    <row r="748" spans="1:29" ht="26.25" hidden="1" thickBot="1" x14ac:dyDescent="0.25">
      <c r="A748" s="424"/>
      <c r="B748" s="323" t="s">
        <v>1668</v>
      </c>
      <c r="C748" s="206" t="s">
        <v>1669</v>
      </c>
      <c r="D748" s="281"/>
      <c r="E748" s="325">
        <f>SUM('ADICIONES  2021'!C748:N748)</f>
        <v>1055128103.5599999</v>
      </c>
      <c r="F748" s="281"/>
      <c r="G748" s="281"/>
      <c r="H748" s="281"/>
      <c r="I748" s="281"/>
      <c r="J748" s="281"/>
      <c r="K748" s="281">
        <f t="shared" si="834"/>
        <v>1055128103.5599999</v>
      </c>
      <c r="L748" s="281"/>
      <c r="M748" s="281"/>
      <c r="N748" s="281"/>
      <c r="O748" s="281"/>
      <c r="P748" s="281"/>
      <c r="Q748" s="281"/>
      <c r="R748" s="281">
        <f t="shared" si="874"/>
        <v>0</v>
      </c>
      <c r="S748" s="281">
        <v>1055128103.5599999</v>
      </c>
      <c r="T748" s="281"/>
      <c r="U748" s="281"/>
      <c r="V748" s="281"/>
      <c r="W748" s="281"/>
      <c r="X748" s="281"/>
      <c r="Y748" s="281"/>
      <c r="Z748" s="281"/>
      <c r="AA748" s="281">
        <f t="shared" si="876"/>
        <v>1055128103.5599999</v>
      </c>
      <c r="AB748" s="403">
        <f t="shared" si="839"/>
        <v>1055128103.5599999</v>
      </c>
      <c r="AC748" s="326">
        <f t="shared" si="880"/>
        <v>1</v>
      </c>
    </row>
    <row r="749" spans="1:29" hidden="1" thickBot="1" x14ac:dyDescent="0.25">
      <c r="A749" s="424"/>
      <c r="B749" s="318" t="s">
        <v>1670</v>
      </c>
      <c r="C749" s="319" t="s">
        <v>1671</v>
      </c>
      <c r="D749" s="276">
        <f>+D750</f>
        <v>0</v>
      </c>
      <c r="E749" s="322">
        <f>SUM('ADICIONES  2021'!C749:N749)</f>
        <v>5521777550.8400002</v>
      </c>
      <c r="F749" s="276">
        <f>+F750</f>
        <v>0</v>
      </c>
      <c r="G749" s="276">
        <f>+G750</f>
        <v>0</v>
      </c>
      <c r="H749" s="276">
        <f>+H750</f>
        <v>0</v>
      </c>
      <c r="I749" s="276">
        <f>+I750</f>
        <v>0</v>
      </c>
      <c r="J749" s="276">
        <f>+J750</f>
        <v>0</v>
      </c>
      <c r="K749" s="281">
        <f t="shared" si="834"/>
        <v>5521777550.8400002</v>
      </c>
      <c r="L749" s="276">
        <f t="shared" ref="L749:Q749" si="927">+L750</f>
        <v>0</v>
      </c>
      <c r="M749" s="276">
        <f t="shared" si="927"/>
        <v>0</v>
      </c>
      <c r="N749" s="276">
        <f t="shared" si="927"/>
        <v>0</v>
      </c>
      <c r="O749" s="276">
        <f t="shared" si="927"/>
        <v>0</v>
      </c>
      <c r="P749" s="276">
        <f t="shared" si="927"/>
        <v>0</v>
      </c>
      <c r="Q749" s="276">
        <f t="shared" si="927"/>
        <v>0</v>
      </c>
      <c r="R749" s="281">
        <f t="shared" si="874"/>
        <v>0</v>
      </c>
      <c r="S749" s="276">
        <f t="shared" ref="S749:Z749" si="928">+S750</f>
        <v>5521777550.8400002</v>
      </c>
      <c r="T749" s="276">
        <f t="shared" si="928"/>
        <v>0</v>
      </c>
      <c r="U749" s="276">
        <f t="shared" si="928"/>
        <v>0</v>
      </c>
      <c r="V749" s="276">
        <f t="shared" si="928"/>
        <v>0</v>
      </c>
      <c r="W749" s="276">
        <f t="shared" si="928"/>
        <v>0</v>
      </c>
      <c r="X749" s="276">
        <f t="shared" si="928"/>
        <v>0</v>
      </c>
      <c r="Y749" s="276">
        <f t="shared" si="928"/>
        <v>0</v>
      </c>
      <c r="Z749" s="276">
        <f t="shared" si="928"/>
        <v>0</v>
      </c>
      <c r="AA749" s="281">
        <f t="shared" si="876"/>
        <v>5521777550.8400002</v>
      </c>
      <c r="AB749" s="403">
        <f t="shared" si="839"/>
        <v>5521777550.8400002</v>
      </c>
      <c r="AC749" s="326">
        <f t="shared" si="880"/>
        <v>1</v>
      </c>
    </row>
    <row r="750" spans="1:29" hidden="1" thickBot="1" x14ac:dyDescent="0.25">
      <c r="A750" s="424"/>
      <c r="B750" s="323" t="s">
        <v>1672</v>
      </c>
      <c r="C750" s="206" t="s">
        <v>1673</v>
      </c>
      <c r="D750" s="281"/>
      <c r="E750" s="325">
        <f>SUM('ADICIONES  2021'!C750:N750)</f>
        <v>5521777550.8400002</v>
      </c>
      <c r="F750" s="281"/>
      <c r="G750" s="281"/>
      <c r="H750" s="281"/>
      <c r="I750" s="281"/>
      <c r="J750" s="281"/>
      <c r="K750" s="281">
        <f t="shared" si="834"/>
        <v>5521777550.8400002</v>
      </c>
      <c r="L750" s="281"/>
      <c r="M750" s="281"/>
      <c r="N750" s="281"/>
      <c r="O750" s="281"/>
      <c r="P750" s="281"/>
      <c r="Q750" s="281"/>
      <c r="R750" s="281">
        <f t="shared" ref="R750:R813" si="929">SUM(L750:Q750)</f>
        <v>0</v>
      </c>
      <c r="S750" s="281">
        <v>5521777550.8400002</v>
      </c>
      <c r="T750" s="281"/>
      <c r="U750" s="281"/>
      <c r="V750" s="281"/>
      <c r="W750" s="281"/>
      <c r="X750" s="281"/>
      <c r="Y750" s="281"/>
      <c r="Z750" s="281"/>
      <c r="AA750" s="281">
        <f t="shared" si="876"/>
        <v>5521777550.8400002</v>
      </c>
      <c r="AB750" s="403">
        <f t="shared" si="839"/>
        <v>5521777550.8400002</v>
      </c>
      <c r="AC750" s="326">
        <f t="shared" si="880"/>
        <v>1</v>
      </c>
    </row>
    <row r="751" spans="1:29" hidden="1" thickBot="1" x14ac:dyDescent="0.25">
      <c r="A751" s="424"/>
      <c r="B751" s="318" t="s">
        <v>1674</v>
      </c>
      <c r="C751" s="319" t="s">
        <v>1675</v>
      </c>
      <c r="D751" s="276">
        <f>+D752</f>
        <v>0</v>
      </c>
      <c r="E751" s="322">
        <f>SUM('ADICIONES  2021'!C751:N751)</f>
        <v>461783002.39999998</v>
      </c>
      <c r="F751" s="276">
        <f>+F752</f>
        <v>0</v>
      </c>
      <c r="G751" s="276">
        <f>+G752</f>
        <v>0</v>
      </c>
      <c r="H751" s="276">
        <f>+H752</f>
        <v>0</v>
      </c>
      <c r="I751" s="276">
        <f>+I752</f>
        <v>0</v>
      </c>
      <c r="J751" s="276">
        <f>+J752</f>
        <v>0</v>
      </c>
      <c r="K751" s="281">
        <f t="shared" si="834"/>
        <v>461783002.39999998</v>
      </c>
      <c r="L751" s="276">
        <f t="shared" ref="L751:Q751" si="930">+L752</f>
        <v>0</v>
      </c>
      <c r="M751" s="276">
        <f t="shared" si="930"/>
        <v>0</v>
      </c>
      <c r="N751" s="276">
        <f t="shared" si="930"/>
        <v>0</v>
      </c>
      <c r="O751" s="276">
        <f t="shared" si="930"/>
        <v>0</v>
      </c>
      <c r="P751" s="276">
        <f t="shared" si="930"/>
        <v>0</v>
      </c>
      <c r="Q751" s="276">
        <f t="shared" si="930"/>
        <v>0</v>
      </c>
      <c r="R751" s="281">
        <f t="shared" si="929"/>
        <v>0</v>
      </c>
      <c r="S751" s="276">
        <f t="shared" ref="S751:Z751" si="931">+S752</f>
        <v>461783002.39999998</v>
      </c>
      <c r="T751" s="276">
        <f t="shared" si="931"/>
        <v>0</v>
      </c>
      <c r="U751" s="276">
        <f t="shared" si="931"/>
        <v>0</v>
      </c>
      <c r="V751" s="276">
        <f t="shared" si="931"/>
        <v>0</v>
      </c>
      <c r="W751" s="276">
        <f t="shared" si="931"/>
        <v>0</v>
      </c>
      <c r="X751" s="276">
        <f t="shared" si="931"/>
        <v>0</v>
      </c>
      <c r="Y751" s="276">
        <f t="shared" si="931"/>
        <v>0</v>
      </c>
      <c r="Z751" s="276">
        <f t="shared" si="931"/>
        <v>0</v>
      </c>
      <c r="AA751" s="281">
        <f t="shared" si="876"/>
        <v>461783002.39999998</v>
      </c>
      <c r="AB751" s="403">
        <f t="shared" si="839"/>
        <v>461783002.39999998</v>
      </c>
      <c r="AC751" s="326">
        <f t="shared" si="880"/>
        <v>1</v>
      </c>
    </row>
    <row r="752" spans="1:29" hidden="1" thickBot="1" x14ac:dyDescent="0.25">
      <c r="A752" s="424"/>
      <c r="B752" s="323" t="s">
        <v>1676</v>
      </c>
      <c r="C752" s="206" t="s">
        <v>1677</v>
      </c>
      <c r="D752" s="281"/>
      <c r="E752" s="325">
        <f>SUM('ADICIONES  2021'!C752:N752)</f>
        <v>461783002.39999998</v>
      </c>
      <c r="F752" s="281"/>
      <c r="G752" s="281"/>
      <c r="H752" s="281"/>
      <c r="I752" s="281"/>
      <c r="J752" s="281"/>
      <c r="K752" s="281">
        <f t="shared" si="834"/>
        <v>461783002.39999998</v>
      </c>
      <c r="L752" s="281"/>
      <c r="M752" s="281"/>
      <c r="N752" s="281"/>
      <c r="O752" s="281"/>
      <c r="P752" s="281"/>
      <c r="Q752" s="281"/>
      <c r="R752" s="281">
        <f t="shared" si="929"/>
        <v>0</v>
      </c>
      <c r="S752" s="281">
        <v>461783002.39999998</v>
      </c>
      <c r="T752" s="281"/>
      <c r="U752" s="281"/>
      <c r="V752" s="281"/>
      <c r="W752" s="281"/>
      <c r="X752" s="281"/>
      <c r="Y752" s="281"/>
      <c r="Z752" s="281"/>
      <c r="AA752" s="281">
        <f t="shared" si="876"/>
        <v>461783002.39999998</v>
      </c>
      <c r="AB752" s="403">
        <f t="shared" si="839"/>
        <v>461783002.39999998</v>
      </c>
      <c r="AC752" s="326">
        <f t="shared" si="880"/>
        <v>1</v>
      </c>
    </row>
    <row r="753" spans="1:29" ht="26.25" hidden="1" thickBot="1" x14ac:dyDescent="0.25">
      <c r="A753" s="424"/>
      <c r="B753" s="318" t="s">
        <v>1678</v>
      </c>
      <c r="C753" s="319" t="s">
        <v>1679</v>
      </c>
      <c r="D753" s="276">
        <f>SUM(D754:D757)</f>
        <v>0</v>
      </c>
      <c r="E753" s="322">
        <f>SUM('ADICIONES  2021'!C753:N753)</f>
        <v>1470257557.6600001</v>
      </c>
      <c r="F753" s="276">
        <f>SUM(F754:F757)</f>
        <v>0</v>
      </c>
      <c r="G753" s="276">
        <f>SUM(G754:G757)</f>
        <v>0</v>
      </c>
      <c r="H753" s="276">
        <f>SUM(H754:H757)</f>
        <v>0</v>
      </c>
      <c r="I753" s="276">
        <f>SUM(I754:I757)</f>
        <v>0</v>
      </c>
      <c r="J753" s="276">
        <f>SUM(J754:J757)</f>
        <v>0</v>
      </c>
      <c r="K753" s="281">
        <f t="shared" si="834"/>
        <v>1470257557.6600001</v>
      </c>
      <c r="L753" s="276">
        <f t="shared" ref="L753:Q753" si="932">SUM(L754:L757)</f>
        <v>0</v>
      </c>
      <c r="M753" s="276">
        <f t="shared" si="932"/>
        <v>0</v>
      </c>
      <c r="N753" s="276">
        <f t="shared" si="932"/>
        <v>0</v>
      </c>
      <c r="O753" s="276">
        <f t="shared" si="932"/>
        <v>0</v>
      </c>
      <c r="P753" s="276">
        <f t="shared" si="932"/>
        <v>0</v>
      </c>
      <c r="Q753" s="276">
        <f t="shared" si="932"/>
        <v>0</v>
      </c>
      <c r="R753" s="281">
        <f t="shared" si="929"/>
        <v>0</v>
      </c>
      <c r="S753" s="276">
        <f t="shared" ref="S753:Z753" si="933">SUM(S754:S757)</f>
        <v>1470257557.6600001</v>
      </c>
      <c r="T753" s="276">
        <f t="shared" si="933"/>
        <v>0</v>
      </c>
      <c r="U753" s="276">
        <f t="shared" si="933"/>
        <v>0</v>
      </c>
      <c r="V753" s="276">
        <f t="shared" si="933"/>
        <v>0</v>
      </c>
      <c r="W753" s="276">
        <f t="shared" si="933"/>
        <v>0</v>
      </c>
      <c r="X753" s="276">
        <f t="shared" si="933"/>
        <v>0</v>
      </c>
      <c r="Y753" s="276">
        <f t="shared" si="933"/>
        <v>0</v>
      </c>
      <c r="Z753" s="276">
        <f t="shared" si="933"/>
        <v>0</v>
      </c>
      <c r="AA753" s="281">
        <f t="shared" si="876"/>
        <v>1470257557.6600001</v>
      </c>
      <c r="AB753" s="403">
        <f t="shared" si="839"/>
        <v>1470257557.6600001</v>
      </c>
      <c r="AC753" s="326">
        <f t="shared" si="880"/>
        <v>1</v>
      </c>
    </row>
    <row r="754" spans="1:29" ht="26.25" hidden="1" thickBot="1" x14ac:dyDescent="0.25">
      <c r="A754" s="424"/>
      <c r="B754" s="323" t="s">
        <v>1680</v>
      </c>
      <c r="C754" s="206" t="s">
        <v>1681</v>
      </c>
      <c r="D754" s="281"/>
      <c r="E754" s="325">
        <f>SUM('ADICIONES  2021'!C754:N754)</f>
        <v>387647145.37</v>
      </c>
      <c r="F754" s="281"/>
      <c r="G754" s="281"/>
      <c r="H754" s="281"/>
      <c r="I754" s="281"/>
      <c r="J754" s="281"/>
      <c r="K754" s="281">
        <f t="shared" si="834"/>
        <v>387647145.37</v>
      </c>
      <c r="L754" s="281"/>
      <c r="M754" s="281"/>
      <c r="N754" s="281"/>
      <c r="O754" s="281"/>
      <c r="P754" s="281"/>
      <c r="Q754" s="281"/>
      <c r="R754" s="281">
        <f t="shared" si="929"/>
        <v>0</v>
      </c>
      <c r="S754" s="281">
        <v>387647145.37</v>
      </c>
      <c r="T754" s="281"/>
      <c r="U754" s="281"/>
      <c r="V754" s="281"/>
      <c r="W754" s="281"/>
      <c r="X754" s="281"/>
      <c r="Y754" s="281"/>
      <c r="Z754" s="281"/>
      <c r="AA754" s="281">
        <f t="shared" si="876"/>
        <v>387647145.37</v>
      </c>
      <c r="AB754" s="403">
        <f t="shared" si="839"/>
        <v>387647145.37</v>
      </c>
      <c r="AC754" s="326">
        <f t="shared" si="880"/>
        <v>1</v>
      </c>
    </row>
    <row r="755" spans="1:29" ht="26.25" hidden="1" thickBot="1" x14ac:dyDescent="0.25">
      <c r="A755" s="424"/>
      <c r="B755" s="323" t="s">
        <v>1682</v>
      </c>
      <c r="C755" s="206" t="s">
        <v>1683</v>
      </c>
      <c r="D755" s="281"/>
      <c r="E755" s="325">
        <f>SUM('ADICIONES  2021'!C755:N755)</f>
        <v>2113377.75</v>
      </c>
      <c r="F755" s="281"/>
      <c r="G755" s="281"/>
      <c r="H755" s="281"/>
      <c r="I755" s="281"/>
      <c r="J755" s="281"/>
      <c r="K755" s="281">
        <f t="shared" si="834"/>
        <v>2113377.75</v>
      </c>
      <c r="L755" s="281"/>
      <c r="M755" s="281"/>
      <c r="N755" s="281"/>
      <c r="O755" s="281"/>
      <c r="P755" s="281"/>
      <c r="Q755" s="281"/>
      <c r="R755" s="281">
        <f t="shared" si="929"/>
        <v>0</v>
      </c>
      <c r="S755" s="281">
        <v>2113377.75</v>
      </c>
      <c r="T755" s="281"/>
      <c r="U755" s="281"/>
      <c r="V755" s="281"/>
      <c r="W755" s="281"/>
      <c r="X755" s="281"/>
      <c r="Y755" s="281"/>
      <c r="Z755" s="281"/>
      <c r="AA755" s="281">
        <f t="shared" si="876"/>
        <v>2113377.75</v>
      </c>
      <c r="AB755" s="403">
        <f t="shared" si="839"/>
        <v>2113377.75</v>
      </c>
      <c r="AC755" s="326">
        <f t="shared" si="880"/>
        <v>1</v>
      </c>
    </row>
    <row r="756" spans="1:29" ht="26.25" hidden="1" thickBot="1" x14ac:dyDescent="0.25">
      <c r="A756" s="424"/>
      <c r="B756" s="323" t="s">
        <v>1684</v>
      </c>
      <c r="C756" s="206" t="s">
        <v>1685</v>
      </c>
      <c r="D756" s="281"/>
      <c r="E756" s="325">
        <f>SUM('ADICIONES  2021'!C756:N756)</f>
        <v>751847814.38</v>
      </c>
      <c r="F756" s="281"/>
      <c r="G756" s="281"/>
      <c r="H756" s="281"/>
      <c r="I756" s="281"/>
      <c r="J756" s="281"/>
      <c r="K756" s="281">
        <f t="shared" si="834"/>
        <v>751847814.38</v>
      </c>
      <c r="L756" s="281"/>
      <c r="M756" s="281"/>
      <c r="N756" s="281"/>
      <c r="O756" s="281"/>
      <c r="P756" s="281"/>
      <c r="Q756" s="281"/>
      <c r="R756" s="281">
        <f t="shared" si="929"/>
        <v>0</v>
      </c>
      <c r="S756" s="281">
        <v>751847814.38</v>
      </c>
      <c r="T756" s="281"/>
      <c r="U756" s="281"/>
      <c r="V756" s="281"/>
      <c r="W756" s="281"/>
      <c r="X756" s="281"/>
      <c r="Y756" s="281"/>
      <c r="Z756" s="281"/>
      <c r="AA756" s="281">
        <f t="shared" si="876"/>
        <v>751847814.38</v>
      </c>
      <c r="AB756" s="403">
        <f t="shared" si="839"/>
        <v>751847814.38</v>
      </c>
      <c r="AC756" s="326">
        <f t="shared" si="880"/>
        <v>1</v>
      </c>
    </row>
    <row r="757" spans="1:29" ht="26.25" hidden="1" thickBot="1" x14ac:dyDescent="0.25">
      <c r="A757" s="424"/>
      <c r="B757" s="323" t="s">
        <v>1686</v>
      </c>
      <c r="C757" s="206" t="s">
        <v>1687</v>
      </c>
      <c r="D757" s="281"/>
      <c r="E757" s="325">
        <f>SUM('ADICIONES  2021'!C757:N757)</f>
        <v>328649220.16000003</v>
      </c>
      <c r="F757" s="281"/>
      <c r="G757" s="281"/>
      <c r="H757" s="281"/>
      <c r="I757" s="281"/>
      <c r="J757" s="281"/>
      <c r="K757" s="281">
        <f t="shared" si="834"/>
        <v>328649220.16000003</v>
      </c>
      <c r="L757" s="281"/>
      <c r="M757" s="281"/>
      <c r="N757" s="281"/>
      <c r="O757" s="281"/>
      <c r="P757" s="281"/>
      <c r="Q757" s="281"/>
      <c r="R757" s="281">
        <f t="shared" si="929"/>
        <v>0</v>
      </c>
      <c r="S757" s="281">
        <v>328649220.16000003</v>
      </c>
      <c r="T757" s="281"/>
      <c r="U757" s="281"/>
      <c r="V757" s="281"/>
      <c r="W757" s="281"/>
      <c r="X757" s="281"/>
      <c r="Y757" s="281"/>
      <c r="Z757" s="281"/>
      <c r="AA757" s="281">
        <f t="shared" si="876"/>
        <v>328649220.16000003</v>
      </c>
      <c r="AB757" s="403">
        <f t="shared" si="839"/>
        <v>328649220.16000003</v>
      </c>
      <c r="AC757" s="326">
        <f t="shared" si="880"/>
        <v>1</v>
      </c>
    </row>
    <row r="758" spans="1:29" hidden="1" thickBot="1" x14ac:dyDescent="0.25">
      <c r="A758" s="424"/>
      <c r="B758" s="318" t="s">
        <v>1688</v>
      </c>
      <c r="C758" s="319" t="s">
        <v>1689</v>
      </c>
      <c r="D758" s="276">
        <f>+D759+D761+D763+D765+D767</f>
        <v>0</v>
      </c>
      <c r="E758" s="322">
        <f>SUM('ADICIONES  2021'!C758:N758)</f>
        <v>407056991.80000001</v>
      </c>
      <c r="F758" s="276">
        <f>+F759+F761+F763+F765+F767</f>
        <v>0</v>
      </c>
      <c r="G758" s="276">
        <f>+G759+G761+G763+G765+G767</f>
        <v>0</v>
      </c>
      <c r="H758" s="276">
        <f>+H759+H761+H763+H765+H767</f>
        <v>0</v>
      </c>
      <c r="I758" s="276">
        <f>+I759+I761+I763+I765+I767</f>
        <v>0</v>
      </c>
      <c r="J758" s="276">
        <f>+J759+J761+J763+J765+J767</f>
        <v>0</v>
      </c>
      <c r="K758" s="281">
        <f t="shared" si="834"/>
        <v>407056991.80000001</v>
      </c>
      <c r="L758" s="276">
        <f t="shared" ref="L758:Q758" si="934">+L759+L761+L763+L765+L767</f>
        <v>0</v>
      </c>
      <c r="M758" s="276">
        <f t="shared" si="934"/>
        <v>0</v>
      </c>
      <c r="N758" s="276">
        <f t="shared" si="934"/>
        <v>0</v>
      </c>
      <c r="O758" s="276">
        <f t="shared" si="934"/>
        <v>0</v>
      </c>
      <c r="P758" s="276">
        <f t="shared" si="934"/>
        <v>0</v>
      </c>
      <c r="Q758" s="276">
        <f t="shared" si="934"/>
        <v>0</v>
      </c>
      <c r="R758" s="281">
        <f t="shared" si="929"/>
        <v>0</v>
      </c>
      <c r="S758" s="276">
        <f t="shared" ref="S758:Z758" si="935">+S759+S761+S763+S765+S767</f>
        <v>407056991.80000001</v>
      </c>
      <c r="T758" s="276">
        <f t="shared" si="935"/>
        <v>0</v>
      </c>
      <c r="U758" s="276">
        <f t="shared" si="935"/>
        <v>0</v>
      </c>
      <c r="V758" s="276">
        <f t="shared" si="935"/>
        <v>0</v>
      </c>
      <c r="W758" s="276">
        <f t="shared" si="935"/>
        <v>0</v>
      </c>
      <c r="X758" s="276">
        <f t="shared" si="935"/>
        <v>0</v>
      </c>
      <c r="Y758" s="276">
        <f t="shared" si="935"/>
        <v>0</v>
      </c>
      <c r="Z758" s="276">
        <f t="shared" si="935"/>
        <v>0</v>
      </c>
      <c r="AA758" s="281">
        <f t="shared" si="876"/>
        <v>407056991.80000001</v>
      </c>
      <c r="AB758" s="403">
        <f t="shared" si="839"/>
        <v>407056991.80000001</v>
      </c>
      <c r="AC758" s="326">
        <f t="shared" si="880"/>
        <v>1</v>
      </c>
    </row>
    <row r="759" spans="1:29" ht="26.25" hidden="1" thickBot="1" x14ac:dyDescent="0.25">
      <c r="A759" s="424"/>
      <c r="B759" s="318" t="s">
        <v>1690</v>
      </c>
      <c r="C759" s="319" t="s">
        <v>110</v>
      </c>
      <c r="D759" s="276">
        <f>+D760</f>
        <v>0</v>
      </c>
      <c r="E759" s="322">
        <f>SUM('ADICIONES  2021'!C759:N759)</f>
        <v>145325420.40000001</v>
      </c>
      <c r="F759" s="276">
        <f>+F760</f>
        <v>0</v>
      </c>
      <c r="G759" s="276">
        <f>+G760</f>
        <v>0</v>
      </c>
      <c r="H759" s="276">
        <f>+H760</f>
        <v>0</v>
      </c>
      <c r="I759" s="276">
        <f>+I760</f>
        <v>0</v>
      </c>
      <c r="J759" s="276">
        <f>+J760</f>
        <v>0</v>
      </c>
      <c r="K759" s="281">
        <f t="shared" si="834"/>
        <v>145325420.40000001</v>
      </c>
      <c r="L759" s="276">
        <f t="shared" ref="L759:Q759" si="936">+L760</f>
        <v>0</v>
      </c>
      <c r="M759" s="276">
        <f t="shared" si="936"/>
        <v>0</v>
      </c>
      <c r="N759" s="276">
        <f t="shared" si="936"/>
        <v>0</v>
      </c>
      <c r="O759" s="276">
        <f t="shared" si="936"/>
        <v>0</v>
      </c>
      <c r="P759" s="276">
        <f t="shared" si="936"/>
        <v>0</v>
      </c>
      <c r="Q759" s="276">
        <f t="shared" si="936"/>
        <v>0</v>
      </c>
      <c r="R759" s="281">
        <f t="shared" si="929"/>
        <v>0</v>
      </c>
      <c r="S759" s="276">
        <f t="shared" ref="S759:Z759" si="937">+S760</f>
        <v>145325420.40000001</v>
      </c>
      <c r="T759" s="276">
        <f t="shared" si="937"/>
        <v>0</v>
      </c>
      <c r="U759" s="276">
        <f t="shared" si="937"/>
        <v>0</v>
      </c>
      <c r="V759" s="276">
        <f t="shared" si="937"/>
        <v>0</v>
      </c>
      <c r="W759" s="276">
        <f t="shared" si="937"/>
        <v>0</v>
      </c>
      <c r="X759" s="276">
        <f t="shared" si="937"/>
        <v>0</v>
      </c>
      <c r="Y759" s="276">
        <f t="shared" si="937"/>
        <v>0</v>
      </c>
      <c r="Z759" s="276">
        <f t="shared" si="937"/>
        <v>0</v>
      </c>
      <c r="AA759" s="281">
        <f t="shared" si="876"/>
        <v>145325420.40000001</v>
      </c>
      <c r="AB759" s="403">
        <f t="shared" si="839"/>
        <v>145325420.40000001</v>
      </c>
      <c r="AC759" s="326">
        <f t="shared" si="880"/>
        <v>1</v>
      </c>
    </row>
    <row r="760" spans="1:29" ht="26.25" hidden="1" thickBot="1" x14ac:dyDescent="0.25">
      <c r="A760" s="424"/>
      <c r="B760" s="323" t="s">
        <v>1691</v>
      </c>
      <c r="C760" s="206" t="s">
        <v>1692</v>
      </c>
      <c r="D760" s="281"/>
      <c r="E760" s="325">
        <f>SUM('ADICIONES  2021'!C760:N760)</f>
        <v>145325420.40000001</v>
      </c>
      <c r="F760" s="281"/>
      <c r="G760" s="281"/>
      <c r="H760" s="281"/>
      <c r="I760" s="281"/>
      <c r="J760" s="281"/>
      <c r="K760" s="281">
        <f t="shared" si="834"/>
        <v>145325420.40000001</v>
      </c>
      <c r="L760" s="281"/>
      <c r="M760" s="281"/>
      <c r="N760" s="281"/>
      <c r="O760" s="281"/>
      <c r="P760" s="281"/>
      <c r="Q760" s="281"/>
      <c r="R760" s="281">
        <f t="shared" si="929"/>
        <v>0</v>
      </c>
      <c r="S760" s="281">
        <v>145325420.40000001</v>
      </c>
      <c r="T760" s="281"/>
      <c r="U760" s="281"/>
      <c r="V760" s="281"/>
      <c r="W760" s="281"/>
      <c r="X760" s="281"/>
      <c r="Y760" s="281"/>
      <c r="Z760" s="281"/>
      <c r="AA760" s="281">
        <f t="shared" si="876"/>
        <v>145325420.40000001</v>
      </c>
      <c r="AB760" s="403">
        <f t="shared" si="839"/>
        <v>145325420.40000001</v>
      </c>
      <c r="AC760" s="326">
        <f t="shared" si="880"/>
        <v>1</v>
      </c>
    </row>
    <row r="761" spans="1:29" ht="26.25" hidden="1" thickBot="1" x14ac:dyDescent="0.25">
      <c r="A761" s="424"/>
      <c r="B761" s="318" t="s">
        <v>1693</v>
      </c>
      <c r="C761" s="319" t="s">
        <v>1694</v>
      </c>
      <c r="D761" s="276">
        <f>+D762</f>
        <v>0</v>
      </c>
      <c r="E761" s="322">
        <f>SUM('ADICIONES  2021'!C761:N761)</f>
        <v>95830968</v>
      </c>
      <c r="F761" s="276">
        <f>+F762</f>
        <v>0</v>
      </c>
      <c r="G761" s="276">
        <f>+G762</f>
        <v>0</v>
      </c>
      <c r="H761" s="276">
        <f>+H762</f>
        <v>0</v>
      </c>
      <c r="I761" s="276">
        <f>+I762</f>
        <v>0</v>
      </c>
      <c r="J761" s="276">
        <f>+J762</f>
        <v>0</v>
      </c>
      <c r="K761" s="281">
        <f t="shared" si="834"/>
        <v>95830968</v>
      </c>
      <c r="L761" s="276">
        <f t="shared" ref="L761:Q761" si="938">+L762</f>
        <v>0</v>
      </c>
      <c r="M761" s="276">
        <f t="shared" si="938"/>
        <v>0</v>
      </c>
      <c r="N761" s="276">
        <f t="shared" si="938"/>
        <v>0</v>
      </c>
      <c r="O761" s="276">
        <f t="shared" si="938"/>
        <v>0</v>
      </c>
      <c r="P761" s="276">
        <f t="shared" si="938"/>
        <v>0</v>
      </c>
      <c r="Q761" s="276">
        <f t="shared" si="938"/>
        <v>0</v>
      </c>
      <c r="R761" s="281">
        <f t="shared" si="929"/>
        <v>0</v>
      </c>
      <c r="S761" s="276">
        <f t="shared" ref="S761:Z761" si="939">+S762</f>
        <v>95830968</v>
      </c>
      <c r="T761" s="276">
        <f t="shared" si="939"/>
        <v>0</v>
      </c>
      <c r="U761" s="276">
        <f t="shared" si="939"/>
        <v>0</v>
      </c>
      <c r="V761" s="276">
        <f t="shared" si="939"/>
        <v>0</v>
      </c>
      <c r="W761" s="276">
        <f t="shared" si="939"/>
        <v>0</v>
      </c>
      <c r="X761" s="276">
        <f t="shared" si="939"/>
        <v>0</v>
      </c>
      <c r="Y761" s="276">
        <f t="shared" si="939"/>
        <v>0</v>
      </c>
      <c r="Z761" s="276">
        <f t="shared" si="939"/>
        <v>0</v>
      </c>
      <c r="AA761" s="281">
        <f t="shared" si="876"/>
        <v>95830968</v>
      </c>
      <c r="AB761" s="403">
        <f t="shared" si="839"/>
        <v>95830968</v>
      </c>
      <c r="AC761" s="326">
        <f t="shared" si="880"/>
        <v>1</v>
      </c>
    </row>
    <row r="762" spans="1:29" ht="26.25" hidden="1" thickBot="1" x14ac:dyDescent="0.25">
      <c r="A762" s="424"/>
      <c r="B762" s="323" t="s">
        <v>1695</v>
      </c>
      <c r="C762" s="206" t="s">
        <v>1694</v>
      </c>
      <c r="D762" s="281"/>
      <c r="E762" s="325">
        <f>SUM('ADICIONES  2021'!C762:N762)</f>
        <v>95830968</v>
      </c>
      <c r="F762" s="281"/>
      <c r="G762" s="281"/>
      <c r="H762" s="281"/>
      <c r="I762" s="281"/>
      <c r="J762" s="281"/>
      <c r="K762" s="281">
        <f t="shared" si="834"/>
        <v>95830968</v>
      </c>
      <c r="L762" s="281"/>
      <c r="M762" s="281"/>
      <c r="N762" s="281"/>
      <c r="O762" s="281"/>
      <c r="P762" s="281"/>
      <c r="Q762" s="281"/>
      <c r="R762" s="281">
        <f t="shared" si="929"/>
        <v>0</v>
      </c>
      <c r="S762" s="281">
        <v>95830968</v>
      </c>
      <c r="T762" s="281"/>
      <c r="U762" s="281"/>
      <c r="V762" s="281"/>
      <c r="W762" s="281"/>
      <c r="X762" s="281"/>
      <c r="Y762" s="281"/>
      <c r="Z762" s="281"/>
      <c r="AA762" s="281">
        <f t="shared" si="876"/>
        <v>95830968</v>
      </c>
      <c r="AB762" s="403">
        <f t="shared" si="839"/>
        <v>95830968</v>
      </c>
      <c r="AC762" s="326">
        <f t="shared" si="880"/>
        <v>1</v>
      </c>
    </row>
    <row r="763" spans="1:29" ht="26.25" hidden="1" thickBot="1" x14ac:dyDescent="0.25">
      <c r="A763" s="424"/>
      <c r="B763" s="318" t="s">
        <v>1696</v>
      </c>
      <c r="C763" s="319" t="s">
        <v>1697</v>
      </c>
      <c r="D763" s="276">
        <f>+D764</f>
        <v>0</v>
      </c>
      <c r="E763" s="322">
        <f>SUM('ADICIONES  2021'!C763:N763)</f>
        <v>14844803.4</v>
      </c>
      <c r="F763" s="276">
        <f>+F764</f>
        <v>0</v>
      </c>
      <c r="G763" s="276">
        <f>+G764</f>
        <v>0</v>
      </c>
      <c r="H763" s="276">
        <f>+H764</f>
        <v>0</v>
      </c>
      <c r="I763" s="276">
        <f>+I764</f>
        <v>0</v>
      </c>
      <c r="J763" s="276">
        <f>+J764</f>
        <v>0</v>
      </c>
      <c r="K763" s="281">
        <f t="shared" si="834"/>
        <v>14844803.4</v>
      </c>
      <c r="L763" s="276">
        <f t="shared" ref="L763:Q763" si="940">+L764</f>
        <v>0</v>
      </c>
      <c r="M763" s="276">
        <f t="shared" si="940"/>
        <v>0</v>
      </c>
      <c r="N763" s="276">
        <f t="shared" si="940"/>
        <v>0</v>
      </c>
      <c r="O763" s="276">
        <f t="shared" si="940"/>
        <v>0</v>
      </c>
      <c r="P763" s="276">
        <f t="shared" si="940"/>
        <v>0</v>
      </c>
      <c r="Q763" s="276">
        <f t="shared" si="940"/>
        <v>0</v>
      </c>
      <c r="R763" s="281">
        <f t="shared" si="929"/>
        <v>0</v>
      </c>
      <c r="S763" s="276">
        <f t="shared" ref="S763:Z763" si="941">+S764</f>
        <v>14844803.4</v>
      </c>
      <c r="T763" s="276">
        <f t="shared" si="941"/>
        <v>0</v>
      </c>
      <c r="U763" s="276">
        <f t="shared" si="941"/>
        <v>0</v>
      </c>
      <c r="V763" s="276">
        <f t="shared" si="941"/>
        <v>0</v>
      </c>
      <c r="W763" s="276">
        <f t="shared" si="941"/>
        <v>0</v>
      </c>
      <c r="X763" s="276">
        <f t="shared" si="941"/>
        <v>0</v>
      </c>
      <c r="Y763" s="276">
        <f t="shared" si="941"/>
        <v>0</v>
      </c>
      <c r="Z763" s="276">
        <f t="shared" si="941"/>
        <v>0</v>
      </c>
      <c r="AA763" s="281">
        <f t="shared" si="876"/>
        <v>14844803.4</v>
      </c>
      <c r="AB763" s="403">
        <f t="shared" si="839"/>
        <v>14844803.4</v>
      </c>
      <c r="AC763" s="326">
        <f t="shared" si="880"/>
        <v>1</v>
      </c>
    </row>
    <row r="764" spans="1:29" hidden="1" thickBot="1" x14ac:dyDescent="0.25">
      <c r="A764" s="424"/>
      <c r="B764" s="323" t="s">
        <v>1698</v>
      </c>
      <c r="C764" s="206" t="s">
        <v>1699</v>
      </c>
      <c r="D764" s="281"/>
      <c r="E764" s="325">
        <f>SUM('ADICIONES  2021'!C764:N764)</f>
        <v>14844803.4</v>
      </c>
      <c r="F764" s="281"/>
      <c r="G764" s="281"/>
      <c r="H764" s="281"/>
      <c r="I764" s="281"/>
      <c r="J764" s="281"/>
      <c r="K764" s="281">
        <f t="shared" si="834"/>
        <v>14844803.4</v>
      </c>
      <c r="L764" s="281"/>
      <c r="M764" s="281"/>
      <c r="N764" s="281"/>
      <c r="O764" s="281"/>
      <c r="P764" s="281"/>
      <c r="Q764" s="281"/>
      <c r="R764" s="281">
        <f t="shared" si="929"/>
        <v>0</v>
      </c>
      <c r="S764" s="281">
        <v>14844803.4</v>
      </c>
      <c r="T764" s="281"/>
      <c r="U764" s="281"/>
      <c r="V764" s="281"/>
      <c r="W764" s="281"/>
      <c r="X764" s="281"/>
      <c r="Y764" s="281"/>
      <c r="Z764" s="281"/>
      <c r="AA764" s="281">
        <f t="shared" si="876"/>
        <v>14844803.4</v>
      </c>
      <c r="AB764" s="403">
        <f t="shared" si="839"/>
        <v>14844803.4</v>
      </c>
      <c r="AC764" s="326">
        <f t="shared" si="880"/>
        <v>1</v>
      </c>
    </row>
    <row r="765" spans="1:29" ht="26.25" hidden="1" thickBot="1" x14ac:dyDescent="0.25">
      <c r="A765" s="424"/>
      <c r="B765" s="318" t="s">
        <v>1700</v>
      </c>
      <c r="C765" s="319" t="s">
        <v>1701</v>
      </c>
      <c r="D765" s="276">
        <f>+D766</f>
        <v>0</v>
      </c>
      <c r="E765" s="322">
        <f>SUM('ADICIONES  2021'!C765:N765)</f>
        <v>112000000</v>
      </c>
      <c r="F765" s="276">
        <f>+F766</f>
        <v>0</v>
      </c>
      <c r="G765" s="276">
        <f>+G766</f>
        <v>0</v>
      </c>
      <c r="H765" s="276">
        <f>+H766</f>
        <v>0</v>
      </c>
      <c r="I765" s="276">
        <f>+I766</f>
        <v>0</v>
      </c>
      <c r="J765" s="276">
        <f>+J766</f>
        <v>0</v>
      </c>
      <c r="K765" s="281">
        <f t="shared" si="834"/>
        <v>112000000</v>
      </c>
      <c r="L765" s="276">
        <f t="shared" ref="L765:Q765" si="942">+L766</f>
        <v>0</v>
      </c>
      <c r="M765" s="276">
        <f t="shared" si="942"/>
        <v>0</v>
      </c>
      <c r="N765" s="276">
        <f t="shared" si="942"/>
        <v>0</v>
      </c>
      <c r="O765" s="276">
        <f t="shared" si="942"/>
        <v>0</v>
      </c>
      <c r="P765" s="276">
        <f t="shared" si="942"/>
        <v>0</v>
      </c>
      <c r="Q765" s="276">
        <f t="shared" si="942"/>
        <v>0</v>
      </c>
      <c r="R765" s="281">
        <f t="shared" si="929"/>
        <v>0</v>
      </c>
      <c r="S765" s="276">
        <f t="shared" ref="S765:Z765" si="943">+S766</f>
        <v>112000000</v>
      </c>
      <c r="T765" s="276">
        <f t="shared" si="943"/>
        <v>0</v>
      </c>
      <c r="U765" s="276">
        <f t="shared" si="943"/>
        <v>0</v>
      </c>
      <c r="V765" s="276">
        <f t="shared" si="943"/>
        <v>0</v>
      </c>
      <c r="W765" s="276">
        <f t="shared" si="943"/>
        <v>0</v>
      </c>
      <c r="X765" s="276">
        <f t="shared" si="943"/>
        <v>0</v>
      </c>
      <c r="Y765" s="276">
        <f t="shared" si="943"/>
        <v>0</v>
      </c>
      <c r="Z765" s="276">
        <f t="shared" si="943"/>
        <v>0</v>
      </c>
      <c r="AA765" s="281">
        <f t="shared" si="876"/>
        <v>112000000</v>
      </c>
      <c r="AB765" s="403">
        <f t="shared" si="839"/>
        <v>112000000</v>
      </c>
      <c r="AC765" s="326">
        <f t="shared" si="880"/>
        <v>1</v>
      </c>
    </row>
    <row r="766" spans="1:29" ht="26.25" hidden="1" thickBot="1" x14ac:dyDescent="0.25">
      <c r="A766" s="424"/>
      <c r="B766" s="323" t="s">
        <v>1702</v>
      </c>
      <c r="C766" s="206" t="s">
        <v>1703</v>
      </c>
      <c r="D766" s="281"/>
      <c r="E766" s="325">
        <f>SUM('ADICIONES  2021'!C766:N766)</f>
        <v>112000000</v>
      </c>
      <c r="F766" s="281"/>
      <c r="G766" s="281"/>
      <c r="H766" s="281"/>
      <c r="I766" s="281"/>
      <c r="J766" s="281"/>
      <c r="K766" s="281">
        <f t="shared" si="834"/>
        <v>112000000</v>
      </c>
      <c r="L766" s="281"/>
      <c r="M766" s="281"/>
      <c r="N766" s="281"/>
      <c r="O766" s="281"/>
      <c r="P766" s="281"/>
      <c r="Q766" s="281"/>
      <c r="R766" s="281">
        <f t="shared" si="929"/>
        <v>0</v>
      </c>
      <c r="S766" s="281">
        <v>112000000</v>
      </c>
      <c r="T766" s="281"/>
      <c r="U766" s="281"/>
      <c r="V766" s="281"/>
      <c r="W766" s="281"/>
      <c r="X766" s="281"/>
      <c r="Y766" s="281"/>
      <c r="Z766" s="281"/>
      <c r="AA766" s="281">
        <f t="shared" si="876"/>
        <v>112000000</v>
      </c>
      <c r="AB766" s="403">
        <f t="shared" si="839"/>
        <v>112000000</v>
      </c>
      <c r="AC766" s="326">
        <f t="shared" si="880"/>
        <v>1</v>
      </c>
    </row>
    <row r="767" spans="1:29" hidden="1" thickBot="1" x14ac:dyDescent="0.25">
      <c r="A767" s="424"/>
      <c r="B767" s="318" t="s">
        <v>1704</v>
      </c>
      <c r="C767" s="319" t="s">
        <v>1705</v>
      </c>
      <c r="D767" s="276">
        <f>+D768</f>
        <v>0</v>
      </c>
      <c r="E767" s="322">
        <f>SUM('ADICIONES  2021'!C767:N767)</f>
        <v>39055800</v>
      </c>
      <c r="F767" s="276">
        <f>+F768</f>
        <v>0</v>
      </c>
      <c r="G767" s="276">
        <f>+G768</f>
        <v>0</v>
      </c>
      <c r="H767" s="276">
        <f>+H768</f>
        <v>0</v>
      </c>
      <c r="I767" s="276">
        <f>+I768</f>
        <v>0</v>
      </c>
      <c r="J767" s="276">
        <f>+J768</f>
        <v>0</v>
      </c>
      <c r="K767" s="281">
        <f t="shared" si="834"/>
        <v>39055800</v>
      </c>
      <c r="L767" s="276">
        <f t="shared" ref="L767:Q767" si="944">+L768</f>
        <v>0</v>
      </c>
      <c r="M767" s="276">
        <f t="shared" si="944"/>
        <v>0</v>
      </c>
      <c r="N767" s="276">
        <f t="shared" si="944"/>
        <v>0</v>
      </c>
      <c r="O767" s="276">
        <f t="shared" si="944"/>
        <v>0</v>
      </c>
      <c r="P767" s="276">
        <f t="shared" si="944"/>
        <v>0</v>
      </c>
      <c r="Q767" s="276">
        <f t="shared" si="944"/>
        <v>0</v>
      </c>
      <c r="R767" s="281">
        <f t="shared" si="929"/>
        <v>0</v>
      </c>
      <c r="S767" s="276">
        <f t="shared" ref="S767:Z767" si="945">+S768</f>
        <v>39055800</v>
      </c>
      <c r="T767" s="276">
        <f t="shared" si="945"/>
        <v>0</v>
      </c>
      <c r="U767" s="276">
        <f t="shared" si="945"/>
        <v>0</v>
      </c>
      <c r="V767" s="276">
        <f t="shared" si="945"/>
        <v>0</v>
      </c>
      <c r="W767" s="276">
        <f t="shared" si="945"/>
        <v>0</v>
      </c>
      <c r="X767" s="276">
        <f t="shared" si="945"/>
        <v>0</v>
      </c>
      <c r="Y767" s="276">
        <f t="shared" si="945"/>
        <v>0</v>
      </c>
      <c r="Z767" s="276">
        <f t="shared" si="945"/>
        <v>0</v>
      </c>
      <c r="AA767" s="281">
        <f t="shared" si="876"/>
        <v>39055800</v>
      </c>
      <c r="AB767" s="403">
        <f t="shared" si="839"/>
        <v>39055800</v>
      </c>
      <c r="AC767" s="326">
        <f t="shared" si="880"/>
        <v>1</v>
      </c>
    </row>
    <row r="768" spans="1:29" hidden="1" thickBot="1" x14ac:dyDescent="0.25">
      <c r="A768" s="424"/>
      <c r="B768" s="323" t="s">
        <v>1706</v>
      </c>
      <c r="C768" s="206" t="s">
        <v>1707</v>
      </c>
      <c r="D768" s="281"/>
      <c r="E768" s="325">
        <f>SUM('ADICIONES  2021'!C768:N768)</f>
        <v>39055800</v>
      </c>
      <c r="F768" s="281"/>
      <c r="G768" s="281"/>
      <c r="H768" s="281"/>
      <c r="I768" s="281"/>
      <c r="J768" s="281"/>
      <c r="K768" s="281">
        <f t="shared" si="834"/>
        <v>39055800</v>
      </c>
      <c r="L768" s="281"/>
      <c r="M768" s="281"/>
      <c r="N768" s="281"/>
      <c r="O768" s="281"/>
      <c r="P768" s="281"/>
      <c r="Q768" s="281"/>
      <c r="R768" s="281">
        <f t="shared" si="929"/>
        <v>0</v>
      </c>
      <c r="S768" s="281">
        <v>39055800</v>
      </c>
      <c r="T768" s="281"/>
      <c r="U768" s="281"/>
      <c r="V768" s="281"/>
      <c r="W768" s="281"/>
      <c r="X768" s="281"/>
      <c r="Y768" s="281"/>
      <c r="Z768" s="281"/>
      <c r="AA768" s="281">
        <f t="shared" ref="AA768:AA816" si="946">SUM(S768:Z768)</f>
        <v>39055800</v>
      </c>
      <c r="AB768" s="403">
        <f t="shared" si="839"/>
        <v>39055800</v>
      </c>
      <c r="AC768" s="326">
        <f t="shared" si="880"/>
        <v>1</v>
      </c>
    </row>
    <row r="769" spans="1:29" hidden="1" thickBot="1" x14ac:dyDescent="0.25">
      <c r="A769" s="424"/>
      <c r="B769" s="318" t="s">
        <v>1708</v>
      </c>
      <c r="C769" s="319" t="s">
        <v>1709</v>
      </c>
      <c r="D769" s="276">
        <f>+D770</f>
        <v>0</v>
      </c>
      <c r="E769" s="322">
        <f>SUM('ADICIONES  2021'!C769:N769)</f>
        <v>6171202231.1300001</v>
      </c>
      <c r="F769" s="276">
        <f>+F770</f>
        <v>0</v>
      </c>
      <c r="G769" s="276">
        <f>+G770</f>
        <v>0</v>
      </c>
      <c r="H769" s="276">
        <f>+H770</f>
        <v>0</v>
      </c>
      <c r="I769" s="276">
        <f>+I770</f>
        <v>0</v>
      </c>
      <c r="J769" s="276">
        <f>+J770</f>
        <v>0</v>
      </c>
      <c r="K769" s="281">
        <f t="shared" si="834"/>
        <v>6171202231.1300001</v>
      </c>
      <c r="L769" s="276">
        <f t="shared" ref="L769:Q769" si="947">+L770</f>
        <v>0</v>
      </c>
      <c r="M769" s="276">
        <f t="shared" si="947"/>
        <v>0</v>
      </c>
      <c r="N769" s="276">
        <f t="shared" si="947"/>
        <v>0</v>
      </c>
      <c r="O769" s="276">
        <f t="shared" si="947"/>
        <v>0</v>
      </c>
      <c r="P769" s="276">
        <f t="shared" si="947"/>
        <v>0</v>
      </c>
      <c r="Q769" s="276">
        <f t="shared" si="947"/>
        <v>0</v>
      </c>
      <c r="R769" s="281">
        <f t="shared" si="929"/>
        <v>0</v>
      </c>
      <c r="S769" s="276">
        <f t="shared" ref="S769:Z769" si="948">+S770</f>
        <v>6171202231.1300001</v>
      </c>
      <c r="T769" s="276">
        <f t="shared" si="948"/>
        <v>0</v>
      </c>
      <c r="U769" s="276">
        <f t="shared" si="948"/>
        <v>0</v>
      </c>
      <c r="V769" s="276">
        <f t="shared" si="948"/>
        <v>0</v>
      </c>
      <c r="W769" s="276">
        <f t="shared" si="948"/>
        <v>0</v>
      </c>
      <c r="X769" s="276">
        <f t="shared" si="948"/>
        <v>0</v>
      </c>
      <c r="Y769" s="276">
        <f t="shared" si="948"/>
        <v>0</v>
      </c>
      <c r="Z769" s="276">
        <f t="shared" si="948"/>
        <v>0</v>
      </c>
      <c r="AA769" s="281">
        <f t="shared" si="946"/>
        <v>6171202231.1300001</v>
      </c>
      <c r="AB769" s="403">
        <f t="shared" si="839"/>
        <v>6171202231.1300001</v>
      </c>
      <c r="AC769" s="326">
        <f t="shared" ref="AC769:AC816" si="949">+AB769/K769</f>
        <v>1</v>
      </c>
    </row>
    <row r="770" spans="1:29" hidden="1" thickBot="1" x14ac:dyDescent="0.25">
      <c r="A770" s="424"/>
      <c r="B770" s="323" t="s">
        <v>1710</v>
      </c>
      <c r="C770" s="206" t="s">
        <v>1711</v>
      </c>
      <c r="D770" s="281"/>
      <c r="E770" s="325">
        <f>SUM('ADICIONES  2021'!C770:N770)</f>
        <v>6171202231.1300001</v>
      </c>
      <c r="F770" s="281"/>
      <c r="G770" s="281"/>
      <c r="H770" s="281"/>
      <c r="I770" s="281"/>
      <c r="J770" s="281"/>
      <c r="K770" s="281">
        <f t="shared" si="834"/>
        <v>6171202231.1300001</v>
      </c>
      <c r="L770" s="281"/>
      <c r="M770" s="281"/>
      <c r="N770" s="281"/>
      <c r="O770" s="281"/>
      <c r="P770" s="281"/>
      <c r="Q770" s="281"/>
      <c r="R770" s="281">
        <f t="shared" si="929"/>
        <v>0</v>
      </c>
      <c r="S770" s="281">
        <v>6171202231.1300001</v>
      </c>
      <c r="T770" s="281"/>
      <c r="U770" s="281"/>
      <c r="V770" s="281"/>
      <c r="W770" s="281"/>
      <c r="X770" s="281"/>
      <c r="Y770" s="281"/>
      <c r="Z770" s="281"/>
      <c r="AA770" s="281">
        <f t="shared" si="946"/>
        <v>6171202231.1300001</v>
      </c>
      <c r="AB770" s="403">
        <f t="shared" si="839"/>
        <v>6171202231.1300001</v>
      </c>
      <c r="AC770" s="326">
        <f t="shared" si="949"/>
        <v>1</v>
      </c>
    </row>
    <row r="771" spans="1:29" hidden="1" thickBot="1" x14ac:dyDescent="0.25">
      <c r="A771" s="424"/>
      <c r="B771" s="318" t="s">
        <v>1712</v>
      </c>
      <c r="C771" s="319" t="s">
        <v>1713</v>
      </c>
      <c r="D771" s="276">
        <f>SUM(D772:D816)</f>
        <v>0</v>
      </c>
      <c r="E771" s="322">
        <f>SUM('ADICIONES  2021'!C771:N771)</f>
        <v>71889004628.699997</v>
      </c>
      <c r="F771" s="276">
        <f>SUM(F772:F816)</f>
        <v>0</v>
      </c>
      <c r="G771" s="276">
        <f>SUM(G772:G816)</f>
        <v>0</v>
      </c>
      <c r="H771" s="276">
        <f>SUM(H772:H816)</f>
        <v>0</v>
      </c>
      <c r="I771" s="276">
        <f>SUM(I772:I816)</f>
        <v>0</v>
      </c>
      <c r="J771" s="276">
        <f>SUM(J772:J816)</f>
        <v>0</v>
      </c>
      <c r="K771" s="281">
        <f t="shared" si="834"/>
        <v>71889004628.699997</v>
      </c>
      <c r="L771" s="276">
        <f t="shared" ref="L771:Q771" si="950">SUM(L772:L816)</f>
        <v>0</v>
      </c>
      <c r="M771" s="276">
        <f t="shared" si="950"/>
        <v>0</v>
      </c>
      <c r="N771" s="276">
        <f t="shared" si="950"/>
        <v>0</v>
      </c>
      <c r="O771" s="276">
        <f t="shared" si="950"/>
        <v>0</v>
      </c>
      <c r="P771" s="276">
        <f t="shared" si="950"/>
        <v>0</v>
      </c>
      <c r="Q771" s="276">
        <f t="shared" si="950"/>
        <v>0</v>
      </c>
      <c r="R771" s="281">
        <f t="shared" si="929"/>
        <v>0</v>
      </c>
      <c r="S771" s="276">
        <f t="shared" ref="S771:Z771" si="951">SUM(S772:S816)</f>
        <v>52323554356.650002</v>
      </c>
      <c r="T771" s="276">
        <f t="shared" si="951"/>
        <v>0</v>
      </c>
      <c r="U771" s="276">
        <f t="shared" si="951"/>
        <v>0</v>
      </c>
      <c r="V771" s="276">
        <f t="shared" si="951"/>
        <v>0</v>
      </c>
      <c r="W771" s="276">
        <f t="shared" si="951"/>
        <v>0</v>
      </c>
      <c r="X771" s="276">
        <f t="shared" si="951"/>
        <v>17010953802.65</v>
      </c>
      <c r="Y771" s="276">
        <f t="shared" si="951"/>
        <v>0</v>
      </c>
      <c r="Z771" s="276">
        <f t="shared" si="951"/>
        <v>0</v>
      </c>
      <c r="AA771" s="281">
        <f t="shared" si="946"/>
        <v>69334508159.300003</v>
      </c>
      <c r="AB771" s="403">
        <f t="shared" si="839"/>
        <v>69334508159.300003</v>
      </c>
      <c r="AC771" s="326">
        <f t="shared" si="949"/>
        <v>0.96446610322964232</v>
      </c>
    </row>
    <row r="772" spans="1:29" ht="51.75" hidden="1" thickBot="1" x14ac:dyDescent="0.25">
      <c r="A772" s="424"/>
      <c r="B772" s="323" t="s">
        <v>1714</v>
      </c>
      <c r="C772" s="206" t="s">
        <v>1715</v>
      </c>
      <c r="D772" s="281"/>
      <c r="E772" s="325">
        <f>SUM('ADICIONES  2021'!C772:N772)</f>
        <v>200</v>
      </c>
      <c r="F772" s="281"/>
      <c r="G772" s="281"/>
      <c r="H772" s="281"/>
      <c r="I772" s="281"/>
      <c r="J772" s="281"/>
      <c r="K772" s="281">
        <f t="shared" si="834"/>
        <v>200</v>
      </c>
      <c r="L772" s="281"/>
      <c r="M772" s="281"/>
      <c r="N772" s="281"/>
      <c r="O772" s="281"/>
      <c r="P772" s="281"/>
      <c r="Q772" s="281"/>
      <c r="R772" s="281">
        <f t="shared" si="929"/>
        <v>0</v>
      </c>
      <c r="S772" s="281">
        <v>200</v>
      </c>
      <c r="T772" s="281"/>
      <c r="U772" s="281"/>
      <c r="V772" s="281"/>
      <c r="W772" s="281"/>
      <c r="X772" s="281">
        <v>0</v>
      </c>
      <c r="Y772" s="281"/>
      <c r="Z772" s="281"/>
      <c r="AA772" s="281">
        <f t="shared" si="946"/>
        <v>200</v>
      </c>
      <c r="AB772" s="403">
        <f t="shared" si="839"/>
        <v>200</v>
      </c>
      <c r="AC772" s="326">
        <f t="shared" si="949"/>
        <v>1</v>
      </c>
    </row>
    <row r="773" spans="1:29" ht="51.75" hidden="1" thickBot="1" x14ac:dyDescent="0.25">
      <c r="A773" s="424"/>
      <c r="B773" s="323" t="s">
        <v>1716</v>
      </c>
      <c r="C773" s="206" t="s">
        <v>1717</v>
      </c>
      <c r="D773" s="281"/>
      <c r="E773" s="325">
        <f>SUM('ADICIONES  2021'!C773:N773)</f>
        <v>694330329.00999999</v>
      </c>
      <c r="F773" s="281"/>
      <c r="G773" s="281"/>
      <c r="H773" s="281"/>
      <c r="I773" s="281"/>
      <c r="J773" s="281"/>
      <c r="K773" s="281">
        <f t="shared" si="834"/>
        <v>694330329.00999999</v>
      </c>
      <c r="L773" s="281"/>
      <c r="M773" s="281"/>
      <c r="N773" s="281"/>
      <c r="O773" s="281"/>
      <c r="P773" s="281"/>
      <c r="Q773" s="281"/>
      <c r="R773" s="281">
        <f t="shared" si="929"/>
        <v>0</v>
      </c>
      <c r="S773" s="281">
        <v>694330329.00999999</v>
      </c>
      <c r="T773" s="281"/>
      <c r="U773" s="281"/>
      <c r="V773" s="281"/>
      <c r="W773" s="281"/>
      <c r="X773" s="281">
        <v>0</v>
      </c>
      <c r="Y773" s="281"/>
      <c r="Z773" s="281"/>
      <c r="AA773" s="281">
        <f t="shared" si="946"/>
        <v>694330329.00999999</v>
      </c>
      <c r="AB773" s="403">
        <f t="shared" si="839"/>
        <v>694330329.00999999</v>
      </c>
      <c r="AC773" s="326">
        <f t="shared" si="949"/>
        <v>1</v>
      </c>
    </row>
    <row r="774" spans="1:29" ht="51.75" hidden="1" thickBot="1" x14ac:dyDescent="0.25">
      <c r="A774" s="424"/>
      <c r="B774" s="323" t="s">
        <v>1718</v>
      </c>
      <c r="C774" s="206" t="s">
        <v>1719</v>
      </c>
      <c r="D774" s="281"/>
      <c r="E774" s="325">
        <f>SUM('ADICIONES  2021'!C774:N774)</f>
        <v>769948698.44000006</v>
      </c>
      <c r="F774" s="281"/>
      <c r="G774" s="281"/>
      <c r="H774" s="281"/>
      <c r="I774" s="281"/>
      <c r="J774" s="281"/>
      <c r="K774" s="281">
        <f t="shared" si="834"/>
        <v>769948698.44000006</v>
      </c>
      <c r="L774" s="281"/>
      <c r="M774" s="281"/>
      <c r="N774" s="281"/>
      <c r="O774" s="281"/>
      <c r="P774" s="281"/>
      <c r="Q774" s="281"/>
      <c r="R774" s="281">
        <f t="shared" si="929"/>
        <v>0</v>
      </c>
      <c r="S774" s="281">
        <v>769948698.44000006</v>
      </c>
      <c r="T774" s="281"/>
      <c r="U774" s="281"/>
      <c r="V774" s="281"/>
      <c r="W774" s="281"/>
      <c r="X774" s="281">
        <v>0</v>
      </c>
      <c r="Y774" s="281"/>
      <c r="Z774" s="281"/>
      <c r="AA774" s="281">
        <f t="shared" si="946"/>
        <v>769948698.44000006</v>
      </c>
      <c r="AB774" s="403">
        <f t="shared" si="839"/>
        <v>769948698.44000006</v>
      </c>
      <c r="AC774" s="326">
        <f t="shared" si="949"/>
        <v>1</v>
      </c>
    </row>
    <row r="775" spans="1:29" ht="51.75" hidden="1" thickBot="1" x14ac:dyDescent="0.25">
      <c r="A775" s="424"/>
      <c r="B775" s="323" t="s">
        <v>1720</v>
      </c>
      <c r="C775" s="206" t="s">
        <v>1721</v>
      </c>
      <c r="D775" s="281"/>
      <c r="E775" s="325">
        <f>SUM('ADICIONES  2021'!C775:N775)</f>
        <v>145723443.94</v>
      </c>
      <c r="F775" s="281"/>
      <c r="G775" s="281"/>
      <c r="H775" s="281"/>
      <c r="I775" s="281"/>
      <c r="J775" s="281"/>
      <c r="K775" s="281">
        <f t="shared" si="834"/>
        <v>145723443.94</v>
      </c>
      <c r="L775" s="281"/>
      <c r="M775" s="281"/>
      <c r="N775" s="281"/>
      <c r="O775" s="281"/>
      <c r="P775" s="281"/>
      <c r="Q775" s="281"/>
      <c r="R775" s="281">
        <f t="shared" si="929"/>
        <v>0</v>
      </c>
      <c r="S775" s="281">
        <v>145723443.94</v>
      </c>
      <c r="T775" s="281"/>
      <c r="U775" s="281"/>
      <c r="V775" s="281"/>
      <c r="W775" s="281"/>
      <c r="X775" s="281">
        <v>0</v>
      </c>
      <c r="Y775" s="281"/>
      <c r="Z775" s="281"/>
      <c r="AA775" s="281">
        <f t="shared" si="946"/>
        <v>145723443.94</v>
      </c>
      <c r="AB775" s="403">
        <f t="shared" si="839"/>
        <v>145723443.94</v>
      </c>
      <c r="AC775" s="326">
        <f t="shared" si="949"/>
        <v>1</v>
      </c>
    </row>
    <row r="776" spans="1:29" ht="26.25" hidden="1" thickBot="1" x14ac:dyDescent="0.25">
      <c r="A776" s="424"/>
      <c r="B776" s="323" t="s">
        <v>1722</v>
      </c>
      <c r="C776" s="206" t="s">
        <v>1723</v>
      </c>
      <c r="D776" s="281"/>
      <c r="E776" s="325">
        <f>SUM('ADICIONES  2021'!C776:N776)</f>
        <v>892239699.46000004</v>
      </c>
      <c r="F776" s="281"/>
      <c r="G776" s="281"/>
      <c r="H776" s="281"/>
      <c r="I776" s="281"/>
      <c r="J776" s="281"/>
      <c r="K776" s="281">
        <f t="shared" si="834"/>
        <v>892239699.46000004</v>
      </c>
      <c r="L776" s="281"/>
      <c r="M776" s="281"/>
      <c r="N776" s="281"/>
      <c r="O776" s="281"/>
      <c r="P776" s="281"/>
      <c r="Q776" s="281"/>
      <c r="R776" s="281">
        <f t="shared" si="929"/>
        <v>0</v>
      </c>
      <c r="S776" s="281">
        <v>892239699.46000004</v>
      </c>
      <c r="T776" s="281"/>
      <c r="U776" s="281"/>
      <c r="V776" s="281"/>
      <c r="W776" s="281"/>
      <c r="X776" s="281">
        <v>0</v>
      </c>
      <c r="Y776" s="281"/>
      <c r="Z776" s="281"/>
      <c r="AA776" s="281">
        <f t="shared" si="946"/>
        <v>892239699.46000004</v>
      </c>
      <c r="AB776" s="403">
        <f t="shared" si="839"/>
        <v>892239699.46000004</v>
      </c>
      <c r="AC776" s="326">
        <f t="shared" si="949"/>
        <v>1</v>
      </c>
    </row>
    <row r="777" spans="1:29" ht="26.25" hidden="1" thickBot="1" x14ac:dyDescent="0.25">
      <c r="A777" s="424"/>
      <c r="B777" s="323" t="s">
        <v>1724</v>
      </c>
      <c r="C777" s="206" t="s">
        <v>1725</v>
      </c>
      <c r="D777" s="281"/>
      <c r="E777" s="325">
        <f>SUM('ADICIONES  2021'!C777:N777)</f>
        <v>126666013</v>
      </c>
      <c r="F777" s="281"/>
      <c r="G777" s="281"/>
      <c r="H777" s="281"/>
      <c r="I777" s="281"/>
      <c r="J777" s="281"/>
      <c r="K777" s="281">
        <f t="shared" si="834"/>
        <v>126666013</v>
      </c>
      <c r="L777" s="281"/>
      <c r="M777" s="281"/>
      <c r="N777" s="281"/>
      <c r="O777" s="281"/>
      <c r="P777" s="281"/>
      <c r="Q777" s="281"/>
      <c r="R777" s="281">
        <f t="shared" si="929"/>
        <v>0</v>
      </c>
      <c r="S777" s="281">
        <v>0</v>
      </c>
      <c r="T777" s="281"/>
      <c r="U777" s="281"/>
      <c r="V777" s="281"/>
      <c r="W777" s="281"/>
      <c r="X777" s="281">
        <v>126666013</v>
      </c>
      <c r="Y777" s="281"/>
      <c r="Z777" s="281"/>
      <c r="AA777" s="281">
        <f t="shared" si="946"/>
        <v>126666013</v>
      </c>
      <c r="AB777" s="403">
        <f t="shared" si="839"/>
        <v>126666013</v>
      </c>
      <c r="AC777" s="326">
        <f t="shared" si="949"/>
        <v>1</v>
      </c>
    </row>
    <row r="778" spans="1:29" ht="26.25" hidden="1" thickBot="1" x14ac:dyDescent="0.25">
      <c r="A778" s="424"/>
      <c r="B778" s="323" t="s">
        <v>1726</v>
      </c>
      <c r="C778" s="206" t="s">
        <v>1727</v>
      </c>
      <c r="D778" s="281"/>
      <c r="E778" s="325">
        <f>SUM('ADICIONES  2021'!C778:N778)</f>
        <v>3500000</v>
      </c>
      <c r="F778" s="281"/>
      <c r="G778" s="281"/>
      <c r="H778" s="281"/>
      <c r="I778" s="281"/>
      <c r="J778" s="281"/>
      <c r="K778" s="281">
        <f t="shared" si="834"/>
        <v>3500000</v>
      </c>
      <c r="L778" s="281"/>
      <c r="M778" s="281"/>
      <c r="N778" s="281"/>
      <c r="O778" s="281"/>
      <c r="P778" s="281"/>
      <c r="Q778" s="281"/>
      <c r="R778" s="281">
        <f t="shared" si="929"/>
        <v>0</v>
      </c>
      <c r="S778" s="281">
        <v>0</v>
      </c>
      <c r="T778" s="281"/>
      <c r="U778" s="281"/>
      <c r="V778" s="281"/>
      <c r="W778" s="281"/>
      <c r="X778" s="281">
        <v>0</v>
      </c>
      <c r="Y778" s="281"/>
      <c r="Z778" s="281"/>
      <c r="AA778" s="281">
        <f t="shared" si="946"/>
        <v>0</v>
      </c>
      <c r="AB778" s="403">
        <f t="shared" si="839"/>
        <v>0</v>
      </c>
      <c r="AC778" s="326">
        <f t="shared" si="949"/>
        <v>0</v>
      </c>
    </row>
    <row r="779" spans="1:29" ht="39" hidden="1" thickBot="1" x14ac:dyDescent="0.25">
      <c r="A779" s="424"/>
      <c r="B779" s="323" t="s">
        <v>1728</v>
      </c>
      <c r="C779" s="206" t="s">
        <v>1729</v>
      </c>
      <c r="D779" s="281"/>
      <c r="E779" s="325">
        <f>SUM('ADICIONES  2021'!C779:N779)</f>
        <v>21000000</v>
      </c>
      <c r="F779" s="281"/>
      <c r="G779" s="281"/>
      <c r="H779" s="281"/>
      <c r="I779" s="281"/>
      <c r="J779" s="281"/>
      <c r="K779" s="281">
        <f t="shared" si="834"/>
        <v>21000000</v>
      </c>
      <c r="L779" s="281"/>
      <c r="M779" s="281"/>
      <c r="N779" s="281"/>
      <c r="O779" s="281"/>
      <c r="P779" s="281"/>
      <c r="Q779" s="281"/>
      <c r="R779" s="281">
        <f t="shared" si="929"/>
        <v>0</v>
      </c>
      <c r="S779" s="281">
        <v>0</v>
      </c>
      <c r="T779" s="281"/>
      <c r="U779" s="281"/>
      <c r="V779" s="281"/>
      <c r="W779" s="281"/>
      <c r="X779" s="281">
        <v>0</v>
      </c>
      <c r="Y779" s="281"/>
      <c r="Z779" s="281"/>
      <c r="AA779" s="281">
        <f t="shared" si="946"/>
        <v>0</v>
      </c>
      <c r="AB779" s="403">
        <f t="shared" si="839"/>
        <v>0</v>
      </c>
      <c r="AC779" s="326">
        <f t="shared" si="949"/>
        <v>0</v>
      </c>
    </row>
    <row r="780" spans="1:29" ht="26.25" hidden="1" thickBot="1" x14ac:dyDescent="0.25">
      <c r="A780" s="424"/>
      <c r="B780" s="323" t="s">
        <v>1730</v>
      </c>
      <c r="C780" s="206" t="s">
        <v>1731</v>
      </c>
      <c r="D780" s="281"/>
      <c r="E780" s="325">
        <f>SUM('ADICIONES  2021'!C780:N780)</f>
        <v>1000000000</v>
      </c>
      <c r="F780" s="281"/>
      <c r="G780" s="281"/>
      <c r="H780" s="281"/>
      <c r="I780" s="281"/>
      <c r="J780" s="281"/>
      <c r="K780" s="281">
        <f t="shared" si="834"/>
        <v>1000000000</v>
      </c>
      <c r="L780" s="281"/>
      <c r="M780" s="281"/>
      <c r="N780" s="281"/>
      <c r="O780" s="281"/>
      <c r="P780" s="281"/>
      <c r="Q780" s="281"/>
      <c r="R780" s="281">
        <f t="shared" si="929"/>
        <v>0</v>
      </c>
      <c r="S780" s="281">
        <v>0</v>
      </c>
      <c r="T780" s="281"/>
      <c r="U780" s="281"/>
      <c r="V780" s="281"/>
      <c r="W780" s="281"/>
      <c r="X780" s="281">
        <v>1000000000</v>
      </c>
      <c r="Y780" s="281"/>
      <c r="Z780" s="281"/>
      <c r="AA780" s="281">
        <f t="shared" si="946"/>
        <v>1000000000</v>
      </c>
      <c r="AB780" s="403">
        <f t="shared" si="839"/>
        <v>1000000000</v>
      </c>
      <c r="AC780" s="326">
        <f t="shared" si="949"/>
        <v>1</v>
      </c>
    </row>
    <row r="781" spans="1:29" ht="39" hidden="1" thickBot="1" x14ac:dyDescent="0.25">
      <c r="A781" s="424"/>
      <c r="B781" s="323" t="s">
        <v>1732</v>
      </c>
      <c r="C781" s="206" t="s">
        <v>1733</v>
      </c>
      <c r="D781" s="281"/>
      <c r="E781" s="325">
        <f>SUM('ADICIONES  2021'!C781:N781)</f>
        <v>683484219.72000003</v>
      </c>
      <c r="F781" s="281"/>
      <c r="G781" s="281"/>
      <c r="H781" s="281"/>
      <c r="I781" s="281"/>
      <c r="J781" s="281"/>
      <c r="K781" s="281">
        <f t="shared" si="834"/>
        <v>683484219.72000003</v>
      </c>
      <c r="L781" s="281"/>
      <c r="M781" s="281"/>
      <c r="N781" s="281"/>
      <c r="O781" s="281"/>
      <c r="P781" s="281"/>
      <c r="Q781" s="281"/>
      <c r="R781" s="281">
        <f t="shared" si="929"/>
        <v>0</v>
      </c>
      <c r="S781" s="281">
        <v>683484219.72000003</v>
      </c>
      <c r="T781" s="281"/>
      <c r="U781" s="281"/>
      <c r="V781" s="281"/>
      <c r="W781" s="281"/>
      <c r="X781" s="281">
        <v>0</v>
      </c>
      <c r="Y781" s="281"/>
      <c r="Z781" s="281"/>
      <c r="AA781" s="281">
        <f t="shared" si="946"/>
        <v>683484219.72000003</v>
      </c>
      <c r="AB781" s="403">
        <f t="shared" si="839"/>
        <v>683484219.72000003</v>
      </c>
      <c r="AC781" s="326">
        <f t="shared" si="949"/>
        <v>1</v>
      </c>
    </row>
    <row r="782" spans="1:29" ht="26.25" hidden="1" thickBot="1" x14ac:dyDescent="0.25">
      <c r="A782" s="424"/>
      <c r="B782" s="323" t="s">
        <v>1734</v>
      </c>
      <c r="C782" s="206" t="s">
        <v>1735</v>
      </c>
      <c r="D782" s="281"/>
      <c r="E782" s="325">
        <f>SUM('ADICIONES  2021'!C782:N782)</f>
        <v>472953841.06</v>
      </c>
      <c r="F782" s="281"/>
      <c r="G782" s="281"/>
      <c r="H782" s="281"/>
      <c r="I782" s="281"/>
      <c r="J782" s="281"/>
      <c r="K782" s="281">
        <f t="shared" si="834"/>
        <v>472953841.06</v>
      </c>
      <c r="L782" s="281"/>
      <c r="M782" s="281"/>
      <c r="N782" s="281"/>
      <c r="O782" s="281"/>
      <c r="P782" s="281"/>
      <c r="Q782" s="281"/>
      <c r="R782" s="281">
        <f t="shared" si="929"/>
        <v>0</v>
      </c>
      <c r="S782" s="281">
        <v>230298044.47999999</v>
      </c>
      <c r="T782" s="281"/>
      <c r="U782" s="281"/>
      <c r="V782" s="281"/>
      <c r="W782" s="281"/>
      <c r="X782" s="281">
        <v>242655796.58000001</v>
      </c>
      <c r="Y782" s="281"/>
      <c r="Z782" s="281"/>
      <c r="AA782" s="281">
        <f t="shared" si="946"/>
        <v>472953841.06</v>
      </c>
      <c r="AB782" s="403">
        <f t="shared" si="839"/>
        <v>472953841.06</v>
      </c>
      <c r="AC782" s="326">
        <f t="shared" si="949"/>
        <v>1</v>
      </c>
    </row>
    <row r="783" spans="1:29" ht="39" hidden="1" thickBot="1" x14ac:dyDescent="0.25">
      <c r="A783" s="424"/>
      <c r="B783" s="323" t="s">
        <v>1736</v>
      </c>
      <c r="C783" s="206" t="s">
        <v>1737</v>
      </c>
      <c r="D783" s="281"/>
      <c r="E783" s="325">
        <f>SUM('ADICIONES  2021'!C783:N783)</f>
        <v>1662330762.3800001</v>
      </c>
      <c r="F783" s="281"/>
      <c r="G783" s="281"/>
      <c r="H783" s="281"/>
      <c r="I783" s="281"/>
      <c r="J783" s="281"/>
      <c r="K783" s="281">
        <f t="shared" si="834"/>
        <v>1662330762.3800001</v>
      </c>
      <c r="L783" s="281"/>
      <c r="M783" s="281"/>
      <c r="N783" s="281"/>
      <c r="O783" s="281"/>
      <c r="P783" s="281"/>
      <c r="Q783" s="281"/>
      <c r="R783" s="281">
        <f t="shared" si="929"/>
        <v>0</v>
      </c>
      <c r="S783" s="281">
        <v>1105031342</v>
      </c>
      <c r="T783" s="281"/>
      <c r="U783" s="281"/>
      <c r="V783" s="281"/>
      <c r="W783" s="281"/>
      <c r="X783" s="281">
        <v>0</v>
      </c>
      <c r="Y783" s="281"/>
      <c r="Z783" s="281"/>
      <c r="AA783" s="281">
        <f t="shared" si="946"/>
        <v>1105031342</v>
      </c>
      <c r="AB783" s="403">
        <f t="shared" si="839"/>
        <v>1105031342</v>
      </c>
      <c r="AC783" s="326">
        <f t="shared" si="949"/>
        <v>0.66474817587920909</v>
      </c>
    </row>
    <row r="784" spans="1:29" ht="39" hidden="1" thickBot="1" x14ac:dyDescent="0.25">
      <c r="A784" s="424"/>
      <c r="B784" s="323" t="s">
        <v>1738</v>
      </c>
      <c r="C784" s="206" t="s">
        <v>1739</v>
      </c>
      <c r="D784" s="281"/>
      <c r="E784" s="325">
        <f>SUM('ADICIONES  2021'!C784:N784)</f>
        <v>815428711.37</v>
      </c>
      <c r="F784" s="281"/>
      <c r="G784" s="281"/>
      <c r="H784" s="281"/>
      <c r="I784" s="281"/>
      <c r="J784" s="281"/>
      <c r="K784" s="281">
        <f t="shared" si="834"/>
        <v>815428711.37</v>
      </c>
      <c r="L784" s="281"/>
      <c r="M784" s="281"/>
      <c r="N784" s="281"/>
      <c r="O784" s="281"/>
      <c r="P784" s="281"/>
      <c r="Q784" s="281"/>
      <c r="R784" s="281">
        <f t="shared" si="929"/>
        <v>0</v>
      </c>
      <c r="S784" s="281">
        <v>476352429</v>
      </c>
      <c r="T784" s="281"/>
      <c r="U784" s="281"/>
      <c r="V784" s="281"/>
      <c r="W784" s="281"/>
      <c r="X784" s="281">
        <v>0</v>
      </c>
      <c r="Y784" s="281"/>
      <c r="Z784" s="281"/>
      <c r="AA784" s="281">
        <f t="shared" si="946"/>
        <v>476352429</v>
      </c>
      <c r="AB784" s="403">
        <f t="shared" si="839"/>
        <v>476352429</v>
      </c>
      <c r="AC784" s="326">
        <f t="shared" si="949"/>
        <v>0.58417421701975802</v>
      </c>
    </row>
    <row r="785" spans="1:29" ht="26.25" hidden="1" thickBot="1" x14ac:dyDescent="0.25">
      <c r="A785" s="424"/>
      <c r="B785" s="323" t="s">
        <v>1740</v>
      </c>
      <c r="C785" s="206" t="s">
        <v>1741</v>
      </c>
      <c r="D785" s="281"/>
      <c r="E785" s="325">
        <f>SUM('ADICIONES  2021'!C785:N785)</f>
        <v>920627571.64999998</v>
      </c>
      <c r="F785" s="281"/>
      <c r="G785" s="281"/>
      <c r="H785" s="281"/>
      <c r="I785" s="281"/>
      <c r="J785" s="281"/>
      <c r="K785" s="281">
        <f t="shared" si="834"/>
        <v>920627571.64999998</v>
      </c>
      <c r="L785" s="281"/>
      <c r="M785" s="281"/>
      <c r="N785" s="281"/>
      <c r="O785" s="281"/>
      <c r="P785" s="281"/>
      <c r="Q785" s="281"/>
      <c r="R785" s="281">
        <f t="shared" si="929"/>
        <v>0</v>
      </c>
      <c r="S785" s="281">
        <v>920627571.64999998</v>
      </c>
      <c r="T785" s="281"/>
      <c r="U785" s="281"/>
      <c r="V785" s="281"/>
      <c r="W785" s="281"/>
      <c r="X785" s="281">
        <v>0</v>
      </c>
      <c r="Y785" s="281"/>
      <c r="Z785" s="281"/>
      <c r="AA785" s="281">
        <f t="shared" si="946"/>
        <v>920627571.64999998</v>
      </c>
      <c r="AB785" s="403">
        <f t="shared" si="839"/>
        <v>920627571.64999998</v>
      </c>
      <c r="AC785" s="326">
        <f t="shared" si="949"/>
        <v>1</v>
      </c>
    </row>
    <row r="786" spans="1:29" ht="39" hidden="1" thickBot="1" x14ac:dyDescent="0.25">
      <c r="A786" s="424"/>
      <c r="B786" s="323" t="s">
        <v>1742</v>
      </c>
      <c r="C786" s="206" t="s">
        <v>1743</v>
      </c>
      <c r="D786" s="281"/>
      <c r="E786" s="325">
        <f>SUM('ADICIONES  2021'!C786:N786)</f>
        <v>1022061153.3200001</v>
      </c>
      <c r="F786" s="281"/>
      <c r="G786" s="281"/>
      <c r="H786" s="281"/>
      <c r="I786" s="281"/>
      <c r="J786" s="281"/>
      <c r="K786" s="281">
        <f t="shared" si="834"/>
        <v>1022061153.3200001</v>
      </c>
      <c r="L786" s="281"/>
      <c r="M786" s="281"/>
      <c r="N786" s="281"/>
      <c r="O786" s="281"/>
      <c r="P786" s="281"/>
      <c r="Q786" s="281"/>
      <c r="R786" s="281">
        <f t="shared" si="929"/>
        <v>0</v>
      </c>
      <c r="S786" s="281">
        <v>388337148.67000002</v>
      </c>
      <c r="T786" s="281"/>
      <c r="U786" s="281"/>
      <c r="V786" s="281"/>
      <c r="W786" s="281"/>
      <c r="X786" s="281">
        <v>0</v>
      </c>
      <c r="Y786" s="281"/>
      <c r="Z786" s="281"/>
      <c r="AA786" s="281">
        <f t="shared" si="946"/>
        <v>388337148.67000002</v>
      </c>
      <c r="AB786" s="403">
        <f t="shared" si="839"/>
        <v>388337148.67000002</v>
      </c>
      <c r="AC786" s="326">
        <f t="shared" si="949"/>
        <v>0.37995490525058084</v>
      </c>
    </row>
    <row r="787" spans="1:29" ht="26.25" hidden="1" thickBot="1" x14ac:dyDescent="0.25">
      <c r="A787" s="424"/>
      <c r="B787" s="323" t="s">
        <v>1744</v>
      </c>
      <c r="C787" s="206" t="s">
        <v>1745</v>
      </c>
      <c r="D787" s="281"/>
      <c r="E787" s="325">
        <f>SUM('ADICIONES  2021'!C787:N787)</f>
        <v>383136341.55000001</v>
      </c>
      <c r="F787" s="281"/>
      <c r="G787" s="281"/>
      <c r="H787" s="281"/>
      <c r="I787" s="281"/>
      <c r="J787" s="281"/>
      <c r="K787" s="281">
        <f t="shared" si="834"/>
        <v>383136341.55000001</v>
      </c>
      <c r="L787" s="281"/>
      <c r="M787" s="281"/>
      <c r="N787" s="281"/>
      <c r="O787" s="281"/>
      <c r="P787" s="281"/>
      <c r="Q787" s="281"/>
      <c r="R787" s="281">
        <f t="shared" si="929"/>
        <v>0</v>
      </c>
      <c r="S787" s="281">
        <v>0</v>
      </c>
      <c r="T787" s="281"/>
      <c r="U787" s="281"/>
      <c r="V787" s="281"/>
      <c r="W787" s="281"/>
      <c r="X787" s="281">
        <v>383136341.55000001</v>
      </c>
      <c r="Y787" s="281"/>
      <c r="Z787" s="281"/>
      <c r="AA787" s="281">
        <f t="shared" si="946"/>
        <v>383136341.55000001</v>
      </c>
      <c r="AB787" s="403">
        <f t="shared" si="839"/>
        <v>383136341.55000001</v>
      </c>
      <c r="AC787" s="326">
        <f t="shared" si="949"/>
        <v>1</v>
      </c>
    </row>
    <row r="788" spans="1:29" ht="39" hidden="1" thickBot="1" x14ac:dyDescent="0.25">
      <c r="A788" s="424"/>
      <c r="B788" s="323" t="s">
        <v>1746</v>
      </c>
      <c r="C788" s="206" t="s">
        <v>1747</v>
      </c>
      <c r="D788" s="281"/>
      <c r="E788" s="325">
        <f>SUM('ADICIONES  2021'!C788:N788)</f>
        <v>300000000</v>
      </c>
      <c r="F788" s="281"/>
      <c r="G788" s="281"/>
      <c r="H788" s="281"/>
      <c r="I788" s="281"/>
      <c r="J788" s="281"/>
      <c r="K788" s="281">
        <f t="shared" si="834"/>
        <v>300000000</v>
      </c>
      <c r="L788" s="281"/>
      <c r="M788" s="281"/>
      <c r="N788" s="281"/>
      <c r="O788" s="281"/>
      <c r="P788" s="281"/>
      <c r="Q788" s="281"/>
      <c r="R788" s="281">
        <f t="shared" si="929"/>
        <v>0</v>
      </c>
      <c r="S788" s="281">
        <v>300000000</v>
      </c>
      <c r="T788" s="281"/>
      <c r="U788" s="281"/>
      <c r="V788" s="281"/>
      <c r="W788" s="281"/>
      <c r="X788" s="281">
        <v>0</v>
      </c>
      <c r="Y788" s="281"/>
      <c r="Z788" s="281"/>
      <c r="AA788" s="281">
        <f t="shared" si="946"/>
        <v>300000000</v>
      </c>
      <c r="AB788" s="403">
        <f t="shared" si="839"/>
        <v>300000000</v>
      </c>
      <c r="AC788" s="326">
        <f t="shared" si="949"/>
        <v>1</v>
      </c>
    </row>
    <row r="789" spans="1:29" ht="39" hidden="1" thickBot="1" x14ac:dyDescent="0.25">
      <c r="A789" s="424"/>
      <c r="B789" s="323" t="s">
        <v>1748</v>
      </c>
      <c r="C789" s="206" t="s">
        <v>1749</v>
      </c>
      <c r="D789" s="281"/>
      <c r="E789" s="325">
        <f>SUM('ADICIONES  2021'!C789:N789)</f>
        <v>848374298</v>
      </c>
      <c r="F789" s="281"/>
      <c r="G789" s="281"/>
      <c r="H789" s="281"/>
      <c r="I789" s="281"/>
      <c r="J789" s="281"/>
      <c r="K789" s="281">
        <f t="shared" si="834"/>
        <v>848374298</v>
      </c>
      <c r="L789" s="281"/>
      <c r="M789" s="281"/>
      <c r="N789" s="281"/>
      <c r="O789" s="281"/>
      <c r="P789" s="281"/>
      <c r="Q789" s="281"/>
      <c r="R789" s="281">
        <f t="shared" si="929"/>
        <v>0</v>
      </c>
      <c r="S789" s="281">
        <v>848374298</v>
      </c>
      <c r="T789" s="281"/>
      <c r="U789" s="281"/>
      <c r="V789" s="281"/>
      <c r="W789" s="281"/>
      <c r="X789" s="281">
        <v>0</v>
      </c>
      <c r="Y789" s="281"/>
      <c r="Z789" s="281"/>
      <c r="AA789" s="281">
        <f t="shared" si="946"/>
        <v>848374298</v>
      </c>
      <c r="AB789" s="403">
        <f t="shared" si="839"/>
        <v>848374298</v>
      </c>
      <c r="AC789" s="326">
        <f t="shared" si="949"/>
        <v>1</v>
      </c>
    </row>
    <row r="790" spans="1:29" ht="39" hidden="1" thickBot="1" x14ac:dyDescent="0.25">
      <c r="A790" s="424"/>
      <c r="B790" s="323" t="s">
        <v>1750</v>
      </c>
      <c r="C790" s="206" t="s">
        <v>1751</v>
      </c>
      <c r="D790" s="281"/>
      <c r="E790" s="325">
        <f>SUM('ADICIONES  2021'!C790:N790)</f>
        <v>1062972259.02</v>
      </c>
      <c r="F790" s="281"/>
      <c r="G790" s="281"/>
      <c r="H790" s="281"/>
      <c r="I790" s="281"/>
      <c r="J790" s="281"/>
      <c r="K790" s="281">
        <f t="shared" si="834"/>
        <v>1062972259.02</v>
      </c>
      <c r="L790" s="281"/>
      <c r="M790" s="281"/>
      <c r="N790" s="281"/>
      <c r="O790" s="281"/>
      <c r="P790" s="281"/>
      <c r="Q790" s="281"/>
      <c r="R790" s="281">
        <f t="shared" si="929"/>
        <v>0</v>
      </c>
      <c r="S790" s="281">
        <v>1062972259.02</v>
      </c>
      <c r="T790" s="281"/>
      <c r="U790" s="281"/>
      <c r="V790" s="281"/>
      <c r="W790" s="281"/>
      <c r="X790" s="281">
        <v>0</v>
      </c>
      <c r="Y790" s="281"/>
      <c r="Z790" s="281"/>
      <c r="AA790" s="281">
        <f t="shared" si="946"/>
        <v>1062972259.02</v>
      </c>
      <c r="AB790" s="403">
        <f t="shared" si="839"/>
        <v>1062972259.02</v>
      </c>
      <c r="AC790" s="326">
        <f t="shared" si="949"/>
        <v>1</v>
      </c>
    </row>
    <row r="791" spans="1:29" ht="39" hidden="1" thickBot="1" x14ac:dyDescent="0.25">
      <c r="A791" s="424"/>
      <c r="B791" s="323" t="s">
        <v>1752</v>
      </c>
      <c r="C791" s="206" t="s">
        <v>1753</v>
      </c>
      <c r="D791" s="281"/>
      <c r="E791" s="325">
        <f>SUM('ADICIONES  2021'!C791:N791)</f>
        <v>3983440755.0700002</v>
      </c>
      <c r="F791" s="281"/>
      <c r="G791" s="281"/>
      <c r="H791" s="281"/>
      <c r="I791" s="281"/>
      <c r="J791" s="281"/>
      <c r="K791" s="281">
        <f t="shared" si="834"/>
        <v>3983440755.0700002</v>
      </c>
      <c r="L791" s="281"/>
      <c r="M791" s="281"/>
      <c r="N791" s="281"/>
      <c r="O791" s="281"/>
      <c r="P791" s="281"/>
      <c r="Q791" s="281"/>
      <c r="R791" s="281">
        <f t="shared" si="929"/>
        <v>0</v>
      </c>
      <c r="S791" s="281">
        <v>3983440755.0700002</v>
      </c>
      <c r="T791" s="281"/>
      <c r="U791" s="281"/>
      <c r="V791" s="281"/>
      <c r="W791" s="281"/>
      <c r="X791" s="281">
        <v>0</v>
      </c>
      <c r="Y791" s="281"/>
      <c r="Z791" s="281"/>
      <c r="AA791" s="281">
        <f t="shared" si="946"/>
        <v>3983440755.0700002</v>
      </c>
      <c r="AB791" s="403">
        <f t="shared" si="839"/>
        <v>3983440755.0700002</v>
      </c>
      <c r="AC791" s="326">
        <f t="shared" si="949"/>
        <v>1</v>
      </c>
    </row>
    <row r="792" spans="1:29" ht="39" hidden="1" thickBot="1" x14ac:dyDescent="0.25">
      <c r="A792" s="424"/>
      <c r="B792" s="323" t="s">
        <v>1754</v>
      </c>
      <c r="C792" s="206" t="s">
        <v>1755</v>
      </c>
      <c r="D792" s="281"/>
      <c r="E792" s="325">
        <f>SUM('ADICIONES  2021'!C792:N792)</f>
        <v>3146700090.6999998</v>
      </c>
      <c r="F792" s="281"/>
      <c r="G792" s="281"/>
      <c r="H792" s="281"/>
      <c r="I792" s="281"/>
      <c r="J792" s="281"/>
      <c r="K792" s="281">
        <f t="shared" si="834"/>
        <v>3146700090.6999998</v>
      </c>
      <c r="L792" s="281"/>
      <c r="M792" s="281"/>
      <c r="N792" s="281"/>
      <c r="O792" s="281"/>
      <c r="P792" s="281"/>
      <c r="Q792" s="281"/>
      <c r="R792" s="281">
        <f t="shared" si="929"/>
        <v>0</v>
      </c>
      <c r="S792" s="281">
        <v>3146700090.6999998</v>
      </c>
      <c r="T792" s="281"/>
      <c r="U792" s="281"/>
      <c r="V792" s="281"/>
      <c r="W792" s="281"/>
      <c r="X792" s="281">
        <v>0</v>
      </c>
      <c r="Y792" s="281"/>
      <c r="Z792" s="281"/>
      <c r="AA792" s="281">
        <f t="shared" si="946"/>
        <v>3146700090.6999998</v>
      </c>
      <c r="AB792" s="403">
        <f t="shared" si="839"/>
        <v>3146700090.6999998</v>
      </c>
      <c r="AC792" s="326">
        <f t="shared" si="949"/>
        <v>1</v>
      </c>
    </row>
    <row r="793" spans="1:29" ht="39" hidden="1" thickBot="1" x14ac:dyDescent="0.25">
      <c r="A793" s="424"/>
      <c r="B793" s="323" t="s">
        <v>1756</v>
      </c>
      <c r="C793" s="206" t="s">
        <v>1757</v>
      </c>
      <c r="D793" s="281"/>
      <c r="E793" s="325">
        <f>SUM('ADICIONES  2021'!C793:N793)</f>
        <v>2369302779</v>
      </c>
      <c r="F793" s="281"/>
      <c r="G793" s="281"/>
      <c r="H793" s="281"/>
      <c r="I793" s="281"/>
      <c r="J793" s="281"/>
      <c r="K793" s="281">
        <f t="shared" si="834"/>
        <v>2369302779</v>
      </c>
      <c r="L793" s="281"/>
      <c r="M793" s="281"/>
      <c r="N793" s="281"/>
      <c r="O793" s="281"/>
      <c r="P793" s="281"/>
      <c r="Q793" s="281"/>
      <c r="R793" s="281">
        <f t="shared" si="929"/>
        <v>0</v>
      </c>
      <c r="S793" s="281">
        <v>2369302779</v>
      </c>
      <c r="T793" s="281"/>
      <c r="U793" s="281"/>
      <c r="V793" s="281"/>
      <c r="W793" s="281"/>
      <c r="X793" s="281">
        <v>0</v>
      </c>
      <c r="Y793" s="281"/>
      <c r="Z793" s="281"/>
      <c r="AA793" s="281">
        <f t="shared" si="946"/>
        <v>2369302779</v>
      </c>
      <c r="AB793" s="403">
        <f t="shared" si="839"/>
        <v>2369302779</v>
      </c>
      <c r="AC793" s="326">
        <f t="shared" si="949"/>
        <v>1</v>
      </c>
    </row>
    <row r="794" spans="1:29" ht="39" hidden="1" thickBot="1" x14ac:dyDescent="0.25">
      <c r="A794" s="424"/>
      <c r="B794" s="323" t="s">
        <v>1758</v>
      </c>
      <c r="C794" s="206" t="s">
        <v>1759</v>
      </c>
      <c r="D794" s="281"/>
      <c r="E794" s="325">
        <f>SUM('ADICIONES  2021'!C794:N794)</f>
        <v>576779027.73000002</v>
      </c>
      <c r="F794" s="281"/>
      <c r="G794" s="281"/>
      <c r="H794" s="281"/>
      <c r="I794" s="281"/>
      <c r="J794" s="281"/>
      <c r="K794" s="281">
        <f t="shared" si="834"/>
        <v>576779027.73000002</v>
      </c>
      <c r="L794" s="281"/>
      <c r="M794" s="281"/>
      <c r="N794" s="281"/>
      <c r="O794" s="281"/>
      <c r="P794" s="281"/>
      <c r="Q794" s="281"/>
      <c r="R794" s="281">
        <f t="shared" si="929"/>
        <v>0</v>
      </c>
      <c r="S794" s="281">
        <v>576779027.73000002</v>
      </c>
      <c r="T794" s="281"/>
      <c r="U794" s="281"/>
      <c r="V794" s="281"/>
      <c r="W794" s="281"/>
      <c r="X794" s="281">
        <v>0</v>
      </c>
      <c r="Y794" s="281"/>
      <c r="Z794" s="281"/>
      <c r="AA794" s="281">
        <f t="shared" si="946"/>
        <v>576779027.73000002</v>
      </c>
      <c r="AB794" s="403">
        <f t="shared" si="839"/>
        <v>576779027.73000002</v>
      </c>
      <c r="AC794" s="326">
        <f t="shared" si="949"/>
        <v>1</v>
      </c>
    </row>
    <row r="795" spans="1:29" ht="39" hidden="1" thickBot="1" x14ac:dyDescent="0.25">
      <c r="A795" s="424"/>
      <c r="B795" s="323" t="s">
        <v>1760</v>
      </c>
      <c r="C795" s="206" t="s">
        <v>1761</v>
      </c>
      <c r="D795" s="281"/>
      <c r="E795" s="325">
        <f>SUM('ADICIONES  2021'!C795:N795)</f>
        <v>108000000</v>
      </c>
      <c r="F795" s="281"/>
      <c r="G795" s="281"/>
      <c r="H795" s="281"/>
      <c r="I795" s="281"/>
      <c r="J795" s="281"/>
      <c r="K795" s="281">
        <f t="shared" si="834"/>
        <v>108000000</v>
      </c>
      <c r="L795" s="281"/>
      <c r="M795" s="281"/>
      <c r="N795" s="281"/>
      <c r="O795" s="281"/>
      <c r="P795" s="281"/>
      <c r="Q795" s="281"/>
      <c r="R795" s="281">
        <f t="shared" si="929"/>
        <v>0</v>
      </c>
      <c r="S795" s="281">
        <v>108000000</v>
      </c>
      <c r="T795" s="281"/>
      <c r="U795" s="281"/>
      <c r="V795" s="281"/>
      <c r="W795" s="281"/>
      <c r="X795" s="281">
        <v>0</v>
      </c>
      <c r="Y795" s="281"/>
      <c r="Z795" s="281"/>
      <c r="AA795" s="281">
        <f t="shared" si="946"/>
        <v>108000000</v>
      </c>
      <c r="AB795" s="403">
        <f t="shared" si="839"/>
        <v>108000000</v>
      </c>
      <c r="AC795" s="326">
        <f t="shared" si="949"/>
        <v>1</v>
      </c>
    </row>
    <row r="796" spans="1:29" ht="39" hidden="1" thickBot="1" x14ac:dyDescent="0.25">
      <c r="A796" s="424"/>
      <c r="B796" s="323" t="s">
        <v>1762</v>
      </c>
      <c r="C796" s="206" t="s">
        <v>1763</v>
      </c>
      <c r="D796" s="281"/>
      <c r="E796" s="325">
        <f>SUM('ADICIONES  2021'!C796:N796)</f>
        <v>896854534.5</v>
      </c>
      <c r="F796" s="281"/>
      <c r="G796" s="281"/>
      <c r="H796" s="281"/>
      <c r="I796" s="281"/>
      <c r="J796" s="281"/>
      <c r="K796" s="281">
        <f t="shared" si="834"/>
        <v>896854534.5</v>
      </c>
      <c r="L796" s="281"/>
      <c r="M796" s="281"/>
      <c r="N796" s="281"/>
      <c r="O796" s="281"/>
      <c r="P796" s="281"/>
      <c r="Q796" s="281"/>
      <c r="R796" s="281">
        <f t="shared" si="929"/>
        <v>0</v>
      </c>
      <c r="S796" s="281">
        <v>896854534.5</v>
      </c>
      <c r="T796" s="281"/>
      <c r="U796" s="281"/>
      <c r="V796" s="281"/>
      <c r="W796" s="281"/>
      <c r="X796" s="281">
        <v>0</v>
      </c>
      <c r="Y796" s="281"/>
      <c r="Z796" s="281"/>
      <c r="AA796" s="281">
        <f t="shared" si="946"/>
        <v>896854534.5</v>
      </c>
      <c r="AB796" s="403">
        <f t="shared" si="839"/>
        <v>896854534.5</v>
      </c>
      <c r="AC796" s="326">
        <f t="shared" si="949"/>
        <v>1</v>
      </c>
    </row>
    <row r="797" spans="1:29" ht="39" hidden="1" thickBot="1" x14ac:dyDescent="0.25">
      <c r="A797" s="424"/>
      <c r="B797" s="323" t="s">
        <v>1764</v>
      </c>
      <c r="C797" s="206" t="s">
        <v>1765</v>
      </c>
      <c r="D797" s="281"/>
      <c r="E797" s="325">
        <f>SUM('ADICIONES  2021'!C797:N797)</f>
        <v>3884758760.5799999</v>
      </c>
      <c r="F797" s="281"/>
      <c r="G797" s="281"/>
      <c r="H797" s="281"/>
      <c r="I797" s="281"/>
      <c r="J797" s="281"/>
      <c r="K797" s="281">
        <f t="shared" si="834"/>
        <v>3884758760.5799999</v>
      </c>
      <c r="L797" s="281"/>
      <c r="M797" s="281"/>
      <c r="N797" s="281"/>
      <c r="O797" s="281"/>
      <c r="P797" s="281"/>
      <c r="Q797" s="281"/>
      <c r="R797" s="281">
        <f t="shared" si="929"/>
        <v>0</v>
      </c>
      <c r="S797" s="281">
        <v>3884758760.5799999</v>
      </c>
      <c r="T797" s="281"/>
      <c r="U797" s="281"/>
      <c r="V797" s="281"/>
      <c r="W797" s="281"/>
      <c r="X797" s="281">
        <v>0</v>
      </c>
      <c r="Y797" s="281"/>
      <c r="Z797" s="281"/>
      <c r="AA797" s="281">
        <f t="shared" si="946"/>
        <v>3884758760.5799999</v>
      </c>
      <c r="AB797" s="403">
        <f t="shared" si="839"/>
        <v>3884758760.5799999</v>
      </c>
      <c r="AC797" s="326">
        <f t="shared" si="949"/>
        <v>1</v>
      </c>
    </row>
    <row r="798" spans="1:29" ht="39" hidden="1" thickBot="1" x14ac:dyDescent="0.25">
      <c r="A798" s="424"/>
      <c r="B798" s="323" t="s">
        <v>1766</v>
      </c>
      <c r="C798" s="206" t="s">
        <v>1767</v>
      </c>
      <c r="D798" s="281"/>
      <c r="E798" s="325">
        <f>SUM('ADICIONES  2021'!C798:N798)</f>
        <v>386354618.76999998</v>
      </c>
      <c r="F798" s="281"/>
      <c r="G798" s="281"/>
      <c r="H798" s="281"/>
      <c r="I798" s="281"/>
      <c r="J798" s="281"/>
      <c r="K798" s="281">
        <f t="shared" si="834"/>
        <v>386354618.76999998</v>
      </c>
      <c r="L798" s="281"/>
      <c r="M798" s="281"/>
      <c r="N798" s="281"/>
      <c r="O798" s="281"/>
      <c r="P798" s="281"/>
      <c r="Q798" s="281"/>
      <c r="R798" s="281">
        <f t="shared" si="929"/>
        <v>0</v>
      </c>
      <c r="S798" s="281">
        <v>386354618.76999998</v>
      </c>
      <c r="T798" s="281"/>
      <c r="U798" s="281"/>
      <c r="V798" s="281"/>
      <c r="W798" s="281"/>
      <c r="X798" s="281">
        <v>0</v>
      </c>
      <c r="Y798" s="281"/>
      <c r="Z798" s="281"/>
      <c r="AA798" s="281">
        <f t="shared" si="946"/>
        <v>386354618.76999998</v>
      </c>
      <c r="AB798" s="403">
        <f t="shared" si="839"/>
        <v>386354618.76999998</v>
      </c>
      <c r="AC798" s="326">
        <f t="shared" si="949"/>
        <v>1</v>
      </c>
    </row>
    <row r="799" spans="1:29" ht="39" hidden="1" thickBot="1" x14ac:dyDescent="0.25">
      <c r="A799" s="424"/>
      <c r="B799" s="323" t="s">
        <v>1768</v>
      </c>
      <c r="C799" s="206" t="s">
        <v>1769</v>
      </c>
      <c r="D799" s="281"/>
      <c r="E799" s="325">
        <f>SUM('ADICIONES  2021'!C799:N799)</f>
        <v>2626193816.73</v>
      </c>
      <c r="F799" s="281"/>
      <c r="G799" s="281"/>
      <c r="H799" s="281"/>
      <c r="I799" s="281"/>
      <c r="J799" s="281"/>
      <c r="K799" s="281">
        <f t="shared" si="834"/>
        <v>2626193816.73</v>
      </c>
      <c r="L799" s="281"/>
      <c r="M799" s="281"/>
      <c r="N799" s="281"/>
      <c r="O799" s="281"/>
      <c r="P799" s="281"/>
      <c r="Q799" s="281"/>
      <c r="R799" s="281">
        <f t="shared" si="929"/>
        <v>0</v>
      </c>
      <c r="S799" s="281">
        <v>2626193816.73</v>
      </c>
      <c r="T799" s="281"/>
      <c r="U799" s="281"/>
      <c r="V799" s="281"/>
      <c r="W799" s="281"/>
      <c r="X799" s="281">
        <v>0</v>
      </c>
      <c r="Y799" s="281"/>
      <c r="Z799" s="281"/>
      <c r="AA799" s="281">
        <f t="shared" si="946"/>
        <v>2626193816.73</v>
      </c>
      <c r="AB799" s="403">
        <f t="shared" si="839"/>
        <v>2626193816.73</v>
      </c>
      <c r="AC799" s="326">
        <f t="shared" si="949"/>
        <v>1</v>
      </c>
    </row>
    <row r="800" spans="1:29" ht="39" hidden="1" thickBot="1" x14ac:dyDescent="0.25">
      <c r="A800" s="424"/>
      <c r="B800" s="323" t="s">
        <v>1770</v>
      </c>
      <c r="C800" s="206" t="s">
        <v>1771</v>
      </c>
      <c r="D800" s="281"/>
      <c r="E800" s="325">
        <f>SUM('ADICIONES  2021'!C800:N800)</f>
        <v>60263011.100000001</v>
      </c>
      <c r="F800" s="281"/>
      <c r="G800" s="281"/>
      <c r="H800" s="281"/>
      <c r="I800" s="281"/>
      <c r="J800" s="281"/>
      <c r="K800" s="281">
        <f t="shared" si="834"/>
        <v>60263011.100000001</v>
      </c>
      <c r="L800" s="281"/>
      <c r="M800" s="281"/>
      <c r="N800" s="281"/>
      <c r="O800" s="281"/>
      <c r="P800" s="281"/>
      <c r="Q800" s="281"/>
      <c r="R800" s="281">
        <f t="shared" si="929"/>
        <v>0</v>
      </c>
      <c r="S800" s="281">
        <v>60263011.100000001</v>
      </c>
      <c r="T800" s="281"/>
      <c r="U800" s="281"/>
      <c r="V800" s="281"/>
      <c r="W800" s="281"/>
      <c r="X800" s="281">
        <v>0</v>
      </c>
      <c r="Y800" s="281"/>
      <c r="Z800" s="281"/>
      <c r="AA800" s="281">
        <f t="shared" si="946"/>
        <v>60263011.100000001</v>
      </c>
      <c r="AB800" s="403">
        <f t="shared" si="839"/>
        <v>60263011.100000001</v>
      </c>
      <c r="AC800" s="326">
        <f t="shared" si="949"/>
        <v>1</v>
      </c>
    </row>
    <row r="801" spans="1:29" ht="39" hidden="1" thickBot="1" x14ac:dyDescent="0.25">
      <c r="A801" s="424"/>
      <c r="B801" s="323" t="s">
        <v>1772</v>
      </c>
      <c r="C801" s="206" t="s">
        <v>1773</v>
      </c>
      <c r="D801" s="281"/>
      <c r="E801" s="325">
        <f>SUM('ADICIONES  2021'!C801:N801)</f>
        <v>454531370</v>
      </c>
      <c r="F801" s="281"/>
      <c r="G801" s="281"/>
      <c r="H801" s="281"/>
      <c r="I801" s="281"/>
      <c r="J801" s="281"/>
      <c r="K801" s="281">
        <f t="shared" si="834"/>
        <v>454531370</v>
      </c>
      <c r="L801" s="281"/>
      <c r="M801" s="281"/>
      <c r="N801" s="281"/>
      <c r="O801" s="281"/>
      <c r="P801" s="281"/>
      <c r="Q801" s="281"/>
      <c r="R801" s="281">
        <f t="shared" si="929"/>
        <v>0</v>
      </c>
      <c r="S801" s="281">
        <v>454531370</v>
      </c>
      <c r="T801" s="281"/>
      <c r="U801" s="281"/>
      <c r="V801" s="281"/>
      <c r="W801" s="281"/>
      <c r="X801" s="281">
        <v>0</v>
      </c>
      <c r="Y801" s="281"/>
      <c r="Z801" s="281"/>
      <c r="AA801" s="281">
        <f t="shared" si="946"/>
        <v>454531370</v>
      </c>
      <c r="AB801" s="403">
        <f t="shared" si="839"/>
        <v>454531370</v>
      </c>
      <c r="AC801" s="326">
        <f t="shared" si="949"/>
        <v>1</v>
      </c>
    </row>
    <row r="802" spans="1:29" ht="39" hidden="1" thickBot="1" x14ac:dyDescent="0.25">
      <c r="A802" s="424"/>
      <c r="B802" s="323" t="s">
        <v>1774</v>
      </c>
      <c r="C802" s="206" t="s">
        <v>1775</v>
      </c>
      <c r="D802" s="281"/>
      <c r="E802" s="325">
        <f>SUM('ADICIONES  2021'!C802:N802)</f>
        <v>881070078.24000001</v>
      </c>
      <c r="F802" s="281"/>
      <c r="G802" s="281"/>
      <c r="H802" s="281"/>
      <c r="I802" s="281"/>
      <c r="J802" s="281"/>
      <c r="K802" s="281">
        <f t="shared" si="834"/>
        <v>881070078.24000001</v>
      </c>
      <c r="L802" s="281"/>
      <c r="M802" s="281"/>
      <c r="N802" s="281"/>
      <c r="O802" s="281"/>
      <c r="P802" s="281"/>
      <c r="Q802" s="281"/>
      <c r="R802" s="281">
        <f t="shared" si="929"/>
        <v>0</v>
      </c>
      <c r="S802" s="281">
        <v>881070078.24000001</v>
      </c>
      <c r="T802" s="281"/>
      <c r="U802" s="281"/>
      <c r="V802" s="281"/>
      <c r="W802" s="281"/>
      <c r="X802" s="281">
        <v>0</v>
      </c>
      <c r="Y802" s="281"/>
      <c r="Z802" s="281"/>
      <c r="AA802" s="281">
        <f t="shared" si="946"/>
        <v>881070078.24000001</v>
      </c>
      <c r="AB802" s="403">
        <f t="shared" si="839"/>
        <v>881070078.24000001</v>
      </c>
      <c r="AC802" s="326">
        <f t="shared" si="949"/>
        <v>1</v>
      </c>
    </row>
    <row r="803" spans="1:29" ht="39" hidden="1" thickBot="1" x14ac:dyDescent="0.25">
      <c r="A803" s="424"/>
      <c r="B803" s="323" t="s">
        <v>1776</v>
      </c>
      <c r="C803" s="206" t="s">
        <v>1777</v>
      </c>
      <c r="D803" s="281"/>
      <c r="E803" s="325">
        <f>SUM('ADICIONES  2021'!C803:N803)</f>
        <v>361244499.5</v>
      </c>
      <c r="F803" s="281"/>
      <c r="G803" s="281"/>
      <c r="H803" s="281"/>
      <c r="I803" s="281"/>
      <c r="J803" s="281"/>
      <c r="K803" s="281">
        <f t="shared" si="834"/>
        <v>361244499.5</v>
      </c>
      <c r="L803" s="281"/>
      <c r="M803" s="281"/>
      <c r="N803" s="281"/>
      <c r="O803" s="281"/>
      <c r="P803" s="281"/>
      <c r="Q803" s="281"/>
      <c r="R803" s="281">
        <f t="shared" si="929"/>
        <v>0</v>
      </c>
      <c r="S803" s="281">
        <v>361244499.5</v>
      </c>
      <c r="T803" s="281"/>
      <c r="U803" s="281"/>
      <c r="V803" s="281"/>
      <c r="W803" s="281"/>
      <c r="X803" s="281">
        <v>0</v>
      </c>
      <c r="Y803" s="281"/>
      <c r="Z803" s="281"/>
      <c r="AA803" s="281">
        <f t="shared" si="946"/>
        <v>361244499.5</v>
      </c>
      <c r="AB803" s="403">
        <f t="shared" si="839"/>
        <v>361244499.5</v>
      </c>
      <c r="AC803" s="326">
        <f t="shared" si="949"/>
        <v>1</v>
      </c>
    </row>
    <row r="804" spans="1:29" ht="39" hidden="1" thickBot="1" x14ac:dyDescent="0.25">
      <c r="A804" s="424"/>
      <c r="B804" s="323" t="s">
        <v>1778</v>
      </c>
      <c r="C804" s="206" t="s">
        <v>1779</v>
      </c>
      <c r="D804" s="281"/>
      <c r="E804" s="325">
        <f>SUM('ADICIONES  2021'!C804:N804)</f>
        <v>245208094.47999999</v>
      </c>
      <c r="F804" s="281"/>
      <c r="G804" s="281"/>
      <c r="H804" s="281"/>
      <c r="I804" s="281"/>
      <c r="J804" s="281"/>
      <c r="K804" s="281">
        <f t="shared" si="834"/>
        <v>245208094.47999999</v>
      </c>
      <c r="L804" s="281"/>
      <c r="M804" s="281"/>
      <c r="N804" s="281"/>
      <c r="O804" s="281"/>
      <c r="P804" s="281"/>
      <c r="Q804" s="281"/>
      <c r="R804" s="281">
        <f t="shared" si="929"/>
        <v>0</v>
      </c>
      <c r="S804" s="281">
        <v>245208094.47999999</v>
      </c>
      <c r="T804" s="281"/>
      <c r="U804" s="281"/>
      <c r="V804" s="281"/>
      <c r="W804" s="281"/>
      <c r="X804" s="281">
        <v>0</v>
      </c>
      <c r="Y804" s="281"/>
      <c r="Z804" s="281"/>
      <c r="AA804" s="281">
        <f t="shared" si="946"/>
        <v>245208094.47999999</v>
      </c>
      <c r="AB804" s="403">
        <f t="shared" si="839"/>
        <v>245208094.47999999</v>
      </c>
      <c r="AC804" s="326">
        <f t="shared" si="949"/>
        <v>1</v>
      </c>
    </row>
    <row r="805" spans="1:29" ht="39" hidden="1" thickBot="1" x14ac:dyDescent="0.25">
      <c r="A805" s="424"/>
      <c r="B805" s="323" t="s">
        <v>1780</v>
      </c>
      <c r="C805" s="206" t="s">
        <v>1781</v>
      </c>
      <c r="D805" s="281"/>
      <c r="E805" s="325">
        <f>SUM('ADICIONES  2021'!C805:N805)</f>
        <v>126838929.55</v>
      </c>
      <c r="F805" s="281"/>
      <c r="G805" s="281"/>
      <c r="H805" s="281"/>
      <c r="I805" s="281"/>
      <c r="J805" s="281"/>
      <c r="K805" s="281">
        <f t="shared" si="834"/>
        <v>126838929.55</v>
      </c>
      <c r="L805" s="281"/>
      <c r="M805" s="281"/>
      <c r="N805" s="281"/>
      <c r="O805" s="281"/>
      <c r="P805" s="281"/>
      <c r="Q805" s="281"/>
      <c r="R805" s="281">
        <f t="shared" si="929"/>
        <v>0</v>
      </c>
      <c r="S805" s="281">
        <v>126838929.55</v>
      </c>
      <c r="T805" s="281"/>
      <c r="U805" s="281"/>
      <c r="V805" s="281"/>
      <c r="W805" s="281"/>
      <c r="X805" s="281">
        <v>0</v>
      </c>
      <c r="Y805" s="281"/>
      <c r="Z805" s="281"/>
      <c r="AA805" s="281">
        <f t="shared" si="946"/>
        <v>126838929.55</v>
      </c>
      <c r="AB805" s="403">
        <f t="shared" si="839"/>
        <v>126838929.55</v>
      </c>
      <c r="AC805" s="326">
        <f t="shared" si="949"/>
        <v>1</v>
      </c>
    </row>
    <row r="806" spans="1:29" ht="39" hidden="1" thickBot="1" x14ac:dyDescent="0.25">
      <c r="A806" s="424"/>
      <c r="B806" s="323" t="s">
        <v>1782</v>
      </c>
      <c r="C806" s="206" t="s">
        <v>1783</v>
      </c>
      <c r="D806" s="281"/>
      <c r="E806" s="325">
        <f>SUM('ADICIONES  2021'!C806:N806)</f>
        <v>1654927335.5699999</v>
      </c>
      <c r="F806" s="281"/>
      <c r="G806" s="281"/>
      <c r="H806" s="281"/>
      <c r="I806" s="281"/>
      <c r="J806" s="281"/>
      <c r="K806" s="281">
        <f t="shared" si="834"/>
        <v>1654927335.5699999</v>
      </c>
      <c r="L806" s="281"/>
      <c r="M806" s="281"/>
      <c r="N806" s="281"/>
      <c r="O806" s="281"/>
      <c r="P806" s="281"/>
      <c r="Q806" s="281"/>
      <c r="R806" s="281">
        <f t="shared" si="929"/>
        <v>0</v>
      </c>
      <c r="S806" s="281">
        <v>1654927335.5699999</v>
      </c>
      <c r="T806" s="281"/>
      <c r="U806" s="281"/>
      <c r="V806" s="281"/>
      <c r="W806" s="281"/>
      <c r="X806" s="281">
        <v>0</v>
      </c>
      <c r="Y806" s="281"/>
      <c r="Z806" s="281"/>
      <c r="AA806" s="281">
        <f t="shared" si="946"/>
        <v>1654927335.5699999</v>
      </c>
      <c r="AB806" s="403">
        <f t="shared" si="839"/>
        <v>1654927335.5699999</v>
      </c>
      <c r="AC806" s="326">
        <f t="shared" si="949"/>
        <v>1</v>
      </c>
    </row>
    <row r="807" spans="1:29" ht="39" hidden="1" thickBot="1" x14ac:dyDescent="0.25">
      <c r="A807" s="424"/>
      <c r="B807" s="323" t="s">
        <v>1784</v>
      </c>
      <c r="C807" s="206" t="s">
        <v>1785</v>
      </c>
      <c r="D807" s="281"/>
      <c r="E807" s="325">
        <f>SUM('ADICIONES  2021'!C807:N807)</f>
        <v>836739879.01999998</v>
      </c>
      <c r="F807" s="281"/>
      <c r="G807" s="281"/>
      <c r="H807" s="281"/>
      <c r="I807" s="281"/>
      <c r="J807" s="281"/>
      <c r="K807" s="281">
        <f t="shared" si="834"/>
        <v>836739879.01999998</v>
      </c>
      <c r="L807" s="281"/>
      <c r="M807" s="281"/>
      <c r="N807" s="281"/>
      <c r="O807" s="281"/>
      <c r="P807" s="281"/>
      <c r="Q807" s="281"/>
      <c r="R807" s="281">
        <f t="shared" si="929"/>
        <v>0</v>
      </c>
      <c r="S807" s="281">
        <v>836739879.01999998</v>
      </c>
      <c r="T807" s="281"/>
      <c r="U807" s="281"/>
      <c r="V807" s="281"/>
      <c r="W807" s="281"/>
      <c r="X807" s="281">
        <v>0</v>
      </c>
      <c r="Y807" s="281"/>
      <c r="Z807" s="281"/>
      <c r="AA807" s="281">
        <f t="shared" si="946"/>
        <v>836739879.01999998</v>
      </c>
      <c r="AB807" s="403">
        <f t="shared" si="839"/>
        <v>836739879.01999998</v>
      </c>
      <c r="AC807" s="326">
        <f t="shared" si="949"/>
        <v>1</v>
      </c>
    </row>
    <row r="808" spans="1:29" ht="26.25" hidden="1" thickBot="1" x14ac:dyDescent="0.25">
      <c r="A808" s="424"/>
      <c r="B808" s="323" t="s">
        <v>1786</v>
      </c>
      <c r="C808" s="206" t="s">
        <v>1787</v>
      </c>
      <c r="D808" s="281"/>
      <c r="E808" s="325">
        <f>SUM('ADICIONES  2021'!C808:N808)</f>
        <v>756285670.79999995</v>
      </c>
      <c r="F808" s="281"/>
      <c r="G808" s="281"/>
      <c r="H808" s="281"/>
      <c r="I808" s="281"/>
      <c r="J808" s="281"/>
      <c r="K808" s="281">
        <f t="shared" si="834"/>
        <v>756285670.79999995</v>
      </c>
      <c r="L808" s="281"/>
      <c r="M808" s="281"/>
      <c r="N808" s="281"/>
      <c r="O808" s="281"/>
      <c r="P808" s="281"/>
      <c r="Q808" s="281"/>
      <c r="R808" s="281">
        <f t="shared" si="929"/>
        <v>0</v>
      </c>
      <c r="S808" s="281">
        <v>756285670.79999995</v>
      </c>
      <c r="T808" s="281"/>
      <c r="U808" s="281"/>
      <c r="V808" s="281"/>
      <c r="W808" s="281"/>
      <c r="X808" s="281">
        <v>0</v>
      </c>
      <c r="Y808" s="281"/>
      <c r="Z808" s="281"/>
      <c r="AA808" s="281">
        <f t="shared" si="946"/>
        <v>756285670.79999995</v>
      </c>
      <c r="AB808" s="403">
        <f t="shared" si="839"/>
        <v>756285670.79999995</v>
      </c>
      <c r="AC808" s="326">
        <f t="shared" si="949"/>
        <v>1</v>
      </c>
    </row>
    <row r="809" spans="1:29" ht="39" hidden="1" thickBot="1" x14ac:dyDescent="0.25">
      <c r="A809" s="424"/>
      <c r="B809" s="323" t="s">
        <v>1788</v>
      </c>
      <c r="C809" s="206" t="s">
        <v>1789</v>
      </c>
      <c r="D809" s="281"/>
      <c r="E809" s="325">
        <f>SUM('ADICIONES  2021'!C809:N809)</f>
        <v>15000000000</v>
      </c>
      <c r="F809" s="281"/>
      <c r="G809" s="281"/>
      <c r="H809" s="281"/>
      <c r="I809" s="281"/>
      <c r="J809" s="281"/>
      <c r="K809" s="281">
        <f t="shared" si="834"/>
        <v>15000000000</v>
      </c>
      <c r="L809" s="281"/>
      <c r="M809" s="281"/>
      <c r="N809" s="281"/>
      <c r="O809" s="281"/>
      <c r="P809" s="281"/>
      <c r="Q809" s="281"/>
      <c r="R809" s="281">
        <f t="shared" si="929"/>
        <v>0</v>
      </c>
      <c r="S809" s="281">
        <v>0</v>
      </c>
      <c r="T809" s="281"/>
      <c r="U809" s="281"/>
      <c r="V809" s="281"/>
      <c r="W809" s="281"/>
      <c r="X809" s="281">
        <v>15000000000</v>
      </c>
      <c r="Y809" s="281"/>
      <c r="Z809" s="281"/>
      <c r="AA809" s="281">
        <f t="shared" si="946"/>
        <v>15000000000</v>
      </c>
      <c r="AB809" s="403">
        <f t="shared" si="839"/>
        <v>15000000000</v>
      </c>
      <c r="AC809" s="326">
        <f t="shared" si="949"/>
        <v>1</v>
      </c>
    </row>
    <row r="810" spans="1:29" ht="26.25" hidden="1" thickBot="1" x14ac:dyDescent="0.25">
      <c r="A810" s="424"/>
      <c r="B810" s="323" t="s">
        <v>1790</v>
      </c>
      <c r="C810" s="206" t="s">
        <v>1791</v>
      </c>
      <c r="D810" s="281"/>
      <c r="E810" s="325">
        <f>SUM('ADICIONES  2021'!C810:N810)</f>
        <v>999896762</v>
      </c>
      <c r="F810" s="281"/>
      <c r="G810" s="281"/>
      <c r="H810" s="281"/>
      <c r="I810" s="281"/>
      <c r="J810" s="281"/>
      <c r="K810" s="281">
        <f t="shared" si="834"/>
        <v>999896762</v>
      </c>
      <c r="L810" s="281"/>
      <c r="M810" s="281"/>
      <c r="N810" s="281"/>
      <c r="O810" s="281"/>
      <c r="P810" s="281"/>
      <c r="Q810" s="281"/>
      <c r="R810" s="281">
        <f t="shared" si="929"/>
        <v>0</v>
      </c>
      <c r="S810" s="281">
        <v>0</v>
      </c>
      <c r="T810" s="281"/>
      <c r="U810" s="281"/>
      <c r="V810" s="281"/>
      <c r="W810" s="281"/>
      <c r="X810" s="281">
        <v>0</v>
      </c>
      <c r="Y810" s="281"/>
      <c r="Z810" s="281"/>
      <c r="AA810" s="281">
        <f t="shared" si="946"/>
        <v>0</v>
      </c>
      <c r="AB810" s="403">
        <f t="shared" si="839"/>
        <v>0</v>
      </c>
      <c r="AC810" s="326">
        <f t="shared" si="949"/>
        <v>0</v>
      </c>
    </row>
    <row r="811" spans="1:29" ht="51.75" hidden="1" thickBot="1" x14ac:dyDescent="0.25">
      <c r="A811" s="424"/>
      <c r="B811" s="323" t="s">
        <v>1792</v>
      </c>
      <c r="C811" s="206" t="s">
        <v>1793</v>
      </c>
      <c r="D811" s="281"/>
      <c r="E811" s="325">
        <f>SUM('ADICIONES  2021'!C811:N811)</f>
        <v>324093620.44999999</v>
      </c>
      <c r="F811" s="281"/>
      <c r="G811" s="281"/>
      <c r="H811" s="281"/>
      <c r="I811" s="281"/>
      <c r="J811" s="281"/>
      <c r="K811" s="281">
        <f t="shared" si="834"/>
        <v>324093620.44999999</v>
      </c>
      <c r="L811" s="281"/>
      <c r="M811" s="281"/>
      <c r="N811" s="281"/>
      <c r="O811" s="281"/>
      <c r="P811" s="281"/>
      <c r="Q811" s="281"/>
      <c r="R811" s="281">
        <f t="shared" si="929"/>
        <v>0</v>
      </c>
      <c r="S811" s="281">
        <v>65597968.93</v>
      </c>
      <c r="T811" s="281"/>
      <c r="U811" s="281"/>
      <c r="V811" s="281"/>
      <c r="W811" s="281"/>
      <c r="X811" s="281">
        <v>258495651.52000001</v>
      </c>
      <c r="Y811" s="281"/>
      <c r="Z811" s="281"/>
      <c r="AA811" s="281">
        <f t="shared" si="946"/>
        <v>324093620.44999999</v>
      </c>
      <c r="AB811" s="403">
        <f t="shared" si="839"/>
        <v>324093620.44999999</v>
      </c>
      <c r="AC811" s="326">
        <f t="shared" si="949"/>
        <v>1</v>
      </c>
    </row>
    <row r="812" spans="1:29" ht="39" hidden="1" thickBot="1" x14ac:dyDescent="0.25">
      <c r="A812" s="424"/>
      <c r="B812" s="323" t="s">
        <v>1794</v>
      </c>
      <c r="C812" s="206" t="s">
        <v>1795</v>
      </c>
      <c r="D812" s="281"/>
      <c r="E812" s="325">
        <f>SUM('ADICIONES  2021'!C812:N812)</f>
        <v>248932465.52000001</v>
      </c>
      <c r="F812" s="281"/>
      <c r="G812" s="281"/>
      <c r="H812" s="281"/>
      <c r="I812" s="281"/>
      <c r="J812" s="281"/>
      <c r="K812" s="281">
        <f t="shared" si="834"/>
        <v>248932465.52000001</v>
      </c>
      <c r="L812" s="281"/>
      <c r="M812" s="281"/>
      <c r="N812" s="281"/>
      <c r="O812" s="281"/>
      <c r="P812" s="281"/>
      <c r="Q812" s="281"/>
      <c r="R812" s="281">
        <f t="shared" si="929"/>
        <v>0</v>
      </c>
      <c r="S812" s="281">
        <v>248932465.52000001</v>
      </c>
      <c r="T812" s="281"/>
      <c r="U812" s="281"/>
      <c r="V812" s="281"/>
      <c r="W812" s="281"/>
      <c r="X812" s="281">
        <v>0</v>
      </c>
      <c r="Y812" s="281"/>
      <c r="Z812" s="281"/>
      <c r="AA812" s="281">
        <f t="shared" si="946"/>
        <v>248932465.52000001</v>
      </c>
      <c r="AB812" s="403">
        <f t="shared" si="839"/>
        <v>248932465.52000001</v>
      </c>
      <c r="AC812" s="326">
        <f t="shared" si="949"/>
        <v>1</v>
      </c>
    </row>
    <row r="813" spans="1:29" ht="39" hidden="1" thickBot="1" x14ac:dyDescent="0.25">
      <c r="A813" s="424"/>
      <c r="B813" s="323" t="s">
        <v>1796</v>
      </c>
      <c r="C813" s="206" t="s">
        <v>1797</v>
      </c>
      <c r="D813" s="281"/>
      <c r="E813" s="325">
        <f>SUM('ADICIONES  2021'!C813:N813)</f>
        <v>262570505</v>
      </c>
      <c r="F813" s="281"/>
      <c r="G813" s="281"/>
      <c r="H813" s="281"/>
      <c r="I813" s="281"/>
      <c r="J813" s="281"/>
      <c r="K813" s="281">
        <f t="shared" si="834"/>
        <v>262570505</v>
      </c>
      <c r="L813" s="281"/>
      <c r="M813" s="281"/>
      <c r="N813" s="281"/>
      <c r="O813" s="281"/>
      <c r="P813" s="281"/>
      <c r="Q813" s="281"/>
      <c r="R813" s="281">
        <f t="shared" si="929"/>
        <v>0</v>
      </c>
      <c r="S813" s="281">
        <v>262570505</v>
      </c>
      <c r="T813" s="281"/>
      <c r="U813" s="281"/>
      <c r="V813" s="281"/>
      <c r="W813" s="281"/>
      <c r="X813" s="281">
        <v>0</v>
      </c>
      <c r="Y813" s="281"/>
      <c r="Z813" s="281"/>
      <c r="AA813" s="281">
        <f t="shared" si="946"/>
        <v>262570505</v>
      </c>
      <c r="AB813" s="403">
        <f t="shared" si="839"/>
        <v>262570505</v>
      </c>
      <c r="AC813" s="326">
        <f t="shared" si="949"/>
        <v>1</v>
      </c>
    </row>
    <row r="814" spans="1:29" hidden="1" thickBot="1" x14ac:dyDescent="0.25">
      <c r="A814" s="424"/>
      <c r="B814" s="323" t="s">
        <v>1798</v>
      </c>
      <c r="C814" s="206" t="s">
        <v>1799</v>
      </c>
      <c r="D814" s="281"/>
      <c r="E814" s="325">
        <f>SUM('ADICIONES  2021'!C814:N814)</f>
        <v>18594911012.080002</v>
      </c>
      <c r="F814" s="281"/>
      <c r="G814" s="281"/>
      <c r="H814" s="281"/>
      <c r="I814" s="281"/>
      <c r="J814" s="281"/>
      <c r="K814" s="281">
        <f t="shared" si="834"/>
        <v>18594911012.080002</v>
      </c>
      <c r="L814" s="281"/>
      <c r="M814" s="281"/>
      <c r="N814" s="281"/>
      <c r="O814" s="281"/>
      <c r="P814" s="281"/>
      <c r="Q814" s="281"/>
      <c r="R814" s="281">
        <f t="shared" ref="R814:R816" si="952">SUM(L814:Q814)</f>
        <v>0</v>
      </c>
      <c r="S814" s="281">
        <v>18594911012.080002</v>
      </c>
      <c r="T814" s="281"/>
      <c r="U814" s="281"/>
      <c r="V814" s="281"/>
      <c r="W814" s="281"/>
      <c r="X814" s="281">
        <v>0</v>
      </c>
      <c r="Y814" s="281"/>
      <c r="Z814" s="281"/>
      <c r="AA814" s="281">
        <f t="shared" si="946"/>
        <v>18594911012.080002</v>
      </c>
      <c r="AB814" s="403">
        <f t="shared" si="839"/>
        <v>18594911012.080002</v>
      </c>
      <c r="AC814" s="326">
        <f t="shared" si="949"/>
        <v>1</v>
      </c>
    </row>
    <row r="815" spans="1:29" ht="26.25" hidden="1" thickBot="1" x14ac:dyDescent="0.25">
      <c r="A815" s="424"/>
      <c r="B815" s="323" t="s">
        <v>1800</v>
      </c>
      <c r="C815" s="206" t="s">
        <v>1801</v>
      </c>
      <c r="D815" s="281"/>
      <c r="E815" s="325">
        <f>SUM('ADICIONES  2021'!C815:N815)</f>
        <v>1263330116.8699999</v>
      </c>
      <c r="F815" s="281"/>
      <c r="G815" s="281"/>
      <c r="H815" s="281"/>
      <c r="I815" s="281"/>
      <c r="J815" s="281"/>
      <c r="K815" s="281">
        <f t="shared" si="834"/>
        <v>1263330116.8699999</v>
      </c>
      <c r="L815" s="281"/>
      <c r="M815" s="281"/>
      <c r="N815" s="281"/>
      <c r="O815" s="281"/>
      <c r="P815" s="281"/>
      <c r="Q815" s="281"/>
      <c r="R815" s="281">
        <f t="shared" si="952"/>
        <v>0</v>
      </c>
      <c r="S815" s="281">
        <v>1263330116.8699999</v>
      </c>
      <c r="T815" s="281"/>
      <c r="U815" s="281"/>
      <c r="V815" s="281"/>
      <c r="W815" s="281"/>
      <c r="X815" s="281">
        <v>0</v>
      </c>
      <c r="Y815" s="281"/>
      <c r="Z815" s="281"/>
      <c r="AA815" s="281">
        <f t="shared" si="946"/>
        <v>1263330116.8699999</v>
      </c>
      <c r="AB815" s="403">
        <f t="shared" si="839"/>
        <v>1263330116.8699999</v>
      </c>
      <c r="AC815" s="326">
        <f t="shared" si="949"/>
        <v>1</v>
      </c>
    </row>
    <row r="816" spans="1:29" ht="26.25" hidden="1" thickBot="1" x14ac:dyDescent="0.25">
      <c r="A816" s="424"/>
      <c r="B816" s="345" t="s">
        <v>1802</v>
      </c>
      <c r="C816" s="346" t="s">
        <v>1803</v>
      </c>
      <c r="D816" s="286"/>
      <c r="E816" s="325">
        <f>SUM('ADICIONES  2021'!C816:N816)</f>
        <v>14999353.52</v>
      </c>
      <c r="F816" s="286"/>
      <c r="G816" s="286"/>
      <c r="H816" s="286"/>
      <c r="I816" s="286"/>
      <c r="J816" s="286"/>
      <c r="K816" s="286">
        <f t="shared" si="834"/>
        <v>14999353.52</v>
      </c>
      <c r="L816" s="286"/>
      <c r="M816" s="286"/>
      <c r="N816" s="286"/>
      <c r="O816" s="286"/>
      <c r="P816" s="286"/>
      <c r="Q816" s="286"/>
      <c r="R816" s="286">
        <f t="shared" si="952"/>
        <v>0</v>
      </c>
      <c r="S816" s="286">
        <v>14999353.52</v>
      </c>
      <c r="T816" s="286"/>
      <c r="U816" s="286"/>
      <c r="V816" s="286"/>
      <c r="W816" s="286"/>
      <c r="X816" s="286">
        <v>0</v>
      </c>
      <c r="Y816" s="286"/>
      <c r="Z816" s="286"/>
      <c r="AA816" s="286">
        <f t="shared" si="946"/>
        <v>14999353.52</v>
      </c>
      <c r="AB816" s="404">
        <f t="shared" si="839"/>
        <v>14999353.52</v>
      </c>
      <c r="AC816" s="347">
        <f t="shared" si="949"/>
        <v>1</v>
      </c>
    </row>
    <row r="817" spans="1:29" s="381" customFormat="1" ht="19.5" thickBot="1" x14ac:dyDescent="0.25">
      <c r="A817" s="161">
        <v>1</v>
      </c>
      <c r="B817" s="460" t="s">
        <v>49</v>
      </c>
      <c r="C817" s="461"/>
      <c r="D817" s="377">
        <f t="shared" ref="D817:AB817" si="953">+D11+D719</f>
        <v>707007905818</v>
      </c>
      <c r="E817" s="377">
        <f t="shared" si="953"/>
        <v>545235868365.68994</v>
      </c>
      <c r="F817" s="377">
        <f t="shared" si="953"/>
        <v>4977347371</v>
      </c>
      <c r="G817" s="377">
        <f t="shared" si="953"/>
        <v>350000000</v>
      </c>
      <c r="H817" s="377">
        <f t="shared" si="953"/>
        <v>4689016590.2200003</v>
      </c>
      <c r="I817" s="377">
        <f t="shared" si="953"/>
        <v>0</v>
      </c>
      <c r="J817" s="377">
        <f t="shared" si="953"/>
        <v>0</v>
      </c>
      <c r="K817" s="377">
        <f t="shared" si="953"/>
        <v>1242927410222.47</v>
      </c>
      <c r="L817" s="377">
        <f t="shared" si="953"/>
        <v>62802238400.790802</v>
      </c>
      <c r="M817" s="377">
        <f t="shared" si="953"/>
        <v>58423450867.341599</v>
      </c>
      <c r="N817" s="377">
        <f t="shared" si="953"/>
        <v>70401016286.063797</v>
      </c>
      <c r="O817" s="377">
        <f t="shared" si="953"/>
        <v>51327542578.488396</v>
      </c>
      <c r="P817" s="377">
        <f t="shared" si="953"/>
        <v>191151139764.5152</v>
      </c>
      <c r="Q817" s="377">
        <f t="shared" si="953"/>
        <v>67443652601.886795</v>
      </c>
      <c r="R817" s="377">
        <f t="shared" si="953"/>
        <v>501549040499.08661</v>
      </c>
      <c r="S817" s="377">
        <f t="shared" si="953"/>
        <v>129240911428.52921</v>
      </c>
      <c r="T817" s="377">
        <f t="shared" si="953"/>
        <v>56464078521.172798</v>
      </c>
      <c r="U817" s="377">
        <f t="shared" si="953"/>
        <v>86350242629.647995</v>
      </c>
      <c r="V817" s="377">
        <f t="shared" si="953"/>
        <v>44162601290.383598</v>
      </c>
      <c r="W817" s="377">
        <f t="shared" si="953"/>
        <v>92895121143.003204</v>
      </c>
      <c r="X817" s="377">
        <f t="shared" si="953"/>
        <v>150501829544.75558</v>
      </c>
      <c r="Y817" s="377">
        <f t="shared" si="953"/>
        <v>-2240039248.2665138</v>
      </c>
      <c r="Z817" s="377">
        <f t="shared" si="953"/>
        <v>0</v>
      </c>
      <c r="AA817" s="377">
        <f t="shared" si="953"/>
        <v>557374745309.22583</v>
      </c>
      <c r="AB817" s="405">
        <f t="shared" si="953"/>
        <v>1058923785808.3125</v>
      </c>
      <c r="AC817" s="391">
        <f>AB817/K817</f>
        <v>0.85195947655444904</v>
      </c>
    </row>
    <row r="818" spans="1:29" x14ac:dyDescent="0.2">
      <c r="A818" s="96">
        <v>1</v>
      </c>
      <c r="B818" s="348"/>
      <c r="C818" s="117"/>
      <c r="D818" s="349"/>
      <c r="E818" s="350"/>
      <c r="F818" s="287"/>
      <c r="G818" s="287"/>
      <c r="H818" s="351"/>
      <c r="I818" s="287"/>
      <c r="J818" s="287"/>
      <c r="K818" s="287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  <c r="V818" s="287"/>
      <c r="W818" s="287"/>
      <c r="X818" s="287"/>
      <c r="Y818" s="287"/>
      <c r="Z818" s="287"/>
      <c r="AA818" s="287"/>
      <c r="AB818" s="406"/>
      <c r="AC818" s="352"/>
    </row>
    <row r="819" spans="1:29" x14ac:dyDescent="0.2">
      <c r="A819" s="96">
        <v>1</v>
      </c>
      <c r="B819" s="353"/>
      <c r="C819" s="462" t="s">
        <v>21</v>
      </c>
      <c r="D819" s="462"/>
      <c r="E819" s="325"/>
      <c r="F819" s="325"/>
      <c r="G819" s="325"/>
      <c r="H819" s="325"/>
      <c r="I819" s="325"/>
      <c r="J819" s="325"/>
      <c r="K819" s="325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  <c r="AA819" s="281"/>
      <c r="AB819" s="403"/>
      <c r="AC819" s="321"/>
    </row>
    <row r="820" spans="1:29" s="138" customFormat="1" ht="19.5" x14ac:dyDescent="0.2">
      <c r="A820" s="137">
        <v>1</v>
      </c>
      <c r="B820" s="343" t="s">
        <v>381</v>
      </c>
      <c r="C820" s="344" t="s">
        <v>964</v>
      </c>
      <c r="D820" s="293">
        <f>+D821+D1000</f>
        <v>130199862756.89999</v>
      </c>
      <c r="E820" s="320">
        <f>SUM('ADICIONES  2021'!C820:N820)</f>
        <v>114027344799.22</v>
      </c>
      <c r="F820" s="288">
        <f>+F821+F1000</f>
        <v>40440484.68</v>
      </c>
      <c r="G820" s="288">
        <f>+G821+G1000</f>
        <v>4689016590.2200003</v>
      </c>
      <c r="H820" s="288">
        <f>+H821+H1000</f>
        <v>350000000</v>
      </c>
      <c r="I820" s="288">
        <f>+I821+I1000</f>
        <v>0</v>
      </c>
      <c r="J820" s="288">
        <f>+J821+J1000</f>
        <v>0</v>
      </c>
      <c r="K820" s="285">
        <f t="shared" ref="K820:K824" si="954">+D820+E820-F820+G820-H820</f>
        <v>248525783661.66</v>
      </c>
      <c r="L820" s="288">
        <f t="shared" ref="L820:Q820" si="955">+L821+L1000</f>
        <v>14396430252.819202</v>
      </c>
      <c r="M820" s="288">
        <f t="shared" si="955"/>
        <v>9194413809.0683994</v>
      </c>
      <c r="N820" s="288">
        <f t="shared" si="955"/>
        <v>15323833234.066198</v>
      </c>
      <c r="O820" s="288">
        <f t="shared" si="955"/>
        <v>13705612361.3916</v>
      </c>
      <c r="P820" s="288">
        <f t="shared" si="955"/>
        <v>41808421349.804802</v>
      </c>
      <c r="Q820" s="288">
        <f t="shared" si="955"/>
        <v>10783369269.4132</v>
      </c>
      <c r="R820" s="285">
        <f t="shared" ref="R820:R824" si="956">SUM(L820:Q820)</f>
        <v>105212080276.56342</v>
      </c>
      <c r="S820" s="288">
        <f t="shared" ref="S820:Z820" si="957">+S821+S1000</f>
        <v>14792855704.080799</v>
      </c>
      <c r="T820" s="288">
        <f t="shared" si="957"/>
        <v>19941006777.567196</v>
      </c>
      <c r="U820" s="288">
        <f t="shared" si="957"/>
        <v>16920552003.061998</v>
      </c>
      <c r="V820" s="288">
        <f t="shared" si="957"/>
        <v>13228927399.4464</v>
      </c>
      <c r="W820" s="288">
        <f t="shared" si="957"/>
        <v>16454426999.976797</v>
      </c>
      <c r="X820" s="288">
        <f t="shared" si="957"/>
        <v>51349663159.004402</v>
      </c>
      <c r="Y820" s="288">
        <f t="shared" si="957"/>
        <v>1984941009.1207991</v>
      </c>
      <c r="Z820" s="288">
        <f t="shared" si="957"/>
        <v>0</v>
      </c>
      <c r="AA820" s="285">
        <f t="shared" ref="AA820:AA834" si="958">SUM(S820:Z820)</f>
        <v>134672373052.25838</v>
      </c>
      <c r="AB820" s="407">
        <f t="shared" ref="AB820:AB921" si="959">+R820+AA820</f>
        <v>239884453328.82178</v>
      </c>
      <c r="AC820" s="354">
        <f t="shared" ref="AC820:AC921" si="960">+AB820/K820</f>
        <v>0.96522964255249089</v>
      </c>
    </row>
    <row r="821" spans="1:29" s="138" customFormat="1" ht="19.5" x14ac:dyDescent="0.2">
      <c r="A821" s="137">
        <v>1</v>
      </c>
      <c r="B821" s="343" t="s">
        <v>382</v>
      </c>
      <c r="C821" s="344" t="s">
        <v>965</v>
      </c>
      <c r="D821" s="293">
        <f>+D822+D909</f>
        <v>127706050258.17999</v>
      </c>
      <c r="E821" s="320">
        <f>SUM('ADICIONES  2021'!C821:N821)</f>
        <v>81712661122.899994</v>
      </c>
      <c r="F821" s="288">
        <f>+F822+F909</f>
        <v>10534246</v>
      </c>
      <c r="G821" s="288">
        <f>+G822+G909</f>
        <v>4689016590.2200003</v>
      </c>
      <c r="H821" s="288">
        <f>+H822+H909</f>
        <v>350000000</v>
      </c>
      <c r="I821" s="288">
        <f>+I822+I909</f>
        <v>0</v>
      </c>
      <c r="J821" s="288">
        <f>+J822+J909</f>
        <v>0</v>
      </c>
      <c r="K821" s="285">
        <f t="shared" si="954"/>
        <v>213747193725.29999</v>
      </c>
      <c r="L821" s="288">
        <f t="shared" ref="L821:Q821" si="961">+L822+L909</f>
        <v>14171690553.549202</v>
      </c>
      <c r="M821" s="288">
        <f t="shared" si="961"/>
        <v>8990913184.6884003</v>
      </c>
      <c r="N821" s="288">
        <f t="shared" si="961"/>
        <v>14883380024.846199</v>
      </c>
      <c r="O821" s="288">
        <f t="shared" si="961"/>
        <v>13546560062.0916</v>
      </c>
      <c r="P821" s="288">
        <f t="shared" si="961"/>
        <v>20776705362.424801</v>
      </c>
      <c r="Q821" s="288">
        <f t="shared" si="961"/>
        <v>10646838090.623199</v>
      </c>
      <c r="R821" s="285">
        <f t="shared" si="956"/>
        <v>83016087278.223404</v>
      </c>
      <c r="S821" s="288">
        <f t="shared" ref="S821:Z821" si="962">+S822+S909</f>
        <v>14635848508.420799</v>
      </c>
      <c r="T821" s="288">
        <f t="shared" si="962"/>
        <v>19792635095.147198</v>
      </c>
      <c r="U821" s="288">
        <f t="shared" si="962"/>
        <v>16740860705.931999</v>
      </c>
      <c r="V821" s="288">
        <f t="shared" si="962"/>
        <v>12941791059.1264</v>
      </c>
      <c r="W821" s="288">
        <f t="shared" si="962"/>
        <v>16213781926.666798</v>
      </c>
      <c r="X821" s="288">
        <f t="shared" si="962"/>
        <v>51038109253.384399</v>
      </c>
      <c r="Y821" s="288">
        <f t="shared" si="962"/>
        <v>1984941009.1207991</v>
      </c>
      <c r="Z821" s="288">
        <f t="shared" si="962"/>
        <v>0</v>
      </c>
      <c r="AA821" s="285">
        <f t="shared" si="958"/>
        <v>133347967557.79839</v>
      </c>
      <c r="AB821" s="407">
        <f t="shared" si="959"/>
        <v>216364054836.02179</v>
      </c>
      <c r="AC821" s="354">
        <f t="shared" si="960"/>
        <v>1.0122427858121257</v>
      </c>
    </row>
    <row r="822" spans="1:29" s="138" customFormat="1" ht="19.5" x14ac:dyDescent="0.2">
      <c r="A822" s="137">
        <v>1</v>
      </c>
      <c r="B822" s="343" t="s">
        <v>383</v>
      </c>
      <c r="C822" s="344" t="s">
        <v>966</v>
      </c>
      <c r="D822" s="293">
        <f>+D823+D835</f>
        <v>52208079001.369995</v>
      </c>
      <c r="E822" s="320">
        <f>SUM('ADICIONES  2021'!C822:N822)</f>
        <v>13712832985.029999</v>
      </c>
      <c r="F822" s="288">
        <f t="shared" ref="F822:J822" si="963">+F823+F835</f>
        <v>0</v>
      </c>
      <c r="G822" s="288">
        <f t="shared" si="963"/>
        <v>0</v>
      </c>
      <c r="H822" s="288">
        <f t="shared" si="963"/>
        <v>0</v>
      </c>
      <c r="I822" s="288">
        <f t="shared" si="963"/>
        <v>0</v>
      </c>
      <c r="J822" s="288">
        <f t="shared" si="963"/>
        <v>0</v>
      </c>
      <c r="K822" s="285">
        <f t="shared" si="954"/>
        <v>65920911986.399994</v>
      </c>
      <c r="L822" s="288">
        <f t="shared" ref="L822:Q822" si="964">+L823+L835</f>
        <v>6257894767.0500002</v>
      </c>
      <c r="M822" s="288">
        <f t="shared" si="964"/>
        <v>4815552665.3900003</v>
      </c>
      <c r="N822" s="288">
        <f t="shared" si="964"/>
        <v>6271707307.4799995</v>
      </c>
      <c r="O822" s="288">
        <f t="shared" si="964"/>
        <v>3928389601.9200001</v>
      </c>
      <c r="P822" s="288">
        <f t="shared" si="964"/>
        <v>4345670012.9700003</v>
      </c>
      <c r="Q822" s="288">
        <f t="shared" si="964"/>
        <v>4171657878.8800001</v>
      </c>
      <c r="R822" s="285">
        <f t="shared" si="956"/>
        <v>29790872233.689999</v>
      </c>
      <c r="S822" s="288">
        <f t="shared" ref="S822:Z822" si="965">+S823+S835</f>
        <v>5376996058.8800001</v>
      </c>
      <c r="T822" s="288">
        <f t="shared" si="965"/>
        <v>4961640350.4399996</v>
      </c>
      <c r="U822" s="288">
        <f t="shared" si="965"/>
        <v>6799853127.1099997</v>
      </c>
      <c r="V822" s="288">
        <f t="shared" si="965"/>
        <v>6947726096.3199997</v>
      </c>
      <c r="W822" s="288">
        <f t="shared" si="965"/>
        <v>6453714292.5099993</v>
      </c>
      <c r="X822" s="288">
        <f t="shared" si="965"/>
        <v>6576062441</v>
      </c>
      <c r="Y822" s="288">
        <f t="shared" si="965"/>
        <v>271313955.85000002</v>
      </c>
      <c r="Z822" s="288">
        <f t="shared" si="965"/>
        <v>0</v>
      </c>
      <c r="AA822" s="285">
        <f t="shared" si="958"/>
        <v>37387306322.109993</v>
      </c>
      <c r="AB822" s="407">
        <f t="shared" si="959"/>
        <v>67178178555.799988</v>
      </c>
      <c r="AC822" s="354">
        <f t="shared" si="960"/>
        <v>1.0190723479320094</v>
      </c>
    </row>
    <row r="823" spans="1:29" s="138" customFormat="1" ht="19.5" x14ac:dyDescent="0.2">
      <c r="A823" s="137">
        <v>1</v>
      </c>
      <c r="B823" s="343" t="s">
        <v>384</v>
      </c>
      <c r="C823" s="344" t="s">
        <v>967</v>
      </c>
      <c r="D823" s="293">
        <f>+D824</f>
        <v>1027296266.58</v>
      </c>
      <c r="E823" s="320">
        <f>SUM('ADICIONES  2021'!C823:N823)</f>
        <v>849999999</v>
      </c>
      <c r="F823" s="288">
        <f t="shared" ref="F823:J823" si="966">+F824</f>
        <v>0</v>
      </c>
      <c r="G823" s="288">
        <f t="shared" si="966"/>
        <v>0</v>
      </c>
      <c r="H823" s="288">
        <f t="shared" si="966"/>
        <v>0</v>
      </c>
      <c r="I823" s="288">
        <f t="shared" si="966"/>
        <v>0</v>
      </c>
      <c r="J823" s="288">
        <f t="shared" si="966"/>
        <v>0</v>
      </c>
      <c r="K823" s="285">
        <f t="shared" si="954"/>
        <v>1877296265.5799999</v>
      </c>
      <c r="L823" s="288">
        <f t="shared" ref="L823:Q823" si="967">+L824</f>
        <v>106024316.05000001</v>
      </c>
      <c r="M823" s="288">
        <f t="shared" si="967"/>
        <v>77173041.390000001</v>
      </c>
      <c r="N823" s="288">
        <f t="shared" si="967"/>
        <v>84947531.480000004</v>
      </c>
      <c r="O823" s="288">
        <f t="shared" si="967"/>
        <v>84132804.920000002</v>
      </c>
      <c r="P823" s="288">
        <f t="shared" si="967"/>
        <v>60939185.969999999</v>
      </c>
      <c r="Q823" s="288">
        <f t="shared" si="967"/>
        <v>106796998.88</v>
      </c>
      <c r="R823" s="285">
        <f t="shared" si="956"/>
        <v>520013878.69000006</v>
      </c>
      <c r="S823" s="288">
        <f t="shared" ref="S823:Z823" si="968">+S824</f>
        <v>136625700.58000001</v>
      </c>
      <c r="T823" s="288">
        <f t="shared" si="968"/>
        <v>483738015.44</v>
      </c>
      <c r="U823" s="288">
        <f t="shared" si="968"/>
        <v>70303552.109999999</v>
      </c>
      <c r="V823" s="288">
        <f t="shared" si="968"/>
        <v>494521953.67000002</v>
      </c>
      <c r="W823" s="288">
        <f t="shared" si="968"/>
        <v>91438826.400000006</v>
      </c>
      <c r="X823" s="288">
        <f t="shared" si="968"/>
        <v>62412741</v>
      </c>
      <c r="Y823" s="288">
        <f t="shared" si="968"/>
        <v>0</v>
      </c>
      <c r="Z823" s="288">
        <f t="shared" si="968"/>
        <v>0</v>
      </c>
      <c r="AA823" s="285">
        <f t="shared" si="958"/>
        <v>1339040789.2</v>
      </c>
      <c r="AB823" s="407">
        <f t="shared" si="959"/>
        <v>1859054667.8900001</v>
      </c>
      <c r="AC823" s="354">
        <f t="shared" si="960"/>
        <v>0.99028304800661604</v>
      </c>
    </row>
    <row r="824" spans="1:29" s="19" customFormat="1" x14ac:dyDescent="0.2">
      <c r="A824" s="429">
        <v>1</v>
      </c>
      <c r="B824" s="323" t="s">
        <v>968</v>
      </c>
      <c r="C824" s="206" t="s">
        <v>969</v>
      </c>
      <c r="D824" s="292">
        <f>SUM(D825:D831)</f>
        <v>1027296266.58</v>
      </c>
      <c r="E824" s="322">
        <f>SUM('ADICIONES  2021'!C824:N824)</f>
        <v>849999999</v>
      </c>
      <c r="F824" s="289">
        <f t="shared" ref="F824:J824" si="969">SUM(F825:F831)</f>
        <v>0</v>
      </c>
      <c r="G824" s="289">
        <f t="shared" si="969"/>
        <v>0</v>
      </c>
      <c r="H824" s="289">
        <f t="shared" si="969"/>
        <v>0</v>
      </c>
      <c r="I824" s="289">
        <f t="shared" si="969"/>
        <v>0</v>
      </c>
      <c r="J824" s="289">
        <f t="shared" si="969"/>
        <v>0</v>
      </c>
      <c r="K824" s="281">
        <f t="shared" si="954"/>
        <v>1877296265.5799999</v>
      </c>
      <c r="L824" s="289">
        <f t="shared" ref="L824:Q824" si="970">SUM(L825:L831)</f>
        <v>106024316.05000001</v>
      </c>
      <c r="M824" s="289">
        <f t="shared" si="970"/>
        <v>77173041.390000001</v>
      </c>
      <c r="N824" s="289">
        <f t="shared" si="970"/>
        <v>84947531.480000004</v>
      </c>
      <c r="O824" s="289">
        <f t="shared" si="970"/>
        <v>84132804.920000002</v>
      </c>
      <c r="P824" s="289">
        <f t="shared" si="970"/>
        <v>60939185.969999999</v>
      </c>
      <c r="Q824" s="289">
        <f t="shared" si="970"/>
        <v>106796998.88</v>
      </c>
      <c r="R824" s="281">
        <f t="shared" si="956"/>
        <v>520013878.69000006</v>
      </c>
      <c r="S824" s="290">
        <f t="shared" ref="S824:Z824" si="971">SUM(S825:S831)</f>
        <v>136625700.58000001</v>
      </c>
      <c r="T824" s="290">
        <f t="shared" si="971"/>
        <v>483738015.44</v>
      </c>
      <c r="U824" s="290">
        <f>SUM(U825:U831)</f>
        <v>70303552.109999999</v>
      </c>
      <c r="V824" s="290">
        <f t="shared" si="971"/>
        <v>494521953.67000002</v>
      </c>
      <c r="W824" s="290">
        <f t="shared" si="971"/>
        <v>91438826.400000006</v>
      </c>
      <c r="X824" s="290">
        <f t="shared" si="971"/>
        <v>62412741</v>
      </c>
      <c r="Y824" s="290">
        <f t="shared" si="971"/>
        <v>0</v>
      </c>
      <c r="Z824" s="289">
        <f t="shared" si="971"/>
        <v>0</v>
      </c>
      <c r="AA824" s="276">
        <f t="shared" si="958"/>
        <v>1339040789.2</v>
      </c>
      <c r="AB824" s="403">
        <f t="shared" si="959"/>
        <v>1859054667.8900001</v>
      </c>
      <c r="AC824" s="326">
        <f t="shared" si="960"/>
        <v>0.99028304800661604</v>
      </c>
    </row>
    <row r="825" spans="1:29" ht="14.25" hidden="1" x14ac:dyDescent="0.2">
      <c r="A825" s="424"/>
      <c r="B825" s="323" t="s">
        <v>970</v>
      </c>
      <c r="C825" s="206" t="s">
        <v>375</v>
      </c>
      <c r="D825" s="303">
        <v>256824066.80000001</v>
      </c>
      <c r="E825" s="325">
        <f>SUM('ADICIONES  2021'!C825:N825)</f>
        <v>0</v>
      </c>
      <c r="F825" s="290"/>
      <c r="G825" s="290"/>
      <c r="H825" s="290"/>
      <c r="I825" s="290"/>
      <c r="J825" s="290"/>
      <c r="K825" s="281">
        <f>+D825+E825-F825+G825-H825</f>
        <v>256824066.80000001</v>
      </c>
      <c r="L825" s="290">
        <v>26506078.940000001</v>
      </c>
      <c r="M825" s="290">
        <v>19293261.390000001</v>
      </c>
      <c r="N825" s="290">
        <v>21236883.27</v>
      </c>
      <c r="O825" s="290">
        <v>21033201.920000002</v>
      </c>
      <c r="P825" s="290">
        <v>15234796.970000001</v>
      </c>
      <c r="Q825" s="290">
        <v>26699249</v>
      </c>
      <c r="R825" s="281">
        <f>SUM(L825:Q825)</f>
        <v>130003471.48999999</v>
      </c>
      <c r="S825" s="290">
        <v>33943521.210000001</v>
      </c>
      <c r="T825" s="290">
        <v>120934504.44</v>
      </c>
      <c r="U825" s="290">
        <v>15370007.109999999</v>
      </c>
      <c r="V825" s="290">
        <v>123630488</v>
      </c>
      <c r="W825" s="290">
        <v>-167057925.44999999</v>
      </c>
      <c r="X825" s="290">
        <v>0</v>
      </c>
      <c r="Y825" s="290"/>
      <c r="Z825" s="290"/>
      <c r="AA825" s="281">
        <f t="shared" si="958"/>
        <v>126820595.31</v>
      </c>
      <c r="AB825" s="403">
        <f t="shared" si="959"/>
        <v>256824066.80000001</v>
      </c>
      <c r="AC825" s="326">
        <f t="shared" si="960"/>
        <v>1</v>
      </c>
    </row>
    <row r="826" spans="1:29" ht="14.25" hidden="1" x14ac:dyDescent="0.2">
      <c r="A826" s="424"/>
      <c r="B826" s="323" t="s">
        <v>970</v>
      </c>
      <c r="C826" s="206" t="s">
        <v>375</v>
      </c>
      <c r="D826" s="303"/>
      <c r="E826" s="325">
        <f>SUM('ADICIONES  2021'!C826:N826)</f>
        <v>210294118</v>
      </c>
      <c r="F826" s="290"/>
      <c r="G826" s="290"/>
      <c r="H826" s="290"/>
      <c r="I826" s="290"/>
      <c r="J826" s="290"/>
      <c r="K826" s="281">
        <f t="shared" ref="K826:K892" si="972">+D826+E826-F826+G826-H826</f>
        <v>210294118</v>
      </c>
      <c r="L826" s="290"/>
      <c r="M826" s="290"/>
      <c r="N826" s="290"/>
      <c r="O826" s="290"/>
      <c r="P826" s="290"/>
      <c r="Q826" s="290"/>
      <c r="R826" s="281">
        <f t="shared" ref="R826:R834" si="973">SUM(L826:Q826)</f>
        <v>0</v>
      </c>
      <c r="S826" s="290"/>
      <c r="T826" s="290"/>
      <c r="U826" s="290"/>
      <c r="V826" s="290"/>
      <c r="W826" s="290">
        <v>189685970.66999999</v>
      </c>
      <c r="X826" s="290">
        <v>15603186</v>
      </c>
      <c r="Y826" s="290"/>
      <c r="Z826" s="290"/>
      <c r="AA826" s="281">
        <f t="shared" si="958"/>
        <v>205289156.66999999</v>
      </c>
      <c r="AB826" s="403">
        <f t="shared" si="959"/>
        <v>205289156.66999999</v>
      </c>
      <c r="AC826" s="326">
        <v>0</v>
      </c>
    </row>
    <row r="827" spans="1:29" ht="14.25" hidden="1" x14ac:dyDescent="0.2">
      <c r="A827" s="424"/>
      <c r="B827" s="323" t="s">
        <v>970</v>
      </c>
      <c r="C827" s="206" t="s">
        <v>375</v>
      </c>
      <c r="D827" s="303"/>
      <c r="E827" s="325">
        <f>SUM('ADICIONES  2021'!C827:N827)</f>
        <v>2205882</v>
      </c>
      <c r="F827" s="290"/>
      <c r="G827" s="290"/>
      <c r="H827" s="290"/>
      <c r="I827" s="290"/>
      <c r="J827" s="290"/>
      <c r="K827" s="281">
        <f t="shared" si="972"/>
        <v>2205882</v>
      </c>
      <c r="L827" s="290"/>
      <c r="M827" s="290"/>
      <c r="N827" s="290"/>
      <c r="O827" s="290"/>
      <c r="P827" s="290"/>
      <c r="Q827" s="290"/>
      <c r="R827" s="281">
        <f t="shared" si="973"/>
        <v>0</v>
      </c>
      <c r="S827" s="290"/>
      <c r="T827" s="290"/>
      <c r="U827" s="290">
        <v>2205882</v>
      </c>
      <c r="V827" s="290">
        <v>0</v>
      </c>
      <c r="W827" s="290">
        <v>0</v>
      </c>
      <c r="X827" s="290">
        <v>0</v>
      </c>
      <c r="Y827" s="290"/>
      <c r="Z827" s="290"/>
      <c r="AA827" s="281">
        <f t="shared" si="958"/>
        <v>2205882</v>
      </c>
      <c r="AB827" s="403">
        <f t="shared" si="959"/>
        <v>2205882</v>
      </c>
      <c r="AC827" s="326">
        <f t="shared" ref="AC827:AC828" si="974">+AB827/K827</f>
        <v>1</v>
      </c>
    </row>
    <row r="828" spans="1:29" ht="14.25" hidden="1" x14ac:dyDescent="0.2">
      <c r="A828" s="424"/>
      <c r="B828" s="323" t="s">
        <v>971</v>
      </c>
      <c r="C828" s="206" t="s">
        <v>375</v>
      </c>
      <c r="D828" s="303">
        <v>71910738.700000003</v>
      </c>
      <c r="E828" s="325">
        <f>SUM('ADICIONES  2021'!C828:N828)</f>
        <v>0</v>
      </c>
      <c r="F828" s="290"/>
      <c r="G828" s="290"/>
      <c r="H828" s="290"/>
      <c r="I828" s="290"/>
      <c r="J828" s="290"/>
      <c r="K828" s="281">
        <f t="shared" si="972"/>
        <v>71910738.700000003</v>
      </c>
      <c r="L828" s="290">
        <v>7421702.1100000003</v>
      </c>
      <c r="M828" s="290">
        <v>5402112</v>
      </c>
      <c r="N828" s="290">
        <v>5946327.21</v>
      </c>
      <c r="O828" s="290">
        <v>5889296</v>
      </c>
      <c r="P828" s="290">
        <v>4265743</v>
      </c>
      <c r="Q828" s="290">
        <v>7475790.8799999999</v>
      </c>
      <c r="R828" s="281">
        <f t="shared" si="973"/>
        <v>36400971.200000003</v>
      </c>
      <c r="S828" s="290">
        <v>9504186</v>
      </c>
      <c r="T828" s="290">
        <v>33861661</v>
      </c>
      <c r="U828" s="290">
        <v>4303601</v>
      </c>
      <c r="V828" s="290">
        <v>34616536.670000002</v>
      </c>
      <c r="W828" s="290">
        <v>-46776217.170000002</v>
      </c>
      <c r="X828" s="290">
        <v>0</v>
      </c>
      <c r="Y828" s="290"/>
      <c r="Z828" s="290"/>
      <c r="AA828" s="281">
        <f t="shared" si="958"/>
        <v>35509767.5</v>
      </c>
      <c r="AB828" s="403">
        <f t="shared" si="959"/>
        <v>71910738.700000003</v>
      </c>
      <c r="AC828" s="326">
        <f t="shared" si="974"/>
        <v>1</v>
      </c>
    </row>
    <row r="829" spans="1:29" ht="14.25" hidden="1" x14ac:dyDescent="0.2">
      <c r="A829" s="424"/>
      <c r="B829" s="323" t="s">
        <v>971</v>
      </c>
      <c r="C829" s="206" t="s">
        <v>375</v>
      </c>
      <c r="D829" s="303"/>
      <c r="E829" s="325">
        <f>SUM('ADICIONES  2021'!C829:N829)</f>
        <v>58882352</v>
      </c>
      <c r="F829" s="290"/>
      <c r="G829" s="290"/>
      <c r="H829" s="290"/>
      <c r="I829" s="290"/>
      <c r="J829" s="290"/>
      <c r="K829" s="281">
        <f t="shared" si="972"/>
        <v>58882352</v>
      </c>
      <c r="L829" s="290"/>
      <c r="M829" s="290"/>
      <c r="N829" s="290"/>
      <c r="O829" s="290"/>
      <c r="P829" s="290"/>
      <c r="Q829" s="290"/>
      <c r="R829" s="281">
        <f t="shared" si="973"/>
        <v>0</v>
      </c>
      <c r="S829" s="290"/>
      <c r="T829" s="290"/>
      <c r="U829" s="290"/>
      <c r="V829" s="290"/>
      <c r="W829" s="290">
        <v>53112069.170000002</v>
      </c>
      <c r="X829" s="290">
        <v>4368892</v>
      </c>
      <c r="Y829" s="290"/>
      <c r="Z829" s="290"/>
      <c r="AA829" s="281">
        <f t="shared" si="958"/>
        <v>57480961.170000002</v>
      </c>
      <c r="AB829" s="403">
        <f t="shared" si="959"/>
        <v>57480961.170000002</v>
      </c>
      <c r="AC829" s="326">
        <v>0</v>
      </c>
    </row>
    <row r="830" spans="1:29" ht="14.25" hidden="1" x14ac:dyDescent="0.2">
      <c r="A830" s="424"/>
      <c r="B830" s="323" t="s">
        <v>971</v>
      </c>
      <c r="C830" s="206" t="s">
        <v>375</v>
      </c>
      <c r="D830" s="303"/>
      <c r="E830" s="325">
        <f>SUM('ADICIONES  2021'!C830:N830)</f>
        <v>617647</v>
      </c>
      <c r="F830" s="290"/>
      <c r="G830" s="290"/>
      <c r="H830" s="290"/>
      <c r="I830" s="290"/>
      <c r="J830" s="290"/>
      <c r="K830" s="281">
        <f t="shared" si="972"/>
        <v>617647</v>
      </c>
      <c r="L830" s="290"/>
      <c r="M830" s="290"/>
      <c r="N830" s="290"/>
      <c r="O830" s="290"/>
      <c r="P830" s="290"/>
      <c r="Q830" s="290"/>
      <c r="R830" s="281">
        <f t="shared" si="973"/>
        <v>0</v>
      </c>
      <c r="S830" s="290"/>
      <c r="T830" s="290"/>
      <c r="U830" s="290">
        <v>617647</v>
      </c>
      <c r="V830" s="290">
        <v>0</v>
      </c>
      <c r="W830" s="290">
        <v>0</v>
      </c>
      <c r="X830" s="290">
        <v>0</v>
      </c>
      <c r="Y830" s="290"/>
      <c r="Z830" s="290"/>
      <c r="AA830" s="281">
        <f t="shared" si="958"/>
        <v>617647</v>
      </c>
      <c r="AB830" s="403">
        <f t="shared" si="959"/>
        <v>617647</v>
      </c>
      <c r="AC830" s="326">
        <f t="shared" si="960"/>
        <v>1</v>
      </c>
    </row>
    <row r="831" spans="1:29" s="61" customFormat="1" ht="15.75" hidden="1" x14ac:dyDescent="0.2">
      <c r="A831" s="425"/>
      <c r="B831" s="318" t="s">
        <v>972</v>
      </c>
      <c r="C831" s="319" t="s">
        <v>973</v>
      </c>
      <c r="D831" s="292">
        <f>SUM(D832:D834)</f>
        <v>698561461.08000004</v>
      </c>
      <c r="E831" s="322">
        <f>SUM('ADICIONES  2021'!C831:N831)</f>
        <v>578000000</v>
      </c>
      <c r="F831" s="292">
        <f t="shared" ref="F831:J831" si="975">SUM(F832:F834)</f>
        <v>0</v>
      </c>
      <c r="G831" s="292">
        <f t="shared" si="975"/>
        <v>0</v>
      </c>
      <c r="H831" s="292">
        <f t="shared" si="975"/>
        <v>0</v>
      </c>
      <c r="I831" s="292">
        <f t="shared" si="975"/>
        <v>0</v>
      </c>
      <c r="J831" s="292">
        <f t="shared" si="975"/>
        <v>0</v>
      </c>
      <c r="K831" s="276">
        <f t="shared" si="972"/>
        <v>1276561461.0799999</v>
      </c>
      <c r="L831" s="292">
        <f t="shared" ref="L831:P831" si="976">SUM(L832:L834)</f>
        <v>72096535</v>
      </c>
      <c r="M831" s="292">
        <f t="shared" si="976"/>
        <v>52477668</v>
      </c>
      <c r="N831" s="292">
        <f t="shared" si="976"/>
        <v>57764321</v>
      </c>
      <c r="O831" s="292">
        <f t="shared" si="976"/>
        <v>57210307</v>
      </c>
      <c r="P831" s="292">
        <f t="shared" si="976"/>
        <v>41438646</v>
      </c>
      <c r="Q831" s="292">
        <f>SUM(Q832:Q834)</f>
        <v>72621959</v>
      </c>
      <c r="R831" s="276">
        <f t="shared" si="973"/>
        <v>353609436</v>
      </c>
      <c r="S831" s="292">
        <f t="shared" ref="S831:Z831" si="977">SUM(S832:S834)</f>
        <v>93177993.370000005</v>
      </c>
      <c r="T831" s="292">
        <f t="shared" si="977"/>
        <v>328941850</v>
      </c>
      <c r="U831" s="292">
        <f>SUM(U832:U834)</f>
        <v>47806415</v>
      </c>
      <c r="V831" s="292">
        <f t="shared" si="977"/>
        <v>336274929</v>
      </c>
      <c r="W831" s="292">
        <f t="shared" si="977"/>
        <v>62474929.180000007</v>
      </c>
      <c r="X831" s="292">
        <f t="shared" si="977"/>
        <v>42440663</v>
      </c>
      <c r="Y831" s="292">
        <f t="shared" si="977"/>
        <v>0</v>
      </c>
      <c r="Z831" s="292">
        <f t="shared" si="977"/>
        <v>0</v>
      </c>
      <c r="AA831" s="276">
        <f t="shared" si="958"/>
        <v>911116779.54999995</v>
      </c>
      <c r="AB831" s="402">
        <f t="shared" si="959"/>
        <v>1264726215.55</v>
      </c>
      <c r="AC831" s="321">
        <f t="shared" si="960"/>
        <v>0.99072880868580582</v>
      </c>
    </row>
    <row r="832" spans="1:29" ht="14.25" hidden="1" x14ac:dyDescent="0.2">
      <c r="A832" s="424"/>
      <c r="B832" s="323" t="s">
        <v>974</v>
      </c>
      <c r="C832" s="206" t="s">
        <v>378</v>
      </c>
      <c r="D832" s="303">
        <v>698561461.08000004</v>
      </c>
      <c r="E832" s="325">
        <f>SUM('ADICIONES  2021'!C832:N832)</f>
        <v>0</v>
      </c>
      <c r="F832" s="290"/>
      <c r="G832" s="290"/>
      <c r="H832" s="290"/>
      <c r="I832" s="290"/>
      <c r="J832" s="290"/>
      <c r="K832" s="281">
        <f t="shared" si="972"/>
        <v>698561461.08000004</v>
      </c>
      <c r="L832" s="290">
        <v>72096535</v>
      </c>
      <c r="M832" s="290">
        <v>52477668</v>
      </c>
      <c r="N832" s="290">
        <v>57764321</v>
      </c>
      <c r="O832" s="290">
        <v>57210307</v>
      </c>
      <c r="P832" s="290">
        <v>41438646</v>
      </c>
      <c r="Q832" s="290">
        <v>72621959</v>
      </c>
      <c r="R832" s="281">
        <f t="shared" si="973"/>
        <v>353609436</v>
      </c>
      <c r="S832" s="290">
        <v>93177993.370000005</v>
      </c>
      <c r="T832" s="290">
        <v>328941850</v>
      </c>
      <c r="U832" s="290">
        <v>41806415</v>
      </c>
      <c r="V832" s="290">
        <v>336274929</v>
      </c>
      <c r="W832" s="290">
        <v>-455249162.29000002</v>
      </c>
      <c r="X832" s="290">
        <v>0</v>
      </c>
      <c r="Y832" s="290"/>
      <c r="Z832" s="290"/>
      <c r="AA832" s="281">
        <f t="shared" si="958"/>
        <v>344952025.07999998</v>
      </c>
      <c r="AB832" s="403">
        <f t="shared" si="959"/>
        <v>698561461.07999992</v>
      </c>
      <c r="AC832" s="326">
        <f t="shared" si="960"/>
        <v>0.99999999999999978</v>
      </c>
    </row>
    <row r="833" spans="1:29" ht="14.25" hidden="1" x14ac:dyDescent="0.2">
      <c r="A833" s="424"/>
      <c r="B833" s="323" t="s">
        <v>974</v>
      </c>
      <c r="C833" s="206" t="s">
        <v>378</v>
      </c>
      <c r="D833" s="303"/>
      <c r="E833" s="325">
        <f>SUM('ADICIONES  2021'!C833:N833)</f>
        <v>572000000</v>
      </c>
      <c r="F833" s="290"/>
      <c r="G833" s="290"/>
      <c r="H833" s="290"/>
      <c r="I833" s="290"/>
      <c r="J833" s="290"/>
      <c r="K833" s="281">
        <f t="shared" si="972"/>
        <v>572000000</v>
      </c>
      <c r="L833" s="290"/>
      <c r="M833" s="290"/>
      <c r="N833" s="290"/>
      <c r="O833" s="290"/>
      <c r="P833" s="290"/>
      <c r="Q833" s="290"/>
      <c r="R833" s="281">
        <f t="shared" si="973"/>
        <v>0</v>
      </c>
      <c r="S833" s="290"/>
      <c r="T833" s="290"/>
      <c r="U833" s="290"/>
      <c r="V833" s="290"/>
      <c r="W833" s="290">
        <v>517724091.47000003</v>
      </c>
      <c r="X833" s="290">
        <v>42440663</v>
      </c>
      <c r="Y833" s="290"/>
      <c r="Z833" s="290"/>
      <c r="AA833" s="281">
        <f t="shared" ref="AA833" si="978">SUM(S833:Z833)</f>
        <v>560164754.47000003</v>
      </c>
      <c r="AB833" s="403">
        <f t="shared" si="959"/>
        <v>560164754.47000003</v>
      </c>
      <c r="AC833" s="326">
        <v>0</v>
      </c>
    </row>
    <row r="834" spans="1:29" ht="14.25" hidden="1" x14ac:dyDescent="0.2">
      <c r="A834" s="424"/>
      <c r="B834" s="323" t="s">
        <v>974</v>
      </c>
      <c r="C834" s="206" t="s">
        <v>378</v>
      </c>
      <c r="D834" s="303"/>
      <c r="E834" s="325">
        <f>SUM('ADICIONES  2021'!C834:N834)</f>
        <v>6000000</v>
      </c>
      <c r="F834" s="290"/>
      <c r="G834" s="290"/>
      <c r="H834" s="290"/>
      <c r="I834" s="290"/>
      <c r="J834" s="290"/>
      <c r="K834" s="281">
        <f t="shared" si="972"/>
        <v>6000000</v>
      </c>
      <c r="L834" s="290"/>
      <c r="M834" s="290"/>
      <c r="N834" s="290"/>
      <c r="O834" s="290"/>
      <c r="P834" s="290"/>
      <c r="Q834" s="290"/>
      <c r="R834" s="281">
        <f t="shared" si="973"/>
        <v>0</v>
      </c>
      <c r="S834" s="290"/>
      <c r="T834" s="290"/>
      <c r="U834" s="290">
        <v>6000000</v>
      </c>
      <c r="V834" s="290">
        <v>0</v>
      </c>
      <c r="W834" s="290">
        <v>0</v>
      </c>
      <c r="X834" s="290">
        <v>0</v>
      </c>
      <c r="Y834" s="290"/>
      <c r="Z834" s="290"/>
      <c r="AA834" s="281">
        <f t="shared" si="958"/>
        <v>6000000</v>
      </c>
      <c r="AB834" s="403">
        <f t="shared" si="959"/>
        <v>6000000</v>
      </c>
      <c r="AC834" s="326">
        <f t="shared" si="960"/>
        <v>1</v>
      </c>
    </row>
    <row r="835" spans="1:29" s="61" customFormat="1" ht="15.75" x14ac:dyDescent="0.2">
      <c r="A835" s="428">
        <v>1</v>
      </c>
      <c r="B835" s="318" t="s">
        <v>403</v>
      </c>
      <c r="C835" s="319" t="s">
        <v>975</v>
      </c>
      <c r="D835" s="292">
        <f>+D836+D844+D851+D884+D901</f>
        <v>51180782734.789993</v>
      </c>
      <c r="E835" s="322">
        <f>SUM('ADICIONES  2021'!C835:N835)</f>
        <v>12862832986.029999</v>
      </c>
      <c r="F835" s="289">
        <f>+F836+F844+F851+F884+F901</f>
        <v>0</v>
      </c>
      <c r="G835" s="289">
        <f>+G836+G844+G851+G884+G901</f>
        <v>0</v>
      </c>
      <c r="H835" s="289">
        <f>+H836+H844+H851+H884+H901</f>
        <v>0</v>
      </c>
      <c r="I835" s="289">
        <f>+I836+I844+I851+I884+I901</f>
        <v>0</v>
      </c>
      <c r="J835" s="289">
        <f>+J836+J844+J851+J884+J901</f>
        <v>0</v>
      </c>
      <c r="K835" s="276">
        <f t="shared" si="972"/>
        <v>64043615720.819992</v>
      </c>
      <c r="L835" s="289">
        <f t="shared" ref="L835:Q835" si="979">+L836+L844+L851+L884+L901</f>
        <v>6151870451</v>
      </c>
      <c r="M835" s="289">
        <f t="shared" si="979"/>
        <v>4738379624</v>
      </c>
      <c r="N835" s="289">
        <f t="shared" si="979"/>
        <v>6186759776</v>
      </c>
      <c r="O835" s="289">
        <f t="shared" si="979"/>
        <v>3844256797</v>
      </c>
      <c r="P835" s="289">
        <f t="shared" si="979"/>
        <v>4284730827</v>
      </c>
      <c r="Q835" s="289">
        <f t="shared" si="979"/>
        <v>4064860880</v>
      </c>
      <c r="R835" s="276">
        <f t="shared" ref="R835:R929" si="980">SUM(L835:Q835)</f>
        <v>29270858355</v>
      </c>
      <c r="S835" s="289">
        <f t="shared" ref="S835:Z835" si="981">+S836+S844+S851+S884+S901</f>
        <v>5240370358.3000002</v>
      </c>
      <c r="T835" s="289">
        <f t="shared" si="981"/>
        <v>4477902335</v>
      </c>
      <c r="U835" s="289">
        <f t="shared" si="981"/>
        <v>6729549575</v>
      </c>
      <c r="V835" s="289">
        <f t="shared" si="981"/>
        <v>6453204142.6499996</v>
      </c>
      <c r="W835" s="289">
        <f t="shared" si="981"/>
        <v>6362275466.1099997</v>
      </c>
      <c r="X835" s="289">
        <f t="shared" si="981"/>
        <v>6513649700</v>
      </c>
      <c r="Y835" s="289">
        <f t="shared" si="981"/>
        <v>271313955.85000002</v>
      </c>
      <c r="Z835" s="289">
        <f t="shared" si="981"/>
        <v>0</v>
      </c>
      <c r="AA835" s="276">
        <f t="shared" ref="AA835:AA929" si="982">SUM(S835:Z835)</f>
        <v>36048265532.909996</v>
      </c>
      <c r="AB835" s="402">
        <f t="shared" si="959"/>
        <v>65319123887.909996</v>
      </c>
      <c r="AC835" s="321">
        <f t="shared" si="960"/>
        <v>1.0199162422785468</v>
      </c>
    </row>
    <row r="836" spans="1:29" s="19" customFormat="1" x14ac:dyDescent="0.2">
      <c r="A836" s="429">
        <v>1</v>
      </c>
      <c r="B836" s="323" t="s">
        <v>976</v>
      </c>
      <c r="C836" s="206" t="s">
        <v>977</v>
      </c>
      <c r="D836" s="292">
        <f>SUM(D837:D841)</f>
        <v>1024590216</v>
      </c>
      <c r="E836" s="322">
        <f>SUM('ADICIONES  2021'!C836:N836)</f>
        <v>110294117</v>
      </c>
      <c r="F836" s="289">
        <f>SUM(F837:F841)</f>
        <v>0</v>
      </c>
      <c r="G836" s="289">
        <f t="shared" ref="G836:J836" si="983">SUM(G837:G841)</f>
        <v>0</v>
      </c>
      <c r="H836" s="289">
        <f t="shared" si="983"/>
        <v>0</v>
      </c>
      <c r="I836" s="289">
        <f t="shared" si="983"/>
        <v>0</v>
      </c>
      <c r="J836" s="289">
        <f t="shared" si="983"/>
        <v>0</v>
      </c>
      <c r="K836" s="281">
        <f t="shared" si="972"/>
        <v>1134884333</v>
      </c>
      <c r="L836" s="289">
        <f t="shared" ref="L836:Q836" si="984">SUM(L837:L841)</f>
        <v>135565725</v>
      </c>
      <c r="M836" s="289">
        <f t="shared" si="984"/>
        <v>75567675</v>
      </c>
      <c r="N836" s="289">
        <f t="shared" si="984"/>
        <v>78124200</v>
      </c>
      <c r="O836" s="289">
        <f t="shared" si="984"/>
        <v>90485400</v>
      </c>
      <c r="P836" s="289">
        <f t="shared" si="984"/>
        <v>82396425</v>
      </c>
      <c r="Q836" s="289">
        <f t="shared" si="984"/>
        <v>83357062</v>
      </c>
      <c r="R836" s="281">
        <f t="shared" si="980"/>
        <v>545496487</v>
      </c>
      <c r="S836" s="290">
        <f t="shared" ref="S836:Z836" si="985">SUM(S837:S841)</f>
        <v>85929320.090000004</v>
      </c>
      <c r="T836" s="290">
        <f t="shared" si="985"/>
        <v>92934937</v>
      </c>
      <c r="U836" s="290">
        <f>SUM(U837:U841)</f>
        <v>94209862</v>
      </c>
      <c r="V836" s="290">
        <f t="shared" si="985"/>
        <v>95780773.650000006</v>
      </c>
      <c r="W836" s="290">
        <f t="shared" si="985"/>
        <v>95477401.489999995</v>
      </c>
      <c r="X836" s="290">
        <f t="shared" si="985"/>
        <v>106608862</v>
      </c>
      <c r="Y836" s="290">
        <f t="shared" si="985"/>
        <v>307501.35000002384</v>
      </c>
      <c r="Z836" s="289">
        <f t="shared" si="985"/>
        <v>0</v>
      </c>
      <c r="AA836" s="276">
        <f t="shared" si="982"/>
        <v>571248657.58000004</v>
      </c>
      <c r="AB836" s="403">
        <f t="shared" si="959"/>
        <v>1116745144.5799999</v>
      </c>
      <c r="AC836" s="326">
        <f t="shared" si="960"/>
        <v>0.98401670734844826</v>
      </c>
    </row>
    <row r="837" spans="1:29" ht="14.25" hidden="1" x14ac:dyDescent="0.2">
      <c r="A837" s="424"/>
      <c r="B837" s="323" t="s">
        <v>978</v>
      </c>
      <c r="C837" s="206" t="s">
        <v>375</v>
      </c>
      <c r="D837" s="303">
        <v>256147554</v>
      </c>
      <c r="E837" s="325">
        <f>SUM('ADICIONES  2021'!C837:N837)</f>
        <v>0</v>
      </c>
      <c r="F837" s="290"/>
      <c r="G837" s="290"/>
      <c r="H837" s="290"/>
      <c r="I837" s="290"/>
      <c r="J837" s="290"/>
      <c r="K837" s="281">
        <f t="shared" si="972"/>
        <v>256147554</v>
      </c>
      <c r="L837" s="290">
        <v>33891430.75</v>
      </c>
      <c r="M837" s="290">
        <v>18891918.25</v>
      </c>
      <c r="N837" s="290">
        <v>19531049.5</v>
      </c>
      <c r="O837" s="290">
        <v>22621350</v>
      </c>
      <c r="P837" s="290">
        <v>20599106</v>
      </c>
      <c r="Q837" s="290">
        <v>20839265.5</v>
      </c>
      <c r="R837" s="281">
        <f t="shared" si="980"/>
        <v>136374120</v>
      </c>
      <c r="S837" s="290">
        <v>21281971.75</v>
      </c>
      <c r="T837" s="290">
        <v>23233734</v>
      </c>
      <c r="U837" s="290">
        <v>23552465.75</v>
      </c>
      <c r="V837" s="290">
        <v>24022068.5</v>
      </c>
      <c r="W837" s="290">
        <v>23785059</v>
      </c>
      <c r="X837" s="290">
        <v>3898135</v>
      </c>
      <c r="Y837" s="290"/>
      <c r="Z837" s="290"/>
      <c r="AA837" s="281">
        <f t="shared" si="982"/>
        <v>119773434</v>
      </c>
      <c r="AB837" s="403">
        <f t="shared" si="959"/>
        <v>256147554</v>
      </c>
      <c r="AC837" s="326">
        <f t="shared" si="960"/>
        <v>1</v>
      </c>
    </row>
    <row r="838" spans="1:29" ht="14.25" hidden="1" x14ac:dyDescent="0.2">
      <c r="A838" s="424"/>
      <c r="B838" s="323" t="s">
        <v>978</v>
      </c>
      <c r="C838" s="206" t="s">
        <v>375</v>
      </c>
      <c r="D838" s="303"/>
      <c r="E838" s="325">
        <f>SUM('ADICIONES  2021'!C838:N838)</f>
        <v>27573529</v>
      </c>
      <c r="F838" s="290"/>
      <c r="G838" s="290"/>
      <c r="H838" s="290"/>
      <c r="I838" s="290"/>
      <c r="J838" s="290"/>
      <c r="K838" s="281">
        <f t="shared" si="972"/>
        <v>27573529</v>
      </c>
      <c r="L838" s="290"/>
      <c r="M838" s="290"/>
      <c r="N838" s="290"/>
      <c r="O838" s="290"/>
      <c r="P838" s="290"/>
      <c r="Q838" s="290"/>
      <c r="R838" s="281">
        <f t="shared" si="980"/>
        <v>0</v>
      </c>
      <c r="S838" s="290"/>
      <c r="T838" s="290"/>
      <c r="U838" s="290"/>
      <c r="V838" s="290"/>
      <c r="W838" s="290"/>
      <c r="X838" s="290">
        <v>22754080</v>
      </c>
      <c r="Y838" s="290"/>
      <c r="Z838" s="290"/>
      <c r="AA838" s="281">
        <f t="shared" ref="AA838:AA840" si="986">SUM(S838:Z838)</f>
        <v>22754080</v>
      </c>
      <c r="AB838" s="403">
        <f t="shared" si="959"/>
        <v>22754080</v>
      </c>
      <c r="AC838" s="326">
        <f t="shared" si="960"/>
        <v>0.82521464698987201</v>
      </c>
    </row>
    <row r="839" spans="1:29" ht="14.25" hidden="1" x14ac:dyDescent="0.2">
      <c r="A839" s="424"/>
      <c r="B839" s="323" t="s">
        <v>979</v>
      </c>
      <c r="C839" s="206" t="s">
        <v>375</v>
      </c>
      <c r="D839" s="303">
        <v>71721315.120000005</v>
      </c>
      <c r="E839" s="325">
        <f>SUM('ADICIONES  2021'!C839:N839)</f>
        <v>0</v>
      </c>
      <c r="F839" s="290"/>
      <c r="G839" s="290"/>
      <c r="H839" s="290"/>
      <c r="I839" s="290"/>
      <c r="J839" s="290"/>
      <c r="K839" s="281">
        <f t="shared" si="972"/>
        <v>71721315.120000005</v>
      </c>
      <c r="L839" s="290">
        <v>9489601.25</v>
      </c>
      <c r="M839" s="290">
        <v>5289737.75</v>
      </c>
      <c r="N839" s="290">
        <v>5468694.5</v>
      </c>
      <c r="O839" s="290">
        <v>6333978</v>
      </c>
      <c r="P839" s="290">
        <v>5767750</v>
      </c>
      <c r="Q839" s="290">
        <v>5834994.3399999999</v>
      </c>
      <c r="R839" s="281">
        <f t="shared" si="980"/>
        <v>38184755.840000004</v>
      </c>
      <c r="S839" s="290">
        <v>5958952.0899999999</v>
      </c>
      <c r="T839" s="290">
        <v>6505445.8399999999</v>
      </c>
      <c r="U839" s="290">
        <v>6594690.0899999999</v>
      </c>
      <c r="V839" s="290">
        <v>6726179.5</v>
      </c>
      <c r="W839" s="290">
        <v>6659816.8399999999</v>
      </c>
      <c r="X839" s="290">
        <v>1091474.92</v>
      </c>
      <c r="Y839" s="290"/>
      <c r="Z839" s="290"/>
      <c r="AA839" s="281">
        <f t="shared" si="986"/>
        <v>33536559.280000001</v>
      </c>
      <c r="AB839" s="403">
        <f t="shared" si="959"/>
        <v>71721315.120000005</v>
      </c>
      <c r="AC839" s="326">
        <f t="shared" si="960"/>
        <v>1</v>
      </c>
    </row>
    <row r="840" spans="1:29" ht="14.25" hidden="1" x14ac:dyDescent="0.2">
      <c r="A840" s="424"/>
      <c r="B840" s="323" t="s">
        <v>979</v>
      </c>
      <c r="C840" s="206" t="s">
        <v>375</v>
      </c>
      <c r="D840" s="303"/>
      <c r="E840" s="325">
        <f>SUM('ADICIONES  2021'!C840:N840)</f>
        <v>7720588</v>
      </c>
      <c r="F840" s="290"/>
      <c r="G840" s="290"/>
      <c r="H840" s="290"/>
      <c r="I840" s="290"/>
      <c r="J840" s="290"/>
      <c r="K840" s="281">
        <f t="shared" si="972"/>
        <v>7720588</v>
      </c>
      <c r="L840" s="290"/>
      <c r="M840" s="290"/>
      <c r="N840" s="290"/>
      <c r="O840" s="290"/>
      <c r="P840" s="290"/>
      <c r="Q840" s="290"/>
      <c r="R840" s="281">
        <f t="shared" si="980"/>
        <v>0</v>
      </c>
      <c r="S840" s="290"/>
      <c r="T840" s="290"/>
      <c r="U840" s="290"/>
      <c r="V840" s="290"/>
      <c r="W840" s="290"/>
      <c r="X840" s="290">
        <v>6371145.9199999999</v>
      </c>
      <c r="Y840" s="290"/>
      <c r="Z840" s="290"/>
      <c r="AA840" s="281">
        <f t="shared" si="986"/>
        <v>6371145.9199999999</v>
      </c>
      <c r="AB840" s="403">
        <f t="shared" si="959"/>
        <v>6371145.9199999999</v>
      </c>
      <c r="AC840" s="326">
        <f t="shared" si="960"/>
        <v>0.82521511573988926</v>
      </c>
    </row>
    <row r="841" spans="1:29" s="61" customFormat="1" ht="15.75" hidden="1" x14ac:dyDescent="0.2">
      <c r="A841" s="425"/>
      <c r="B841" s="318" t="s">
        <v>980</v>
      </c>
      <c r="C841" s="319" t="s">
        <v>973</v>
      </c>
      <c r="D841" s="292">
        <f>+D842+D843</f>
        <v>696721346.88</v>
      </c>
      <c r="E841" s="322">
        <f>SUM('ADICIONES  2021'!C841:N841)</f>
        <v>75000000</v>
      </c>
      <c r="F841" s="292">
        <f t="shared" ref="F841:J841" si="987">+F842+F843</f>
        <v>0</v>
      </c>
      <c r="G841" s="292">
        <f t="shared" si="987"/>
        <v>0</v>
      </c>
      <c r="H841" s="292">
        <f t="shared" si="987"/>
        <v>0</v>
      </c>
      <c r="I841" s="292">
        <f t="shared" si="987"/>
        <v>0</v>
      </c>
      <c r="J841" s="292">
        <f t="shared" si="987"/>
        <v>0</v>
      </c>
      <c r="K841" s="276">
        <f t="shared" si="972"/>
        <v>771721346.88</v>
      </c>
      <c r="L841" s="292">
        <f t="shared" ref="L841:Q841" si="988">+L842+L843</f>
        <v>92184693</v>
      </c>
      <c r="M841" s="292">
        <f t="shared" si="988"/>
        <v>51386019</v>
      </c>
      <c r="N841" s="292">
        <f t="shared" si="988"/>
        <v>53124456</v>
      </c>
      <c r="O841" s="292">
        <f t="shared" si="988"/>
        <v>61530072</v>
      </c>
      <c r="P841" s="292">
        <f t="shared" si="988"/>
        <v>56029569</v>
      </c>
      <c r="Q841" s="292">
        <f t="shared" si="988"/>
        <v>56682802.159999996</v>
      </c>
      <c r="R841" s="276">
        <f t="shared" si="980"/>
        <v>370937611.15999997</v>
      </c>
      <c r="S841" s="292">
        <f t="shared" ref="S841:Z841" si="989">+S842+S843</f>
        <v>58688396.25</v>
      </c>
      <c r="T841" s="292">
        <f t="shared" si="989"/>
        <v>63195757.159999996</v>
      </c>
      <c r="U841" s="292">
        <f t="shared" si="989"/>
        <v>64062706.159999996</v>
      </c>
      <c r="V841" s="292">
        <f t="shared" si="989"/>
        <v>65032525.649999999</v>
      </c>
      <c r="W841" s="292">
        <f t="shared" si="989"/>
        <v>65032525.649999999</v>
      </c>
      <c r="X841" s="292">
        <f t="shared" si="989"/>
        <v>72494026.159999996</v>
      </c>
      <c r="Y841" s="292">
        <f t="shared" si="989"/>
        <v>307501.35000002384</v>
      </c>
      <c r="Z841" s="292">
        <f t="shared" si="989"/>
        <v>0</v>
      </c>
      <c r="AA841" s="276">
        <f t="shared" si="982"/>
        <v>388813438.38</v>
      </c>
      <c r="AB841" s="402">
        <f t="shared" si="959"/>
        <v>759751049.53999996</v>
      </c>
      <c r="AC841" s="321">
        <f t="shared" si="960"/>
        <v>0.98448883474793736</v>
      </c>
    </row>
    <row r="842" spans="1:29" ht="14.25" hidden="1" x14ac:dyDescent="0.2">
      <c r="A842" s="424"/>
      <c r="B842" s="323" t="s">
        <v>981</v>
      </c>
      <c r="C842" s="206" t="s">
        <v>378</v>
      </c>
      <c r="D842" s="303">
        <v>696721346.88</v>
      </c>
      <c r="E842" s="325">
        <f>SUM('ADICIONES  2021'!C842:N842)</f>
        <v>0</v>
      </c>
      <c r="F842" s="290"/>
      <c r="G842" s="290"/>
      <c r="H842" s="290"/>
      <c r="I842" s="290"/>
      <c r="J842" s="290"/>
      <c r="K842" s="281">
        <f t="shared" si="972"/>
        <v>696721346.88</v>
      </c>
      <c r="L842" s="290">
        <v>92184693</v>
      </c>
      <c r="M842" s="290">
        <v>51386019</v>
      </c>
      <c r="N842" s="290">
        <v>53124456</v>
      </c>
      <c r="O842" s="290">
        <v>61530072</v>
      </c>
      <c r="P842" s="290">
        <v>56029569</v>
      </c>
      <c r="Q842" s="290">
        <v>56682802.159999996</v>
      </c>
      <c r="R842" s="281">
        <f t="shared" si="980"/>
        <v>370937611.15999997</v>
      </c>
      <c r="S842" s="290">
        <v>58688396.25</v>
      </c>
      <c r="T842" s="290">
        <v>63195757.159999996</v>
      </c>
      <c r="U842" s="290">
        <v>64062706.159999996</v>
      </c>
      <c r="V842" s="290">
        <v>65032525.649999999</v>
      </c>
      <c r="W842" s="290">
        <v>65032525.649999999</v>
      </c>
      <c r="X842" s="290">
        <v>9464323.5</v>
      </c>
      <c r="Y842" s="290">
        <v>307501.35000002384</v>
      </c>
      <c r="Z842" s="290"/>
      <c r="AA842" s="281">
        <f t="shared" si="982"/>
        <v>325783735.72000003</v>
      </c>
      <c r="AB842" s="403">
        <f t="shared" si="959"/>
        <v>696721346.88</v>
      </c>
      <c r="AC842" s="326">
        <f t="shared" si="960"/>
        <v>1</v>
      </c>
    </row>
    <row r="843" spans="1:29" ht="14.25" hidden="1" x14ac:dyDescent="0.2">
      <c r="A843" s="424"/>
      <c r="B843" s="323" t="s">
        <v>981</v>
      </c>
      <c r="C843" s="206" t="s">
        <v>378</v>
      </c>
      <c r="D843" s="303"/>
      <c r="E843" s="325">
        <f>SUM('ADICIONES  2021'!C843:N843)</f>
        <v>75000000</v>
      </c>
      <c r="F843" s="290"/>
      <c r="G843" s="290"/>
      <c r="H843" s="290"/>
      <c r="I843" s="290"/>
      <c r="J843" s="290"/>
      <c r="K843" s="281">
        <f t="shared" si="972"/>
        <v>75000000</v>
      </c>
      <c r="L843" s="290"/>
      <c r="M843" s="290"/>
      <c r="N843" s="290"/>
      <c r="O843" s="290"/>
      <c r="P843" s="290"/>
      <c r="Q843" s="290"/>
      <c r="R843" s="281">
        <f t="shared" si="980"/>
        <v>0</v>
      </c>
      <c r="S843" s="290"/>
      <c r="T843" s="290"/>
      <c r="U843" s="290"/>
      <c r="V843" s="290"/>
      <c r="W843" s="290"/>
      <c r="X843" s="290">
        <v>63029702.659999996</v>
      </c>
      <c r="Y843" s="290"/>
      <c r="Z843" s="290"/>
      <c r="AA843" s="281">
        <f t="shared" ref="AA843" si="990">SUM(S843:Z843)</f>
        <v>63029702.659999996</v>
      </c>
      <c r="AB843" s="403">
        <f t="shared" si="959"/>
        <v>63029702.659999996</v>
      </c>
      <c r="AC843" s="326">
        <f t="shared" si="960"/>
        <v>0.84039603546666664</v>
      </c>
    </row>
    <row r="844" spans="1:29" s="19" customFormat="1" ht="25.5" x14ac:dyDescent="0.2">
      <c r="A844" s="429">
        <v>1</v>
      </c>
      <c r="B844" s="323" t="s">
        <v>982</v>
      </c>
      <c r="C844" s="206" t="s">
        <v>983</v>
      </c>
      <c r="D844" s="292">
        <f>SUM(D845:D847)</f>
        <v>810355602.97000003</v>
      </c>
      <c r="E844" s="322">
        <f>SUM('ADICIONES  2021'!C844:N844)</f>
        <v>170538869.03</v>
      </c>
      <c r="F844" s="289"/>
      <c r="G844" s="289">
        <f t="shared" ref="G844:J844" si="991">SUM(G845:G847)</f>
        <v>0</v>
      </c>
      <c r="H844" s="289">
        <f t="shared" si="991"/>
        <v>0</v>
      </c>
      <c r="I844" s="289">
        <f t="shared" si="991"/>
        <v>0</v>
      </c>
      <c r="J844" s="289">
        <f t="shared" si="991"/>
        <v>0</v>
      </c>
      <c r="K844" s="281">
        <f t="shared" si="972"/>
        <v>980894472</v>
      </c>
      <c r="L844" s="289">
        <f t="shared" ref="L844:Q844" si="992">SUM(L845:L847)</f>
        <v>0</v>
      </c>
      <c r="M844" s="289">
        <f t="shared" si="992"/>
        <v>734170854</v>
      </c>
      <c r="N844" s="289">
        <f t="shared" si="992"/>
        <v>244723618</v>
      </c>
      <c r="O844" s="289">
        <f t="shared" si="992"/>
        <v>0</v>
      </c>
      <c r="P844" s="289">
        <f t="shared" si="992"/>
        <v>0</v>
      </c>
      <c r="Q844" s="289">
        <f t="shared" si="992"/>
        <v>0</v>
      </c>
      <c r="R844" s="281">
        <f t="shared" si="980"/>
        <v>978894472</v>
      </c>
      <c r="S844" s="290">
        <f t="shared" ref="S844:Z844" si="993">SUM(S845:S847)</f>
        <v>495518.33</v>
      </c>
      <c r="T844" s="290">
        <f t="shared" si="993"/>
        <v>0</v>
      </c>
      <c r="U844" s="290">
        <f>SUM(U845:U847)</f>
        <v>0</v>
      </c>
      <c r="V844" s="290">
        <f t="shared" si="993"/>
        <v>0</v>
      </c>
      <c r="W844" s="290">
        <f t="shared" si="993"/>
        <v>826.21</v>
      </c>
      <c r="X844" s="290">
        <f t="shared" si="993"/>
        <v>0</v>
      </c>
      <c r="Y844" s="290">
        <f t="shared" si="993"/>
        <v>0</v>
      </c>
      <c r="Z844" s="289">
        <f t="shared" si="993"/>
        <v>0</v>
      </c>
      <c r="AA844" s="276">
        <f t="shared" si="982"/>
        <v>496344.54000000004</v>
      </c>
      <c r="AB844" s="403">
        <f t="shared" si="959"/>
        <v>979390816.53999996</v>
      </c>
      <c r="AC844" s="326">
        <f t="shared" si="960"/>
        <v>0.99846705685175885</v>
      </c>
    </row>
    <row r="845" spans="1:29" ht="14.25" hidden="1" x14ac:dyDescent="0.2">
      <c r="A845" s="424"/>
      <c r="B845" s="323" t="s">
        <v>984</v>
      </c>
      <c r="C845" s="206" t="s">
        <v>375</v>
      </c>
      <c r="D845" s="303">
        <v>202588887.19999999</v>
      </c>
      <c r="E845" s="325">
        <f>SUM('ADICIONES  2021'!C845:N845)</f>
        <v>0</v>
      </c>
      <c r="F845" s="290"/>
      <c r="G845" s="290"/>
      <c r="H845" s="290"/>
      <c r="I845" s="290"/>
      <c r="J845" s="290"/>
      <c r="K845" s="281">
        <f t="shared" si="972"/>
        <v>202588887.19999999</v>
      </c>
      <c r="L845" s="290">
        <v>0</v>
      </c>
      <c r="M845" s="290">
        <v>0</v>
      </c>
      <c r="N845" s="290">
        <v>244723618</v>
      </c>
      <c r="O845" s="290">
        <v>-42134730.799999997</v>
      </c>
      <c r="P845" s="290"/>
      <c r="Q845" s="290"/>
      <c r="R845" s="281">
        <f t="shared" si="980"/>
        <v>202588887.19999999</v>
      </c>
      <c r="S845" s="290">
        <v>0</v>
      </c>
      <c r="T845" s="290"/>
      <c r="U845" s="290">
        <v>0</v>
      </c>
      <c r="V845" s="290">
        <v>0</v>
      </c>
      <c r="W845" s="290"/>
      <c r="X845" s="290"/>
      <c r="Y845" s="290"/>
      <c r="Z845" s="290"/>
      <c r="AA845" s="281">
        <f t="shared" si="982"/>
        <v>0</v>
      </c>
      <c r="AB845" s="403">
        <f t="shared" si="959"/>
        <v>202588887.19999999</v>
      </c>
      <c r="AC845" s="326">
        <f t="shared" si="960"/>
        <v>1</v>
      </c>
    </row>
    <row r="846" spans="1:29" ht="14.25" hidden="1" x14ac:dyDescent="0.2">
      <c r="A846" s="424"/>
      <c r="B846" s="323" t="s">
        <v>984</v>
      </c>
      <c r="C846" s="206" t="s">
        <v>375</v>
      </c>
      <c r="D846" s="303"/>
      <c r="E846" s="325">
        <f>SUM('ADICIONES  2021'!C846:N846)</f>
        <v>42134730.799999997</v>
      </c>
      <c r="F846" s="290"/>
      <c r="G846" s="290"/>
      <c r="H846" s="290"/>
      <c r="I846" s="290"/>
      <c r="J846" s="290"/>
      <c r="K846" s="281">
        <f t="shared" si="972"/>
        <v>42134730.799999997</v>
      </c>
      <c r="L846" s="290"/>
      <c r="M846" s="290"/>
      <c r="N846" s="290"/>
      <c r="O846" s="290">
        <v>42134730.799999997</v>
      </c>
      <c r="P846" s="290"/>
      <c r="Q846" s="290"/>
      <c r="R846" s="281">
        <f t="shared" si="980"/>
        <v>42134730.799999997</v>
      </c>
      <c r="S846" s="290">
        <v>0</v>
      </c>
      <c r="T846" s="290"/>
      <c r="U846" s="290">
        <v>0</v>
      </c>
      <c r="V846" s="290">
        <v>0</v>
      </c>
      <c r="W846" s="290"/>
      <c r="X846" s="290"/>
      <c r="Y846" s="290"/>
      <c r="Z846" s="290"/>
      <c r="AA846" s="281">
        <f t="shared" ref="AA846" si="994">SUM(S846:Z846)</f>
        <v>0</v>
      </c>
      <c r="AB846" s="403">
        <f t="shared" si="959"/>
        <v>42134730.799999997</v>
      </c>
      <c r="AC846" s="326">
        <f t="shared" si="960"/>
        <v>1</v>
      </c>
    </row>
    <row r="847" spans="1:29" s="61" customFormat="1" ht="15.75" hidden="1" x14ac:dyDescent="0.2">
      <c r="A847" s="425"/>
      <c r="B847" s="318" t="s">
        <v>985</v>
      </c>
      <c r="C847" s="319" t="s">
        <v>986</v>
      </c>
      <c r="D847" s="292">
        <f>SUM(D848:D850)</f>
        <v>607766715.76999998</v>
      </c>
      <c r="E847" s="322">
        <f>SUM('ADICIONES  2021'!C847:N847)</f>
        <v>128404138.23</v>
      </c>
      <c r="F847" s="292">
        <f t="shared" ref="F847:J847" si="995">SUM(F848:F850)</f>
        <v>0</v>
      </c>
      <c r="G847" s="292">
        <f t="shared" si="995"/>
        <v>0</v>
      </c>
      <c r="H847" s="292">
        <f t="shared" si="995"/>
        <v>0</v>
      </c>
      <c r="I847" s="292">
        <f t="shared" si="995"/>
        <v>0</v>
      </c>
      <c r="J847" s="292">
        <f t="shared" si="995"/>
        <v>0</v>
      </c>
      <c r="K847" s="276">
        <f t="shared" si="972"/>
        <v>736170854</v>
      </c>
      <c r="L847" s="292">
        <f t="shared" ref="L847:Q847" si="996">SUM(L848:L850)</f>
        <v>0</v>
      </c>
      <c r="M847" s="292">
        <f t="shared" si="996"/>
        <v>734170854</v>
      </c>
      <c r="N847" s="292">
        <f t="shared" si="996"/>
        <v>0</v>
      </c>
      <c r="O847" s="292">
        <f t="shared" si="996"/>
        <v>0</v>
      </c>
      <c r="P847" s="292">
        <f t="shared" si="996"/>
        <v>0</v>
      </c>
      <c r="Q847" s="292">
        <f t="shared" si="996"/>
        <v>0</v>
      </c>
      <c r="R847" s="276">
        <f t="shared" si="980"/>
        <v>734170854</v>
      </c>
      <c r="S847" s="292">
        <f t="shared" ref="S847:Z847" si="997">SUM(S848:S850)</f>
        <v>495518.33</v>
      </c>
      <c r="T847" s="292">
        <f t="shared" si="997"/>
        <v>0</v>
      </c>
      <c r="U847" s="292">
        <f>SUM(U848:U850)</f>
        <v>0</v>
      </c>
      <c r="V847" s="292">
        <f t="shared" si="997"/>
        <v>0</v>
      </c>
      <c r="W847" s="292">
        <f t="shared" si="997"/>
        <v>826.21</v>
      </c>
      <c r="X847" s="292">
        <f t="shared" si="997"/>
        <v>0</v>
      </c>
      <c r="Y847" s="292">
        <f t="shared" si="997"/>
        <v>0</v>
      </c>
      <c r="Z847" s="292">
        <f t="shared" si="997"/>
        <v>0</v>
      </c>
      <c r="AA847" s="276">
        <f t="shared" si="982"/>
        <v>496344.54000000004</v>
      </c>
      <c r="AB847" s="402">
        <f t="shared" si="959"/>
        <v>734667198.53999996</v>
      </c>
      <c r="AC847" s="321">
        <f t="shared" si="960"/>
        <v>0.99795746401554764</v>
      </c>
    </row>
    <row r="848" spans="1:29" ht="14.25" hidden="1" x14ac:dyDescent="0.2">
      <c r="A848" s="424"/>
      <c r="B848" s="323" t="s">
        <v>987</v>
      </c>
      <c r="C848" s="206" t="s">
        <v>378</v>
      </c>
      <c r="D848" s="303">
        <v>607766715.76999998</v>
      </c>
      <c r="E848" s="325">
        <f>SUM('ADICIONES  2021'!C848:N848)</f>
        <v>0</v>
      </c>
      <c r="F848" s="290"/>
      <c r="G848" s="290"/>
      <c r="H848" s="290"/>
      <c r="I848" s="290"/>
      <c r="J848" s="290"/>
      <c r="K848" s="281">
        <f t="shared" si="972"/>
        <v>607766715.76999998</v>
      </c>
      <c r="L848" s="290">
        <v>0</v>
      </c>
      <c r="M848" s="290">
        <v>734170854</v>
      </c>
      <c r="N848" s="290">
        <v>0</v>
      </c>
      <c r="O848" s="290">
        <v>-126404138.23</v>
      </c>
      <c r="P848" s="290"/>
      <c r="Q848" s="290"/>
      <c r="R848" s="281">
        <f t="shared" si="980"/>
        <v>607766715.76999998</v>
      </c>
      <c r="S848" s="290">
        <v>495518.33</v>
      </c>
      <c r="T848" s="290"/>
      <c r="U848" s="290">
        <v>-495518.33</v>
      </c>
      <c r="V848" s="290">
        <v>0</v>
      </c>
      <c r="W848" s="290">
        <v>0</v>
      </c>
      <c r="X848" s="290"/>
      <c r="Y848" s="290"/>
      <c r="Z848" s="290"/>
      <c r="AA848" s="281">
        <f t="shared" si="982"/>
        <v>0</v>
      </c>
      <c r="AB848" s="403">
        <f t="shared" si="959"/>
        <v>607766715.76999998</v>
      </c>
      <c r="AC848" s="326">
        <f t="shared" si="960"/>
        <v>1</v>
      </c>
    </row>
    <row r="849" spans="1:29" ht="14.25" hidden="1" x14ac:dyDescent="0.2">
      <c r="A849" s="424"/>
      <c r="B849" s="323" t="s">
        <v>987</v>
      </c>
      <c r="C849" s="206" t="s">
        <v>378</v>
      </c>
      <c r="D849" s="303"/>
      <c r="E849" s="325">
        <f>SUM('ADICIONES  2021'!C849:N849)</f>
        <v>126404138.23</v>
      </c>
      <c r="F849" s="290"/>
      <c r="G849" s="290"/>
      <c r="H849" s="290"/>
      <c r="I849" s="290"/>
      <c r="J849" s="290"/>
      <c r="K849" s="281">
        <f t="shared" si="972"/>
        <v>126404138.23</v>
      </c>
      <c r="L849" s="290"/>
      <c r="M849" s="290"/>
      <c r="N849" s="290"/>
      <c r="O849" s="290">
        <v>126404138.23</v>
      </c>
      <c r="P849" s="290"/>
      <c r="Q849" s="290"/>
      <c r="R849" s="281">
        <f t="shared" si="980"/>
        <v>126404138.23</v>
      </c>
      <c r="S849" s="290">
        <v>0</v>
      </c>
      <c r="T849" s="290"/>
      <c r="U849" s="290">
        <v>0</v>
      </c>
      <c r="V849" s="290">
        <v>0</v>
      </c>
      <c r="W849" s="290">
        <v>0</v>
      </c>
      <c r="X849" s="290"/>
      <c r="Y849" s="290"/>
      <c r="Z849" s="290"/>
      <c r="AA849" s="281">
        <f t="shared" ref="AA849:AA850" si="998">SUM(S849:Z849)</f>
        <v>0</v>
      </c>
      <c r="AB849" s="403">
        <f t="shared" si="959"/>
        <v>126404138.23</v>
      </c>
      <c r="AC849" s="326">
        <f t="shared" si="960"/>
        <v>1</v>
      </c>
    </row>
    <row r="850" spans="1:29" ht="14.25" hidden="1" x14ac:dyDescent="0.2">
      <c r="A850" s="424"/>
      <c r="B850" s="323" t="s">
        <v>987</v>
      </c>
      <c r="C850" s="206" t="s">
        <v>378</v>
      </c>
      <c r="D850" s="303"/>
      <c r="E850" s="325">
        <f>SUM('ADICIONES  2021'!C850:N850)</f>
        <v>2000000</v>
      </c>
      <c r="F850" s="290"/>
      <c r="G850" s="290"/>
      <c r="H850" s="290"/>
      <c r="I850" s="290"/>
      <c r="J850" s="290"/>
      <c r="K850" s="281">
        <f t="shared" si="972"/>
        <v>2000000</v>
      </c>
      <c r="L850" s="290"/>
      <c r="M850" s="290"/>
      <c r="N850" s="290"/>
      <c r="O850" s="290"/>
      <c r="P850" s="290"/>
      <c r="Q850" s="290"/>
      <c r="R850" s="281">
        <f t="shared" si="980"/>
        <v>0</v>
      </c>
      <c r="S850" s="290"/>
      <c r="T850" s="290"/>
      <c r="U850" s="290">
        <v>495518.33</v>
      </c>
      <c r="V850" s="290">
        <v>0</v>
      </c>
      <c r="W850" s="290">
        <v>826.21</v>
      </c>
      <c r="X850" s="290"/>
      <c r="Y850" s="290"/>
      <c r="Z850" s="290"/>
      <c r="AA850" s="281">
        <f t="shared" si="998"/>
        <v>496344.54000000004</v>
      </c>
      <c r="AB850" s="403">
        <f t="shared" si="959"/>
        <v>496344.54000000004</v>
      </c>
      <c r="AC850" s="326">
        <f t="shared" si="960"/>
        <v>0.24817227000000003</v>
      </c>
    </row>
    <row r="851" spans="1:29" s="61" customFormat="1" ht="25.5" x14ac:dyDescent="0.2">
      <c r="A851" s="428">
        <v>1</v>
      </c>
      <c r="B851" s="318" t="s">
        <v>430</v>
      </c>
      <c r="C851" s="319" t="s">
        <v>988</v>
      </c>
      <c r="D851" s="292">
        <f>+D852+D861</f>
        <v>15174707593.51</v>
      </c>
      <c r="E851" s="322">
        <f>SUM('ADICIONES  2021'!C851:N851)</f>
        <v>3950000000</v>
      </c>
      <c r="F851" s="289"/>
      <c r="G851" s="289">
        <f t="shared" ref="G851:J851" si="999">+G852+G861</f>
        <v>0</v>
      </c>
      <c r="H851" s="289">
        <f t="shared" si="999"/>
        <v>0</v>
      </c>
      <c r="I851" s="289">
        <f t="shared" si="999"/>
        <v>0</v>
      </c>
      <c r="J851" s="289">
        <f t="shared" si="999"/>
        <v>0</v>
      </c>
      <c r="K851" s="276">
        <f t="shared" si="972"/>
        <v>19124707593.510002</v>
      </c>
      <c r="L851" s="289">
        <f t="shared" ref="L851:Q851" si="1000">+L852+L861</f>
        <v>2204930018</v>
      </c>
      <c r="M851" s="289">
        <f t="shared" si="1000"/>
        <v>769757009</v>
      </c>
      <c r="N851" s="289">
        <f t="shared" si="1000"/>
        <v>2035794114</v>
      </c>
      <c r="O851" s="289">
        <f t="shared" si="1000"/>
        <v>744842987</v>
      </c>
      <c r="P851" s="289">
        <f t="shared" si="1000"/>
        <v>961809563</v>
      </c>
      <c r="Q851" s="289">
        <f t="shared" si="1000"/>
        <v>813504792</v>
      </c>
      <c r="R851" s="276">
        <f t="shared" si="980"/>
        <v>7530638483</v>
      </c>
      <c r="S851" s="289">
        <f t="shared" ref="S851:Z851" si="1001">+S852+S861</f>
        <v>2147285414.3699999</v>
      </c>
      <c r="T851" s="289">
        <f t="shared" si="1001"/>
        <v>612249233</v>
      </c>
      <c r="U851" s="289">
        <f>+U852+U861</f>
        <v>3147617643</v>
      </c>
      <c r="V851" s="289">
        <f t="shared" si="1001"/>
        <v>2279254048</v>
      </c>
      <c r="W851" s="289">
        <f t="shared" si="1001"/>
        <v>2749318382.8699999</v>
      </c>
      <c r="X851" s="289">
        <f t="shared" si="1001"/>
        <v>2409792007</v>
      </c>
      <c r="Y851" s="289">
        <f t="shared" si="1001"/>
        <v>0</v>
      </c>
      <c r="Z851" s="289">
        <f t="shared" si="1001"/>
        <v>0</v>
      </c>
      <c r="AA851" s="276">
        <f t="shared" si="982"/>
        <v>13345516728.24</v>
      </c>
      <c r="AB851" s="402">
        <f t="shared" si="959"/>
        <v>20876155211.239998</v>
      </c>
      <c r="AC851" s="321">
        <f t="shared" si="960"/>
        <v>1.0915803605972179</v>
      </c>
    </row>
    <row r="852" spans="1:29" s="19" customFormat="1" x14ac:dyDescent="0.2">
      <c r="A852" s="429">
        <v>1</v>
      </c>
      <c r="B852" s="323" t="s">
        <v>432</v>
      </c>
      <c r="C852" s="206" t="s">
        <v>989</v>
      </c>
      <c r="D852" s="292">
        <f>+D853</f>
        <v>7092000000</v>
      </c>
      <c r="E852" s="322">
        <f>SUM('ADICIONES  2021'!C852:N852)</f>
        <v>762000000</v>
      </c>
      <c r="F852" s="289"/>
      <c r="G852" s="289">
        <f t="shared" ref="G852:J852" si="1002">+G853</f>
        <v>0</v>
      </c>
      <c r="H852" s="289">
        <f t="shared" si="1002"/>
        <v>0</v>
      </c>
      <c r="I852" s="289">
        <f t="shared" si="1002"/>
        <v>0</v>
      </c>
      <c r="J852" s="289">
        <f t="shared" si="1002"/>
        <v>0</v>
      </c>
      <c r="K852" s="281">
        <f t="shared" si="972"/>
        <v>7854000000</v>
      </c>
      <c r="L852" s="289">
        <f t="shared" ref="L852:Q852" si="1003">+L853</f>
        <v>978466605</v>
      </c>
      <c r="M852" s="289">
        <f t="shared" si="1003"/>
        <v>346208735</v>
      </c>
      <c r="N852" s="289">
        <f t="shared" si="1003"/>
        <v>654264045</v>
      </c>
      <c r="O852" s="289">
        <f t="shared" si="1003"/>
        <v>478782534</v>
      </c>
      <c r="P852" s="289">
        <f t="shared" si="1003"/>
        <v>474244328</v>
      </c>
      <c r="Q852" s="289">
        <f t="shared" si="1003"/>
        <v>378323582</v>
      </c>
      <c r="R852" s="281">
        <f t="shared" si="980"/>
        <v>3310289829</v>
      </c>
      <c r="S852" s="290">
        <f t="shared" ref="S852:Z852" si="1004">+S853</f>
        <v>657268445.94000006</v>
      </c>
      <c r="T852" s="290">
        <f t="shared" si="1004"/>
        <v>189398518</v>
      </c>
      <c r="U852" s="290">
        <f>+U853</f>
        <v>1142053481</v>
      </c>
      <c r="V852" s="290">
        <f t="shared" si="1004"/>
        <v>1124022086</v>
      </c>
      <c r="W852" s="290">
        <f t="shared" si="1004"/>
        <v>777451277.87</v>
      </c>
      <c r="X852" s="290">
        <f t="shared" si="1004"/>
        <v>1336807882</v>
      </c>
      <c r="Y852" s="290">
        <f t="shared" si="1004"/>
        <v>0</v>
      </c>
      <c r="Z852" s="289">
        <f t="shared" si="1004"/>
        <v>0</v>
      </c>
      <c r="AA852" s="276">
        <f t="shared" si="982"/>
        <v>5227001690.8099995</v>
      </c>
      <c r="AB852" s="403">
        <f t="shared" si="959"/>
        <v>8537291519.8099995</v>
      </c>
      <c r="AC852" s="326">
        <f t="shared" si="960"/>
        <v>1.0869991749185128</v>
      </c>
    </row>
    <row r="853" spans="1:29" s="61" customFormat="1" ht="25.5" hidden="1" x14ac:dyDescent="0.2">
      <c r="A853" s="425"/>
      <c r="B853" s="318" t="s">
        <v>441</v>
      </c>
      <c r="C853" s="319" t="s">
        <v>990</v>
      </c>
      <c r="D853" s="292">
        <f>SUM(D854:D858)</f>
        <v>7092000000</v>
      </c>
      <c r="E853" s="322">
        <f>SUM('ADICIONES  2021'!C853:N853)</f>
        <v>762000000</v>
      </c>
      <c r="F853" s="289"/>
      <c r="G853" s="289">
        <f t="shared" ref="G853:J853" si="1005">SUM(G854:G858)</f>
        <v>0</v>
      </c>
      <c r="H853" s="289">
        <f t="shared" si="1005"/>
        <v>0</v>
      </c>
      <c r="I853" s="289">
        <f t="shared" si="1005"/>
        <v>0</v>
      </c>
      <c r="J853" s="289">
        <f t="shared" si="1005"/>
        <v>0</v>
      </c>
      <c r="K853" s="276">
        <f t="shared" si="972"/>
        <v>7854000000</v>
      </c>
      <c r="L853" s="289">
        <f t="shared" ref="L853:Q853" si="1006">SUM(L854:L858)</f>
        <v>978466605</v>
      </c>
      <c r="M853" s="289">
        <f t="shared" si="1006"/>
        <v>346208735</v>
      </c>
      <c r="N853" s="289">
        <f t="shared" si="1006"/>
        <v>654264045</v>
      </c>
      <c r="O853" s="289">
        <f t="shared" si="1006"/>
        <v>478782534</v>
      </c>
      <c r="P853" s="289">
        <f t="shared" si="1006"/>
        <v>474244328</v>
      </c>
      <c r="Q853" s="289">
        <f t="shared" si="1006"/>
        <v>378323582</v>
      </c>
      <c r="R853" s="276">
        <f t="shared" si="980"/>
        <v>3310289829</v>
      </c>
      <c r="S853" s="289">
        <f t="shared" ref="S853:Z853" si="1007">SUM(S854:S858)</f>
        <v>657268445.94000006</v>
      </c>
      <c r="T853" s="289">
        <f t="shared" si="1007"/>
        <v>189398518</v>
      </c>
      <c r="U853" s="289">
        <f>SUM(U854:U858)</f>
        <v>1142053481</v>
      </c>
      <c r="V853" s="289">
        <f t="shared" si="1007"/>
        <v>1124022086</v>
      </c>
      <c r="W853" s="289">
        <f t="shared" si="1007"/>
        <v>777451277.87</v>
      </c>
      <c r="X853" s="289">
        <f t="shared" si="1007"/>
        <v>1336807882</v>
      </c>
      <c r="Y853" s="289">
        <f t="shared" si="1007"/>
        <v>0</v>
      </c>
      <c r="Z853" s="289">
        <f t="shared" si="1007"/>
        <v>0</v>
      </c>
      <c r="AA853" s="276">
        <f t="shared" si="982"/>
        <v>5227001690.8099995</v>
      </c>
      <c r="AB853" s="402">
        <f t="shared" si="959"/>
        <v>8537291519.8099995</v>
      </c>
      <c r="AC853" s="321">
        <f t="shared" si="960"/>
        <v>1.0869991749185128</v>
      </c>
    </row>
    <row r="854" spans="1:29" ht="14.25" hidden="1" x14ac:dyDescent="0.2">
      <c r="A854" s="424"/>
      <c r="B854" s="323" t="s">
        <v>443</v>
      </c>
      <c r="C854" s="206" t="s">
        <v>375</v>
      </c>
      <c r="D854" s="303">
        <f>+D856</f>
        <v>1773000000</v>
      </c>
      <c r="E854" s="325">
        <f>SUM('ADICIONES  2021'!C854:N854)</f>
        <v>0</v>
      </c>
      <c r="F854" s="290"/>
      <c r="G854" s="290"/>
      <c r="H854" s="290"/>
      <c r="I854" s="290"/>
      <c r="J854" s="290"/>
      <c r="K854" s="281">
        <f t="shared" si="972"/>
        <v>1773000000</v>
      </c>
      <c r="L854" s="290">
        <v>244616651</v>
      </c>
      <c r="M854" s="290">
        <v>86552184</v>
      </c>
      <c r="N854" s="290">
        <v>163619062</v>
      </c>
      <c r="O854" s="290">
        <v>119695600</v>
      </c>
      <c r="P854" s="290">
        <v>118561000</v>
      </c>
      <c r="Q854" s="290">
        <v>94584130</v>
      </c>
      <c r="R854" s="281">
        <f t="shared" si="980"/>
        <v>827628627</v>
      </c>
      <c r="S854" s="290">
        <v>163093650</v>
      </c>
      <c r="T854" s="290">
        <v>47349600</v>
      </c>
      <c r="U854" s="290">
        <v>283275014</v>
      </c>
      <c r="V854" s="290">
        <v>281007108</v>
      </c>
      <c r="W854" s="290">
        <v>170646001</v>
      </c>
      <c r="X854" s="290">
        <v>167063085</v>
      </c>
      <c r="Y854" s="290"/>
      <c r="Z854" s="290"/>
      <c r="AA854" s="281">
        <f t="shared" si="982"/>
        <v>1112434458</v>
      </c>
      <c r="AB854" s="403">
        <f t="shared" si="959"/>
        <v>1940063085</v>
      </c>
      <c r="AC854" s="326">
        <f t="shared" si="960"/>
        <v>1.0942262182741116</v>
      </c>
    </row>
    <row r="855" spans="1:29" ht="14.25" hidden="1" x14ac:dyDescent="0.2">
      <c r="A855" s="424"/>
      <c r="B855" s="323" t="s">
        <v>443</v>
      </c>
      <c r="C855" s="206" t="s">
        <v>375</v>
      </c>
      <c r="D855" s="303"/>
      <c r="E855" s="325">
        <f>SUM('ADICIONES  2021'!C855:N855)</f>
        <v>190500000</v>
      </c>
      <c r="F855" s="290"/>
      <c r="G855" s="290"/>
      <c r="H855" s="290"/>
      <c r="I855" s="290"/>
      <c r="J855" s="290"/>
      <c r="K855" s="281">
        <f t="shared" si="972"/>
        <v>190500000</v>
      </c>
      <c r="L855" s="290"/>
      <c r="M855" s="290"/>
      <c r="N855" s="290"/>
      <c r="O855" s="290"/>
      <c r="P855" s="290"/>
      <c r="Q855" s="290"/>
      <c r="R855" s="281">
        <f t="shared" si="980"/>
        <v>0</v>
      </c>
      <c r="S855" s="290"/>
      <c r="T855" s="290"/>
      <c r="U855" s="290"/>
      <c r="V855" s="290"/>
      <c r="W855" s="290">
        <v>23306885</v>
      </c>
      <c r="X855" s="290">
        <v>167193115</v>
      </c>
      <c r="Y855" s="290"/>
      <c r="Z855" s="290"/>
      <c r="AA855" s="281">
        <f t="shared" ref="AA855:AA857" si="1008">SUM(S855:Z855)</f>
        <v>190500000</v>
      </c>
      <c r="AB855" s="403">
        <f t="shared" si="959"/>
        <v>190500000</v>
      </c>
      <c r="AC855" s="326">
        <v>0</v>
      </c>
    </row>
    <row r="856" spans="1:29" ht="25.5" hidden="1" x14ac:dyDescent="0.2">
      <c r="A856" s="424"/>
      <c r="B856" s="323" t="s">
        <v>444</v>
      </c>
      <c r="C856" s="206" t="s">
        <v>376</v>
      </c>
      <c r="D856" s="303">
        <v>1773000000</v>
      </c>
      <c r="E856" s="325">
        <f>SUM('ADICIONES  2021'!C856:N856)</f>
        <v>0</v>
      </c>
      <c r="F856" s="290"/>
      <c r="G856" s="290"/>
      <c r="H856" s="290"/>
      <c r="I856" s="290"/>
      <c r="J856" s="290"/>
      <c r="K856" s="281">
        <f t="shared" si="972"/>
        <v>1773000000</v>
      </c>
      <c r="L856" s="290">
        <v>244616651</v>
      </c>
      <c r="M856" s="290">
        <v>86552184</v>
      </c>
      <c r="N856" s="290">
        <v>163619062</v>
      </c>
      <c r="O856" s="290">
        <v>119695600</v>
      </c>
      <c r="P856" s="290">
        <v>118561000</v>
      </c>
      <c r="Q856" s="290">
        <v>94584130</v>
      </c>
      <c r="R856" s="281">
        <f t="shared" si="980"/>
        <v>827628627</v>
      </c>
      <c r="S856" s="290">
        <v>163093650</v>
      </c>
      <c r="T856" s="290">
        <v>47349600</v>
      </c>
      <c r="U856" s="290">
        <v>283275014</v>
      </c>
      <c r="V856" s="290">
        <v>281007108</v>
      </c>
      <c r="W856" s="290">
        <v>170646001</v>
      </c>
      <c r="X856" s="290">
        <v>167063085</v>
      </c>
      <c r="Y856" s="290"/>
      <c r="Z856" s="290"/>
      <c r="AA856" s="281">
        <f t="shared" si="1008"/>
        <v>1112434458</v>
      </c>
      <c r="AB856" s="403">
        <f t="shared" si="959"/>
        <v>1940063085</v>
      </c>
      <c r="AC856" s="326">
        <f t="shared" ref="AC856" si="1009">+AB856/K856</f>
        <v>1.0942262182741116</v>
      </c>
    </row>
    <row r="857" spans="1:29" ht="25.5" hidden="1" x14ac:dyDescent="0.2">
      <c r="A857" s="424"/>
      <c r="B857" s="323" t="s">
        <v>444</v>
      </c>
      <c r="C857" s="206" t="s">
        <v>376</v>
      </c>
      <c r="D857" s="303"/>
      <c r="E857" s="325">
        <f>SUM('ADICIONES  2021'!C857:N857)</f>
        <v>190500000</v>
      </c>
      <c r="F857" s="290"/>
      <c r="G857" s="290"/>
      <c r="H857" s="290"/>
      <c r="I857" s="290"/>
      <c r="J857" s="290"/>
      <c r="K857" s="281">
        <f t="shared" si="972"/>
        <v>190500000</v>
      </c>
      <c r="L857" s="290"/>
      <c r="M857" s="290"/>
      <c r="N857" s="290"/>
      <c r="O857" s="290"/>
      <c r="P857" s="290"/>
      <c r="Q857" s="290"/>
      <c r="R857" s="281">
        <f t="shared" si="980"/>
        <v>0</v>
      </c>
      <c r="S857" s="290"/>
      <c r="T857" s="290"/>
      <c r="U857" s="290"/>
      <c r="V857" s="290"/>
      <c r="W857" s="290">
        <v>23306885</v>
      </c>
      <c r="X857" s="290">
        <v>167193115</v>
      </c>
      <c r="Y857" s="290"/>
      <c r="Z857" s="290"/>
      <c r="AA857" s="281">
        <f t="shared" si="1008"/>
        <v>190500000</v>
      </c>
      <c r="AB857" s="403">
        <f t="shared" si="959"/>
        <v>190500000</v>
      </c>
      <c r="AC857" s="326">
        <v>0</v>
      </c>
    </row>
    <row r="858" spans="1:29" s="61" customFormat="1" ht="15.75" hidden="1" x14ac:dyDescent="0.2">
      <c r="A858" s="425"/>
      <c r="B858" s="318" t="s">
        <v>445</v>
      </c>
      <c r="C858" s="319" t="s">
        <v>986</v>
      </c>
      <c r="D858" s="292">
        <f>+D859+D860</f>
        <v>3546000000</v>
      </c>
      <c r="E858" s="322">
        <f>SUM('ADICIONES  2021'!C858:N858)</f>
        <v>381000000</v>
      </c>
      <c r="F858" s="292">
        <f t="shared" ref="F858:I858" si="1010">+F859+F860</f>
        <v>0</v>
      </c>
      <c r="G858" s="292">
        <f t="shared" si="1010"/>
        <v>0</v>
      </c>
      <c r="H858" s="292">
        <f t="shared" si="1010"/>
        <v>0</v>
      </c>
      <c r="I858" s="292">
        <f t="shared" si="1010"/>
        <v>0</v>
      </c>
      <c r="J858" s="292">
        <f>+J859+J860</f>
        <v>0</v>
      </c>
      <c r="K858" s="276">
        <f t="shared" si="972"/>
        <v>3927000000</v>
      </c>
      <c r="L858" s="292">
        <f t="shared" ref="L858:Q858" si="1011">+L859+L860</f>
        <v>489233303</v>
      </c>
      <c r="M858" s="292">
        <f t="shared" si="1011"/>
        <v>173104367</v>
      </c>
      <c r="N858" s="292">
        <f t="shared" si="1011"/>
        <v>327025921</v>
      </c>
      <c r="O858" s="292">
        <f t="shared" si="1011"/>
        <v>239391334</v>
      </c>
      <c r="P858" s="292">
        <f t="shared" si="1011"/>
        <v>237122328</v>
      </c>
      <c r="Q858" s="292">
        <f t="shared" si="1011"/>
        <v>189155322</v>
      </c>
      <c r="R858" s="276">
        <f t="shared" si="980"/>
        <v>1655032575</v>
      </c>
      <c r="S858" s="292">
        <f t="shared" ref="S858:Z858" si="1012">+S859+S860</f>
        <v>331081145.94</v>
      </c>
      <c r="T858" s="292">
        <f t="shared" si="1012"/>
        <v>94699318</v>
      </c>
      <c r="U858" s="292">
        <f t="shared" si="1012"/>
        <v>575503453</v>
      </c>
      <c r="V858" s="292">
        <f t="shared" si="1012"/>
        <v>562007870</v>
      </c>
      <c r="W858" s="292">
        <f t="shared" si="1012"/>
        <v>389545505.87</v>
      </c>
      <c r="X858" s="292">
        <f t="shared" si="1012"/>
        <v>668295482</v>
      </c>
      <c r="Y858" s="292">
        <f t="shared" si="1012"/>
        <v>0</v>
      </c>
      <c r="Z858" s="292">
        <f t="shared" si="1012"/>
        <v>0</v>
      </c>
      <c r="AA858" s="276">
        <f t="shared" si="982"/>
        <v>2621132774.8099999</v>
      </c>
      <c r="AB858" s="402">
        <f t="shared" si="959"/>
        <v>4276165349.8099999</v>
      </c>
      <c r="AC858" s="321">
        <f t="shared" si="960"/>
        <v>1.0889140182862236</v>
      </c>
    </row>
    <row r="859" spans="1:29" ht="38.25" hidden="1" x14ac:dyDescent="0.2">
      <c r="A859" s="424"/>
      <c r="B859" s="323" t="s">
        <v>991</v>
      </c>
      <c r="C859" s="206" t="s">
        <v>378</v>
      </c>
      <c r="D859" s="303">
        <v>3546000000</v>
      </c>
      <c r="E859" s="325">
        <f>SUM('ADICIONES  2021'!C859:N859)</f>
        <v>0</v>
      </c>
      <c r="F859" s="290"/>
      <c r="G859" s="290"/>
      <c r="H859" s="290"/>
      <c r="I859" s="290"/>
      <c r="J859" s="290"/>
      <c r="K859" s="281">
        <f t="shared" si="972"/>
        <v>3546000000</v>
      </c>
      <c r="L859" s="290">
        <v>489233303</v>
      </c>
      <c r="M859" s="290">
        <v>173104367</v>
      </c>
      <c r="N859" s="290">
        <v>327025921</v>
      </c>
      <c r="O859" s="290">
        <v>239391334</v>
      </c>
      <c r="P859" s="290">
        <v>237122328</v>
      </c>
      <c r="Q859" s="290">
        <v>189155322</v>
      </c>
      <c r="R859" s="281">
        <f t="shared" si="980"/>
        <v>1655032575</v>
      </c>
      <c r="S859" s="290">
        <v>331081145.94</v>
      </c>
      <c r="T859" s="290">
        <v>94699318</v>
      </c>
      <c r="U859" s="290">
        <v>575503453</v>
      </c>
      <c r="V859" s="290">
        <v>562007870</v>
      </c>
      <c r="W859" s="290">
        <v>327675638.06</v>
      </c>
      <c r="X859" s="290">
        <v>349165349.81</v>
      </c>
      <c r="Y859" s="290"/>
      <c r="Z859" s="290"/>
      <c r="AA859" s="281">
        <f t="shared" si="982"/>
        <v>2240132774.8099999</v>
      </c>
      <c r="AB859" s="403">
        <f t="shared" si="959"/>
        <v>3895165349.8099999</v>
      </c>
      <c r="AC859" s="326">
        <f t="shared" si="960"/>
        <v>1.0984673857332206</v>
      </c>
    </row>
    <row r="860" spans="1:29" ht="38.25" hidden="1" x14ac:dyDescent="0.2">
      <c r="A860" s="424"/>
      <c r="B860" s="323" t="s">
        <v>991</v>
      </c>
      <c r="C860" s="206" t="s">
        <v>378</v>
      </c>
      <c r="D860" s="303"/>
      <c r="E860" s="325">
        <f>SUM('ADICIONES  2021'!C860:N860)</f>
        <v>381000000</v>
      </c>
      <c r="F860" s="290"/>
      <c r="G860" s="290"/>
      <c r="H860" s="290"/>
      <c r="I860" s="290"/>
      <c r="J860" s="290"/>
      <c r="K860" s="281">
        <f t="shared" si="972"/>
        <v>381000000</v>
      </c>
      <c r="L860" s="290"/>
      <c r="M860" s="290"/>
      <c r="N860" s="290"/>
      <c r="O860" s="290"/>
      <c r="P860" s="290"/>
      <c r="Q860" s="290"/>
      <c r="R860" s="281">
        <f t="shared" si="980"/>
        <v>0</v>
      </c>
      <c r="S860" s="290"/>
      <c r="T860" s="290"/>
      <c r="U860" s="290"/>
      <c r="V860" s="290"/>
      <c r="W860" s="290">
        <v>61869867.810000002</v>
      </c>
      <c r="X860" s="290">
        <v>319130132.19</v>
      </c>
      <c r="Y860" s="290"/>
      <c r="Z860" s="290"/>
      <c r="AA860" s="281">
        <f t="shared" ref="AA860" si="1013">SUM(S860:Z860)</f>
        <v>381000000</v>
      </c>
      <c r="AB860" s="403">
        <f t="shared" si="959"/>
        <v>381000000</v>
      </c>
      <c r="AC860" s="326">
        <v>0</v>
      </c>
    </row>
    <row r="861" spans="1:29" s="61" customFormat="1" ht="25.5" x14ac:dyDescent="0.2">
      <c r="A861" s="428">
        <v>1</v>
      </c>
      <c r="B861" s="318" t="s">
        <v>448</v>
      </c>
      <c r="C861" s="319" t="s">
        <v>992</v>
      </c>
      <c r="D861" s="292">
        <f>+D862+D873</f>
        <v>8082707593.5100002</v>
      </c>
      <c r="E861" s="322">
        <f>SUM('ADICIONES  2021'!C861:N861)</f>
        <v>3188000000</v>
      </c>
      <c r="F861" s="289"/>
      <c r="G861" s="289">
        <f t="shared" ref="G861:J861" si="1014">+G862+G873</f>
        <v>0</v>
      </c>
      <c r="H861" s="289">
        <f t="shared" si="1014"/>
        <v>0</v>
      </c>
      <c r="I861" s="289">
        <f t="shared" si="1014"/>
        <v>0</v>
      </c>
      <c r="J861" s="289">
        <f t="shared" si="1014"/>
        <v>0</v>
      </c>
      <c r="K861" s="276">
        <f t="shared" si="972"/>
        <v>11270707593.51</v>
      </c>
      <c r="L861" s="289">
        <f t="shared" ref="L861:Q861" si="1015">+L862+L873</f>
        <v>1226463413</v>
      </c>
      <c r="M861" s="289">
        <f t="shared" si="1015"/>
        <v>423548274</v>
      </c>
      <c r="N861" s="289">
        <f t="shared" si="1015"/>
        <v>1381530069</v>
      </c>
      <c r="O861" s="289">
        <f t="shared" si="1015"/>
        <v>266060453</v>
      </c>
      <c r="P861" s="289">
        <f t="shared" si="1015"/>
        <v>487565235</v>
      </c>
      <c r="Q861" s="289">
        <f t="shared" si="1015"/>
        <v>435181210</v>
      </c>
      <c r="R861" s="276">
        <f t="shared" si="980"/>
        <v>4220348654</v>
      </c>
      <c r="S861" s="289">
        <f t="shared" ref="S861:Z861" si="1016">+S862+S873</f>
        <v>1490016968.4299998</v>
      </c>
      <c r="T861" s="289">
        <f t="shared" si="1016"/>
        <v>422850715</v>
      </c>
      <c r="U861" s="289">
        <f>+U862+U873</f>
        <v>2005564162</v>
      </c>
      <c r="V861" s="289">
        <f t="shared" si="1016"/>
        <v>1155231962</v>
      </c>
      <c r="W861" s="289">
        <f t="shared" si="1016"/>
        <v>1971867105</v>
      </c>
      <c r="X861" s="289">
        <f t="shared" si="1016"/>
        <v>1072984125</v>
      </c>
      <c r="Y861" s="289">
        <f t="shared" si="1016"/>
        <v>0</v>
      </c>
      <c r="Z861" s="289">
        <f t="shared" si="1016"/>
        <v>0</v>
      </c>
      <c r="AA861" s="276">
        <f t="shared" si="982"/>
        <v>8118515037.4300003</v>
      </c>
      <c r="AB861" s="402">
        <f t="shared" si="959"/>
        <v>12338863691.43</v>
      </c>
      <c r="AC861" s="321">
        <f t="shared" si="960"/>
        <v>1.0947727628507615</v>
      </c>
    </row>
    <row r="862" spans="1:29" ht="25.5" x14ac:dyDescent="0.2">
      <c r="A862" s="427">
        <v>1</v>
      </c>
      <c r="B862" s="323" t="s">
        <v>450</v>
      </c>
      <c r="C862" s="206" t="s">
        <v>993</v>
      </c>
      <c r="D862" s="292">
        <f>SUM(D863:D869)</f>
        <v>6082707593.5100002</v>
      </c>
      <c r="E862" s="322">
        <f>SUM('ADICIONES  2021'!C862:N862)</f>
        <v>2074000000</v>
      </c>
      <c r="F862" s="289"/>
      <c r="G862" s="289">
        <f t="shared" ref="G862:J862" si="1017">SUM(G863:G869)</f>
        <v>0</v>
      </c>
      <c r="H862" s="289">
        <f t="shared" si="1017"/>
        <v>0</v>
      </c>
      <c r="I862" s="289">
        <f t="shared" si="1017"/>
        <v>0</v>
      </c>
      <c r="J862" s="289">
        <f t="shared" si="1017"/>
        <v>0</v>
      </c>
      <c r="K862" s="281">
        <f t="shared" si="972"/>
        <v>8156707593.5100002</v>
      </c>
      <c r="L862" s="289">
        <f t="shared" ref="L862:Q862" si="1018">SUM(L863:L869)</f>
        <v>830024548</v>
      </c>
      <c r="M862" s="289">
        <f t="shared" si="1018"/>
        <v>251139589</v>
      </c>
      <c r="N862" s="289">
        <f t="shared" si="1018"/>
        <v>1140121455</v>
      </c>
      <c r="O862" s="289">
        <f t="shared" si="1018"/>
        <v>120077160</v>
      </c>
      <c r="P862" s="289">
        <f t="shared" si="1018"/>
        <v>339176780</v>
      </c>
      <c r="Q862" s="289">
        <f t="shared" si="1018"/>
        <v>211317730</v>
      </c>
      <c r="R862" s="281">
        <f t="shared" si="980"/>
        <v>2891857262</v>
      </c>
      <c r="S862" s="290">
        <f t="shared" ref="S862:Z862" si="1019">SUM(S863:S869)</f>
        <v>1249131210.1799998</v>
      </c>
      <c r="T862" s="290">
        <f t="shared" si="1019"/>
        <v>212933087</v>
      </c>
      <c r="U862" s="290">
        <f>SUM(U863:U869)</f>
        <v>1678994788</v>
      </c>
      <c r="V862" s="290">
        <f t="shared" si="1019"/>
        <v>757593236</v>
      </c>
      <c r="W862" s="290">
        <f t="shared" si="1019"/>
        <v>1359088929.23</v>
      </c>
      <c r="X862" s="290">
        <f t="shared" si="1019"/>
        <v>616930460</v>
      </c>
      <c r="Y862" s="290">
        <f t="shared" si="1019"/>
        <v>0</v>
      </c>
      <c r="Z862" s="289">
        <f t="shared" si="1019"/>
        <v>0</v>
      </c>
      <c r="AA862" s="276">
        <f t="shared" si="982"/>
        <v>5874671710.4099998</v>
      </c>
      <c r="AB862" s="403">
        <f t="shared" si="959"/>
        <v>8766528972.4099998</v>
      </c>
      <c r="AC862" s="326">
        <f t="shared" si="960"/>
        <v>1.0747631776557998</v>
      </c>
    </row>
    <row r="863" spans="1:29" ht="14.25" hidden="1" x14ac:dyDescent="0.2">
      <c r="A863" s="424"/>
      <c r="B863" s="323" t="s">
        <v>452</v>
      </c>
      <c r="C863" s="206" t="s">
        <v>375</v>
      </c>
      <c r="D863" s="303">
        <v>1520676898.3800001</v>
      </c>
      <c r="E863" s="325">
        <f>SUM('ADICIONES  2021'!C863:N863)</f>
        <v>0</v>
      </c>
      <c r="F863" s="290"/>
      <c r="G863" s="290"/>
      <c r="H863" s="290"/>
      <c r="I863" s="290"/>
      <c r="J863" s="290"/>
      <c r="K863" s="281">
        <f t="shared" si="972"/>
        <v>1520676898.3800001</v>
      </c>
      <c r="L863" s="290">
        <v>207506137</v>
      </c>
      <c r="M863" s="290">
        <v>62784897.5</v>
      </c>
      <c r="N863" s="290">
        <v>285030363.75</v>
      </c>
      <c r="O863" s="290">
        <v>30019290</v>
      </c>
      <c r="P863" s="290">
        <v>84794195</v>
      </c>
      <c r="Q863" s="290">
        <v>52829432.5</v>
      </c>
      <c r="R863" s="281">
        <f t="shared" si="980"/>
        <v>722964315.75</v>
      </c>
      <c r="S863" s="290">
        <v>310925892.5</v>
      </c>
      <c r="T863" s="290">
        <v>53233271.5</v>
      </c>
      <c r="U863" s="290">
        <v>419748697</v>
      </c>
      <c r="V863" s="290">
        <v>189398309</v>
      </c>
      <c r="W863" s="290">
        <v>-75593587.370000005</v>
      </c>
      <c r="X863" s="290">
        <v>150620798.44999999</v>
      </c>
      <c r="Y863" s="290"/>
      <c r="Z863" s="290"/>
      <c r="AA863" s="281">
        <f t="shared" si="982"/>
        <v>1048333381.0799999</v>
      </c>
      <c r="AB863" s="403">
        <f t="shared" si="959"/>
        <v>1771297696.8299999</v>
      </c>
      <c r="AC863" s="326">
        <f t="shared" si="960"/>
        <v>1.1648087103295841</v>
      </c>
    </row>
    <row r="864" spans="1:29" ht="14.25" hidden="1" x14ac:dyDescent="0.2">
      <c r="A864" s="424"/>
      <c r="B864" s="323" t="s">
        <v>452</v>
      </c>
      <c r="C864" s="206" t="s">
        <v>375</v>
      </c>
      <c r="D864" s="303"/>
      <c r="E864" s="325">
        <f>SUM('ADICIONES  2021'!C864:N864)</f>
        <v>418500000</v>
      </c>
      <c r="F864" s="290"/>
      <c r="G864" s="290"/>
      <c r="H864" s="290"/>
      <c r="I864" s="290"/>
      <c r="J864" s="290"/>
      <c r="K864" s="281">
        <f t="shared" si="972"/>
        <v>418500000</v>
      </c>
      <c r="L864" s="290"/>
      <c r="M864" s="290"/>
      <c r="N864" s="290"/>
      <c r="O864" s="290"/>
      <c r="P864" s="290"/>
      <c r="Q864" s="290"/>
      <c r="R864" s="281">
        <f t="shared" si="980"/>
        <v>0</v>
      </c>
      <c r="S864" s="290"/>
      <c r="T864" s="290"/>
      <c r="U864" s="290"/>
      <c r="V864" s="290"/>
      <c r="W864" s="290">
        <v>414888183.44999999</v>
      </c>
      <c r="X864" s="290">
        <v>3611816.55</v>
      </c>
      <c r="Y864" s="290"/>
      <c r="Z864" s="290"/>
      <c r="AA864" s="281">
        <f t="shared" ref="AA864:AA868" si="1020">SUM(S864:Z864)</f>
        <v>418500000</v>
      </c>
      <c r="AB864" s="403">
        <f t="shared" si="959"/>
        <v>418500000</v>
      </c>
      <c r="AC864" s="326">
        <v>0</v>
      </c>
    </row>
    <row r="865" spans="1:29" ht="14.25" hidden="1" x14ac:dyDescent="0.2">
      <c r="A865" s="424"/>
      <c r="B865" s="323" t="s">
        <v>452</v>
      </c>
      <c r="C865" s="206" t="s">
        <v>375</v>
      </c>
      <c r="D865" s="303"/>
      <c r="E865" s="325">
        <f>SUM('ADICIONES  2021'!C865:N865)</f>
        <v>100000000</v>
      </c>
      <c r="F865" s="290"/>
      <c r="G865" s="290"/>
      <c r="H865" s="290"/>
      <c r="I865" s="290"/>
      <c r="J865" s="290"/>
      <c r="K865" s="281">
        <f t="shared" si="972"/>
        <v>100000000</v>
      </c>
      <c r="L865" s="290"/>
      <c r="M865" s="290"/>
      <c r="N865" s="290"/>
      <c r="O865" s="290"/>
      <c r="P865" s="290"/>
      <c r="Q865" s="290"/>
      <c r="R865" s="281">
        <f t="shared" si="980"/>
        <v>0</v>
      </c>
      <c r="S865" s="290"/>
      <c r="T865" s="290"/>
      <c r="U865" s="290">
        <v>0</v>
      </c>
      <c r="V865" s="290">
        <v>0</v>
      </c>
      <c r="W865" s="290">
        <v>0</v>
      </c>
      <c r="X865" s="290">
        <v>0</v>
      </c>
      <c r="Y865" s="290"/>
      <c r="Z865" s="290"/>
      <c r="AA865" s="281">
        <f t="shared" si="1020"/>
        <v>0</v>
      </c>
      <c r="AB865" s="403">
        <f t="shared" si="959"/>
        <v>0</v>
      </c>
      <c r="AC865" s="326">
        <f t="shared" ref="AC865:AC868" si="1021">+AB865/K865</f>
        <v>0</v>
      </c>
    </row>
    <row r="866" spans="1:29" ht="25.5" hidden="1" x14ac:dyDescent="0.2">
      <c r="A866" s="424"/>
      <c r="B866" s="323" t="s">
        <v>453</v>
      </c>
      <c r="C866" s="206" t="s">
        <v>376</v>
      </c>
      <c r="D866" s="303">
        <v>1520676898.3800001</v>
      </c>
      <c r="E866" s="325">
        <f>SUM('ADICIONES  2021'!C866:N866)</f>
        <v>0</v>
      </c>
      <c r="F866" s="290"/>
      <c r="G866" s="290"/>
      <c r="H866" s="290"/>
      <c r="I866" s="290"/>
      <c r="J866" s="290"/>
      <c r="K866" s="281">
        <f t="shared" si="972"/>
        <v>1520676898.3800001</v>
      </c>
      <c r="L866" s="290">
        <v>207506137</v>
      </c>
      <c r="M866" s="290">
        <v>62784897.5</v>
      </c>
      <c r="N866" s="290">
        <v>285030363.75</v>
      </c>
      <c r="O866" s="290">
        <v>30019290</v>
      </c>
      <c r="P866" s="290">
        <v>84794195</v>
      </c>
      <c r="Q866" s="290">
        <v>52829432.5</v>
      </c>
      <c r="R866" s="281">
        <f t="shared" si="980"/>
        <v>722964315.75</v>
      </c>
      <c r="S866" s="290">
        <v>310925892.5</v>
      </c>
      <c r="T866" s="290">
        <v>53233271.5</v>
      </c>
      <c r="U866" s="290">
        <v>419748697</v>
      </c>
      <c r="V866" s="290">
        <v>189398309</v>
      </c>
      <c r="W866" s="290">
        <v>-75593587.370000005</v>
      </c>
      <c r="X866" s="290">
        <v>150620798.44999999</v>
      </c>
      <c r="Y866" s="290"/>
      <c r="Z866" s="290"/>
      <c r="AA866" s="281">
        <f t="shared" si="1020"/>
        <v>1048333381.0799999</v>
      </c>
      <c r="AB866" s="403">
        <f t="shared" si="959"/>
        <v>1771297696.8299999</v>
      </c>
      <c r="AC866" s="326">
        <f t="shared" si="1021"/>
        <v>1.1648087103295841</v>
      </c>
    </row>
    <row r="867" spans="1:29" ht="25.5" hidden="1" x14ac:dyDescent="0.2">
      <c r="A867" s="424"/>
      <c r="B867" s="323" t="s">
        <v>453</v>
      </c>
      <c r="C867" s="206" t="s">
        <v>376</v>
      </c>
      <c r="D867" s="303"/>
      <c r="E867" s="325">
        <f>SUM('ADICIONES  2021'!C867:N867)</f>
        <v>418500000</v>
      </c>
      <c r="F867" s="290"/>
      <c r="G867" s="290"/>
      <c r="H867" s="290"/>
      <c r="I867" s="290"/>
      <c r="J867" s="290"/>
      <c r="K867" s="281">
        <f t="shared" si="972"/>
        <v>418500000</v>
      </c>
      <c r="L867" s="290"/>
      <c r="M867" s="290"/>
      <c r="N867" s="290"/>
      <c r="O867" s="290"/>
      <c r="P867" s="290"/>
      <c r="Q867" s="290"/>
      <c r="R867" s="281">
        <f t="shared" si="980"/>
        <v>0</v>
      </c>
      <c r="S867" s="290"/>
      <c r="T867" s="290"/>
      <c r="U867" s="290"/>
      <c r="V867" s="290"/>
      <c r="W867" s="290">
        <v>414888183.44999999</v>
      </c>
      <c r="X867" s="290">
        <v>3611816.55</v>
      </c>
      <c r="Y867" s="290"/>
      <c r="Z867" s="290"/>
      <c r="AA867" s="281">
        <f t="shared" si="1020"/>
        <v>418500000</v>
      </c>
      <c r="AB867" s="403">
        <f t="shared" si="959"/>
        <v>418500000</v>
      </c>
      <c r="AC867" s="326">
        <v>0</v>
      </c>
    </row>
    <row r="868" spans="1:29" ht="25.5" hidden="1" x14ac:dyDescent="0.2">
      <c r="A868" s="424"/>
      <c r="B868" s="323" t="s">
        <v>453</v>
      </c>
      <c r="C868" s="206" t="s">
        <v>376</v>
      </c>
      <c r="D868" s="303"/>
      <c r="E868" s="325">
        <f>SUM('ADICIONES  2021'!C868:N868)</f>
        <v>100000000</v>
      </c>
      <c r="F868" s="290"/>
      <c r="G868" s="290"/>
      <c r="H868" s="290"/>
      <c r="I868" s="290"/>
      <c r="J868" s="290"/>
      <c r="K868" s="281">
        <f t="shared" si="972"/>
        <v>100000000</v>
      </c>
      <c r="L868" s="290"/>
      <c r="M868" s="290"/>
      <c r="N868" s="290"/>
      <c r="O868" s="290"/>
      <c r="P868" s="290"/>
      <c r="Q868" s="290"/>
      <c r="R868" s="281">
        <f t="shared" si="980"/>
        <v>0</v>
      </c>
      <c r="S868" s="290"/>
      <c r="T868" s="290"/>
      <c r="U868" s="290">
        <v>0</v>
      </c>
      <c r="V868" s="290">
        <v>0</v>
      </c>
      <c r="W868" s="290">
        <v>0</v>
      </c>
      <c r="X868" s="290">
        <v>0</v>
      </c>
      <c r="Y868" s="290"/>
      <c r="Z868" s="290"/>
      <c r="AA868" s="281">
        <f t="shared" si="1020"/>
        <v>0</v>
      </c>
      <c r="AB868" s="403">
        <f t="shared" si="959"/>
        <v>0</v>
      </c>
      <c r="AC868" s="326">
        <f t="shared" si="1021"/>
        <v>0</v>
      </c>
    </row>
    <row r="869" spans="1:29" s="61" customFormat="1" ht="15.75" hidden="1" x14ac:dyDescent="0.2">
      <c r="A869" s="425"/>
      <c r="B869" s="318" t="s">
        <v>454</v>
      </c>
      <c r="C869" s="319" t="s">
        <v>986</v>
      </c>
      <c r="D869" s="292">
        <f>SUM(D870:D872)</f>
        <v>3041353796.75</v>
      </c>
      <c r="E869" s="322">
        <f>SUM('ADICIONES  2021'!C869:N869)</f>
        <v>1037000000</v>
      </c>
      <c r="F869" s="292">
        <f t="shared" ref="F869:J869" si="1022">SUM(F870:F872)</f>
        <v>0</v>
      </c>
      <c r="G869" s="292">
        <f t="shared" si="1022"/>
        <v>0</v>
      </c>
      <c r="H869" s="292">
        <f t="shared" si="1022"/>
        <v>0</v>
      </c>
      <c r="I869" s="292">
        <f t="shared" si="1022"/>
        <v>0</v>
      </c>
      <c r="J869" s="292">
        <f t="shared" si="1022"/>
        <v>0</v>
      </c>
      <c r="K869" s="276">
        <f t="shared" si="972"/>
        <v>4078353796.75</v>
      </c>
      <c r="L869" s="292">
        <f t="shared" ref="L869:Q869" si="1023">SUM(L870:L872)</f>
        <v>415012274</v>
      </c>
      <c r="M869" s="292">
        <f t="shared" si="1023"/>
        <v>125569794</v>
      </c>
      <c r="N869" s="292">
        <f t="shared" si="1023"/>
        <v>570060727.5</v>
      </c>
      <c r="O869" s="292">
        <f t="shared" si="1023"/>
        <v>60038580</v>
      </c>
      <c r="P869" s="292">
        <f t="shared" si="1023"/>
        <v>169588390</v>
      </c>
      <c r="Q869" s="292">
        <f t="shared" si="1023"/>
        <v>105658865</v>
      </c>
      <c r="R869" s="276">
        <f t="shared" si="980"/>
        <v>1445928630.5</v>
      </c>
      <c r="S869" s="292">
        <f t="shared" ref="S869:Z869" si="1024">SUM(S870:S872)</f>
        <v>627279425.17999995</v>
      </c>
      <c r="T869" s="292">
        <f t="shared" si="1024"/>
        <v>106466544</v>
      </c>
      <c r="U869" s="292">
        <f>SUM(U870:U872)</f>
        <v>839497394</v>
      </c>
      <c r="V869" s="292">
        <f t="shared" si="1024"/>
        <v>378796618</v>
      </c>
      <c r="W869" s="292">
        <f t="shared" si="1024"/>
        <v>680499737.06999993</v>
      </c>
      <c r="X869" s="292">
        <f t="shared" si="1024"/>
        <v>308465230</v>
      </c>
      <c r="Y869" s="292">
        <f t="shared" si="1024"/>
        <v>0</v>
      </c>
      <c r="Z869" s="292">
        <f t="shared" si="1024"/>
        <v>0</v>
      </c>
      <c r="AA869" s="276">
        <f t="shared" ref="AA869:AA873" si="1025">SUM(S869:Z869)</f>
        <v>2941004948.25</v>
      </c>
      <c r="AB869" s="402">
        <f t="shared" si="959"/>
        <v>4386933578.75</v>
      </c>
      <c r="AC869" s="321">
        <f t="shared" si="960"/>
        <v>1.0756628280376028</v>
      </c>
    </row>
    <row r="870" spans="1:29" ht="38.25" hidden="1" x14ac:dyDescent="0.2">
      <c r="A870" s="424"/>
      <c r="B870" s="323" t="s">
        <v>994</v>
      </c>
      <c r="C870" s="206" t="s">
        <v>378</v>
      </c>
      <c r="D870" s="303">
        <v>3041353796.75</v>
      </c>
      <c r="E870" s="325">
        <f>SUM('ADICIONES  2021'!C870:N870)</f>
        <v>0</v>
      </c>
      <c r="F870" s="290"/>
      <c r="G870" s="290"/>
      <c r="H870" s="290"/>
      <c r="I870" s="290"/>
      <c r="J870" s="290"/>
      <c r="K870" s="281">
        <f t="shared" si="972"/>
        <v>3041353796.75</v>
      </c>
      <c r="L870" s="290">
        <v>415012274</v>
      </c>
      <c r="M870" s="290">
        <v>125569794</v>
      </c>
      <c r="N870" s="290">
        <v>570060727.5</v>
      </c>
      <c r="O870" s="290">
        <v>60038580</v>
      </c>
      <c r="P870" s="290">
        <v>169588390</v>
      </c>
      <c r="Q870" s="290">
        <v>105658865</v>
      </c>
      <c r="R870" s="281">
        <f t="shared" si="980"/>
        <v>1445928630.5</v>
      </c>
      <c r="S870" s="290">
        <v>627279425.17999995</v>
      </c>
      <c r="T870" s="290">
        <v>106466544</v>
      </c>
      <c r="U870" s="290">
        <v>839497394</v>
      </c>
      <c r="V870" s="290">
        <v>378796618</v>
      </c>
      <c r="W870" s="290">
        <v>-156500262.93000001</v>
      </c>
      <c r="X870" s="290">
        <v>308465230</v>
      </c>
      <c r="Y870" s="290"/>
      <c r="Z870" s="290"/>
      <c r="AA870" s="281">
        <f t="shared" si="1025"/>
        <v>2104004948.2499998</v>
      </c>
      <c r="AB870" s="403">
        <f t="shared" si="959"/>
        <v>3549933578.75</v>
      </c>
      <c r="AC870" s="326">
        <f t="shared" si="960"/>
        <v>1.1672215125196779</v>
      </c>
    </row>
    <row r="871" spans="1:29" ht="38.25" hidden="1" x14ac:dyDescent="0.2">
      <c r="A871" s="424"/>
      <c r="B871" s="323" t="s">
        <v>994</v>
      </c>
      <c r="C871" s="206" t="s">
        <v>378</v>
      </c>
      <c r="D871" s="303"/>
      <c r="E871" s="325">
        <f>SUM('ADICIONES  2021'!C871:N871)</f>
        <v>837000000</v>
      </c>
      <c r="F871" s="290"/>
      <c r="G871" s="290"/>
      <c r="H871" s="290"/>
      <c r="I871" s="290"/>
      <c r="J871" s="290"/>
      <c r="K871" s="281">
        <f t="shared" si="972"/>
        <v>837000000</v>
      </c>
      <c r="L871" s="290"/>
      <c r="M871" s="290"/>
      <c r="N871" s="290"/>
      <c r="O871" s="290"/>
      <c r="P871" s="290"/>
      <c r="Q871" s="290"/>
      <c r="R871" s="281">
        <f t="shared" si="980"/>
        <v>0</v>
      </c>
      <c r="S871" s="290"/>
      <c r="T871" s="290"/>
      <c r="U871" s="290"/>
      <c r="V871" s="290"/>
      <c r="W871" s="290">
        <v>837000000</v>
      </c>
      <c r="X871" s="290">
        <v>0</v>
      </c>
      <c r="Y871" s="290"/>
      <c r="Z871" s="290"/>
      <c r="AA871" s="281">
        <f t="shared" ref="AA871" si="1026">SUM(S871:Z871)</f>
        <v>837000000</v>
      </c>
      <c r="AB871" s="403">
        <f t="shared" si="959"/>
        <v>837000000</v>
      </c>
      <c r="AC871" s="326">
        <v>0</v>
      </c>
    </row>
    <row r="872" spans="1:29" ht="38.25" hidden="1" x14ac:dyDescent="0.2">
      <c r="A872" s="424"/>
      <c r="B872" s="323" t="s">
        <v>994</v>
      </c>
      <c r="C872" s="206" t="s">
        <v>378</v>
      </c>
      <c r="D872" s="303"/>
      <c r="E872" s="325">
        <f>SUM('ADICIONES  2021'!C872:N872)</f>
        <v>200000000</v>
      </c>
      <c r="F872" s="290"/>
      <c r="G872" s="290"/>
      <c r="H872" s="290"/>
      <c r="I872" s="290"/>
      <c r="J872" s="290"/>
      <c r="K872" s="281">
        <f t="shared" si="972"/>
        <v>200000000</v>
      </c>
      <c r="L872" s="290"/>
      <c r="M872" s="290"/>
      <c r="N872" s="290"/>
      <c r="O872" s="290"/>
      <c r="P872" s="290"/>
      <c r="Q872" s="290"/>
      <c r="R872" s="281">
        <f t="shared" si="980"/>
        <v>0</v>
      </c>
      <c r="S872" s="290"/>
      <c r="T872" s="290"/>
      <c r="U872" s="290">
        <v>0</v>
      </c>
      <c r="V872" s="290">
        <v>0</v>
      </c>
      <c r="W872" s="290">
        <v>0</v>
      </c>
      <c r="X872" s="290">
        <v>0</v>
      </c>
      <c r="Y872" s="290"/>
      <c r="Z872" s="290"/>
      <c r="AA872" s="281">
        <f t="shared" si="1025"/>
        <v>0</v>
      </c>
      <c r="AB872" s="403">
        <f t="shared" si="959"/>
        <v>0</v>
      </c>
      <c r="AC872" s="326">
        <f t="shared" si="960"/>
        <v>0</v>
      </c>
    </row>
    <row r="873" spans="1:29" s="19" customFormat="1" ht="25.5" x14ac:dyDescent="0.2">
      <c r="A873" s="429">
        <v>1</v>
      </c>
      <c r="B873" s="323" t="s">
        <v>457</v>
      </c>
      <c r="C873" s="206" t="s">
        <v>995</v>
      </c>
      <c r="D873" s="292">
        <f>SUM(D874:D880)</f>
        <v>2000000000</v>
      </c>
      <c r="E873" s="322">
        <f>SUM('ADICIONES  2021'!C873:N873)</f>
        <v>1114000000</v>
      </c>
      <c r="F873" s="289"/>
      <c r="G873" s="289">
        <f t="shared" ref="G873:J873" si="1027">SUM(G874:G880)</f>
        <v>0</v>
      </c>
      <c r="H873" s="289">
        <f t="shared" si="1027"/>
        <v>0</v>
      </c>
      <c r="I873" s="289">
        <f t="shared" si="1027"/>
        <v>0</v>
      </c>
      <c r="J873" s="289">
        <f t="shared" si="1027"/>
        <v>0</v>
      </c>
      <c r="K873" s="281">
        <f t="shared" si="972"/>
        <v>3114000000</v>
      </c>
      <c r="L873" s="289">
        <f t="shared" ref="L873:Q873" si="1028">SUM(L874:L880)</f>
        <v>396438865</v>
      </c>
      <c r="M873" s="289">
        <f t="shared" si="1028"/>
        <v>172408685</v>
      </c>
      <c r="N873" s="289">
        <f t="shared" si="1028"/>
        <v>241408614</v>
      </c>
      <c r="O873" s="289">
        <f t="shared" si="1028"/>
        <v>145983293</v>
      </c>
      <c r="P873" s="289">
        <f t="shared" si="1028"/>
        <v>148388455</v>
      </c>
      <c r="Q873" s="289">
        <f t="shared" si="1028"/>
        <v>223863480</v>
      </c>
      <c r="R873" s="281">
        <f t="shared" si="980"/>
        <v>1328491392</v>
      </c>
      <c r="S873" s="290">
        <f t="shared" ref="S873:Z873" si="1029">SUM(S874:S880)</f>
        <v>240885758.25</v>
      </c>
      <c r="T873" s="290">
        <f t="shared" si="1029"/>
        <v>209917628</v>
      </c>
      <c r="U873" s="290">
        <f>SUM(U874:U880)</f>
        <v>326569374</v>
      </c>
      <c r="V873" s="290">
        <f t="shared" si="1029"/>
        <v>397638726</v>
      </c>
      <c r="W873" s="290">
        <f t="shared" si="1029"/>
        <v>612778175.76999998</v>
      </c>
      <c r="X873" s="290">
        <f t="shared" si="1029"/>
        <v>456053665</v>
      </c>
      <c r="Y873" s="290">
        <f t="shared" si="1029"/>
        <v>0</v>
      </c>
      <c r="Z873" s="289">
        <f t="shared" si="1029"/>
        <v>0</v>
      </c>
      <c r="AA873" s="276">
        <f t="shared" si="1025"/>
        <v>2243843327.02</v>
      </c>
      <c r="AB873" s="403">
        <f t="shared" si="959"/>
        <v>3572334719.02</v>
      </c>
      <c r="AC873" s="326">
        <f t="shared" si="960"/>
        <v>1.1471852019974309</v>
      </c>
    </row>
    <row r="874" spans="1:29" ht="14.25" hidden="1" x14ac:dyDescent="0.2">
      <c r="A874" s="424"/>
      <c r="B874" s="323" t="s">
        <v>459</v>
      </c>
      <c r="C874" s="206" t="s">
        <v>375</v>
      </c>
      <c r="D874" s="303">
        <v>500000000</v>
      </c>
      <c r="E874" s="325">
        <f>SUM('ADICIONES  2021'!C874:N874)</f>
        <v>0</v>
      </c>
      <c r="F874" s="290"/>
      <c r="G874" s="290"/>
      <c r="H874" s="290"/>
      <c r="I874" s="290"/>
      <c r="J874" s="290"/>
      <c r="K874" s="281">
        <f t="shared" si="972"/>
        <v>500000000</v>
      </c>
      <c r="L874" s="290">
        <v>98983349</v>
      </c>
      <c r="M874" s="290">
        <v>52056041</v>
      </c>
      <c r="N874" s="290">
        <v>60351938</v>
      </c>
      <c r="O874" s="290">
        <v>36495400</v>
      </c>
      <c r="P874" s="290">
        <v>37097000</v>
      </c>
      <c r="Q874" s="290">
        <v>55965870</v>
      </c>
      <c r="R874" s="281">
        <f t="shared" si="980"/>
        <v>340949598</v>
      </c>
      <c r="S874" s="290">
        <v>59650350</v>
      </c>
      <c r="T874" s="290">
        <v>52479400</v>
      </c>
      <c r="U874" s="290">
        <v>46920652</v>
      </c>
      <c r="V874" s="290">
        <v>99409892</v>
      </c>
      <c r="W874" s="290">
        <v>-25437309.079999998</v>
      </c>
      <c r="X874" s="290">
        <v>114030800</v>
      </c>
      <c r="Y874" s="290"/>
      <c r="Z874" s="290"/>
      <c r="AA874" s="281">
        <f t="shared" si="982"/>
        <v>347053784.92000002</v>
      </c>
      <c r="AB874" s="403">
        <f t="shared" si="959"/>
        <v>688003382.92000008</v>
      </c>
      <c r="AC874" s="326">
        <f t="shared" si="960"/>
        <v>1.3760067658400001</v>
      </c>
    </row>
    <row r="875" spans="1:29" ht="14.25" hidden="1" x14ac:dyDescent="0.2">
      <c r="A875" s="424"/>
      <c r="B875" s="323" t="s">
        <v>459</v>
      </c>
      <c r="C875" s="206" t="s">
        <v>375</v>
      </c>
      <c r="D875" s="303"/>
      <c r="E875" s="325">
        <f>SUM('ADICIONES  2021'!C875:N875)</f>
        <v>178500000</v>
      </c>
      <c r="F875" s="290"/>
      <c r="G875" s="290"/>
      <c r="H875" s="290"/>
      <c r="I875" s="290"/>
      <c r="J875" s="290"/>
      <c r="K875" s="281">
        <f t="shared" si="972"/>
        <v>178500000</v>
      </c>
      <c r="L875" s="290"/>
      <c r="M875" s="290"/>
      <c r="N875" s="290"/>
      <c r="O875" s="290"/>
      <c r="P875" s="290"/>
      <c r="Q875" s="290"/>
      <c r="R875" s="281">
        <f t="shared" si="980"/>
        <v>0</v>
      </c>
      <c r="S875" s="290"/>
      <c r="T875" s="290"/>
      <c r="U875" s="290"/>
      <c r="V875" s="290"/>
      <c r="W875" s="290">
        <v>178500000</v>
      </c>
      <c r="X875" s="290">
        <v>0</v>
      </c>
      <c r="Y875" s="290"/>
      <c r="Z875" s="290"/>
      <c r="AA875" s="281">
        <f t="shared" ref="AA875:AA879" si="1030">SUM(S875:Z875)</f>
        <v>178500000</v>
      </c>
      <c r="AB875" s="403">
        <f t="shared" si="959"/>
        <v>178500000</v>
      </c>
      <c r="AC875" s="326">
        <v>0</v>
      </c>
    </row>
    <row r="876" spans="1:29" ht="14.25" hidden="1" x14ac:dyDescent="0.2">
      <c r="A876" s="424"/>
      <c r="B876" s="323" t="s">
        <v>459</v>
      </c>
      <c r="C876" s="206" t="s">
        <v>375</v>
      </c>
      <c r="D876" s="303"/>
      <c r="E876" s="325">
        <f>SUM('ADICIONES  2021'!C876:N876)</f>
        <v>100000000</v>
      </c>
      <c r="F876" s="290"/>
      <c r="G876" s="290"/>
      <c r="H876" s="290"/>
      <c r="I876" s="290"/>
      <c r="J876" s="290"/>
      <c r="K876" s="281">
        <f t="shared" si="972"/>
        <v>100000000</v>
      </c>
      <c r="L876" s="290"/>
      <c r="M876" s="290"/>
      <c r="N876" s="290"/>
      <c r="O876" s="290"/>
      <c r="P876" s="290"/>
      <c r="Q876" s="290"/>
      <c r="R876" s="281">
        <f t="shared" si="980"/>
        <v>0</v>
      </c>
      <c r="S876" s="290"/>
      <c r="T876" s="290"/>
      <c r="U876" s="290">
        <v>34098334</v>
      </c>
      <c r="V876" s="290">
        <v>0</v>
      </c>
      <c r="W876" s="290">
        <v>0</v>
      </c>
      <c r="X876" s="290">
        <v>0</v>
      </c>
      <c r="Y876" s="290"/>
      <c r="Z876" s="290"/>
      <c r="AA876" s="281">
        <f t="shared" si="1030"/>
        <v>34098334</v>
      </c>
      <c r="AB876" s="403">
        <f t="shared" si="959"/>
        <v>34098334</v>
      </c>
      <c r="AC876" s="326">
        <f t="shared" ref="AC876:AC879" si="1031">+AB876/K876</f>
        <v>0.34098334000000002</v>
      </c>
    </row>
    <row r="877" spans="1:29" ht="25.5" hidden="1" x14ac:dyDescent="0.2">
      <c r="A877" s="424"/>
      <c r="B877" s="323" t="s">
        <v>460</v>
      </c>
      <c r="C877" s="355" t="s">
        <v>376</v>
      </c>
      <c r="D877" s="303">
        <v>500000000</v>
      </c>
      <c r="E877" s="325">
        <f>SUM('ADICIONES  2021'!C877:N877)</f>
        <v>0</v>
      </c>
      <c r="F877" s="290"/>
      <c r="G877" s="290"/>
      <c r="H877" s="290"/>
      <c r="I877" s="290"/>
      <c r="J877" s="290"/>
      <c r="K877" s="281">
        <f t="shared" si="972"/>
        <v>500000000</v>
      </c>
      <c r="L877" s="290">
        <v>98983349</v>
      </c>
      <c r="M877" s="290">
        <v>52056041</v>
      </c>
      <c r="N877" s="290">
        <v>60351938</v>
      </c>
      <c r="O877" s="290">
        <v>36495400</v>
      </c>
      <c r="P877" s="290">
        <v>37097000</v>
      </c>
      <c r="Q877" s="290">
        <v>55965870</v>
      </c>
      <c r="R877" s="281">
        <f t="shared" si="980"/>
        <v>340949598</v>
      </c>
      <c r="S877" s="290">
        <v>59650350</v>
      </c>
      <c r="T877" s="290">
        <v>52479400</v>
      </c>
      <c r="U877" s="290">
        <v>46920652</v>
      </c>
      <c r="V877" s="290">
        <v>99409892</v>
      </c>
      <c r="W877" s="290">
        <v>-25437309.079999998</v>
      </c>
      <c r="X877" s="290">
        <v>114030800</v>
      </c>
      <c r="Y877" s="290"/>
      <c r="Z877" s="290"/>
      <c r="AA877" s="281">
        <f t="shared" si="1030"/>
        <v>347053784.92000002</v>
      </c>
      <c r="AB877" s="403">
        <f t="shared" si="959"/>
        <v>688003382.92000008</v>
      </c>
      <c r="AC877" s="326">
        <f t="shared" si="1031"/>
        <v>1.3760067658400001</v>
      </c>
    </row>
    <row r="878" spans="1:29" ht="25.5" hidden="1" x14ac:dyDescent="0.2">
      <c r="A878" s="424"/>
      <c r="B878" s="323" t="s">
        <v>460</v>
      </c>
      <c r="C878" s="355" t="s">
        <v>376</v>
      </c>
      <c r="D878" s="303"/>
      <c r="E878" s="325">
        <f>SUM('ADICIONES  2021'!C878:N878)</f>
        <v>178500000</v>
      </c>
      <c r="F878" s="290"/>
      <c r="G878" s="290"/>
      <c r="H878" s="290"/>
      <c r="I878" s="290"/>
      <c r="J878" s="290"/>
      <c r="K878" s="281">
        <f t="shared" si="972"/>
        <v>178500000</v>
      </c>
      <c r="L878" s="290"/>
      <c r="M878" s="290"/>
      <c r="N878" s="290"/>
      <c r="O878" s="290"/>
      <c r="P878" s="290"/>
      <c r="Q878" s="290"/>
      <c r="R878" s="281">
        <f t="shared" si="980"/>
        <v>0</v>
      </c>
      <c r="S878" s="290"/>
      <c r="T878" s="290"/>
      <c r="U878" s="290"/>
      <c r="V878" s="290"/>
      <c r="W878" s="290">
        <v>178500000</v>
      </c>
      <c r="X878" s="290">
        <v>0</v>
      </c>
      <c r="Y878" s="290"/>
      <c r="Z878" s="290"/>
      <c r="AA878" s="281">
        <f t="shared" si="1030"/>
        <v>178500000</v>
      </c>
      <c r="AB878" s="403">
        <f t="shared" si="959"/>
        <v>178500000</v>
      </c>
      <c r="AC878" s="326">
        <v>0</v>
      </c>
    </row>
    <row r="879" spans="1:29" ht="25.5" hidden="1" x14ac:dyDescent="0.2">
      <c r="A879" s="424"/>
      <c r="B879" s="323" t="s">
        <v>460</v>
      </c>
      <c r="C879" s="355" t="s">
        <v>376</v>
      </c>
      <c r="D879" s="303"/>
      <c r="E879" s="325">
        <f>SUM('ADICIONES  2021'!C879:N879)</f>
        <v>100000000</v>
      </c>
      <c r="F879" s="290"/>
      <c r="G879" s="290"/>
      <c r="H879" s="290"/>
      <c r="I879" s="290"/>
      <c r="J879" s="290"/>
      <c r="K879" s="281">
        <f t="shared" si="972"/>
        <v>100000000</v>
      </c>
      <c r="L879" s="290"/>
      <c r="M879" s="290"/>
      <c r="N879" s="290"/>
      <c r="O879" s="290"/>
      <c r="P879" s="290"/>
      <c r="Q879" s="290"/>
      <c r="R879" s="281">
        <f t="shared" si="980"/>
        <v>0</v>
      </c>
      <c r="S879" s="290"/>
      <c r="T879" s="290"/>
      <c r="U879" s="290">
        <v>34098334</v>
      </c>
      <c r="V879" s="290">
        <v>0</v>
      </c>
      <c r="W879" s="290">
        <v>0</v>
      </c>
      <c r="X879" s="290">
        <v>0</v>
      </c>
      <c r="Y879" s="290"/>
      <c r="Z879" s="290"/>
      <c r="AA879" s="281">
        <f t="shared" si="1030"/>
        <v>34098334</v>
      </c>
      <c r="AB879" s="403">
        <f t="shared" si="959"/>
        <v>34098334</v>
      </c>
      <c r="AC879" s="326">
        <f t="shared" si="1031"/>
        <v>0.34098334000000002</v>
      </c>
    </row>
    <row r="880" spans="1:29" s="61" customFormat="1" ht="15.75" hidden="1" x14ac:dyDescent="0.2">
      <c r="A880" s="425"/>
      <c r="B880" s="318" t="s">
        <v>461</v>
      </c>
      <c r="C880" s="319" t="s">
        <v>986</v>
      </c>
      <c r="D880" s="292">
        <f>SUM(D881:D883)</f>
        <v>1000000000</v>
      </c>
      <c r="E880" s="322">
        <f>SUM('ADICIONES  2021'!C880:N880)</f>
        <v>557000000</v>
      </c>
      <c r="F880" s="292">
        <f t="shared" ref="F880:J880" si="1032">SUM(F881:F883)</f>
        <v>0</v>
      </c>
      <c r="G880" s="292">
        <f t="shared" si="1032"/>
        <v>0</v>
      </c>
      <c r="H880" s="292">
        <f t="shared" si="1032"/>
        <v>0</v>
      </c>
      <c r="I880" s="292">
        <f t="shared" si="1032"/>
        <v>0</v>
      </c>
      <c r="J880" s="292">
        <f t="shared" si="1032"/>
        <v>0</v>
      </c>
      <c r="K880" s="276">
        <f t="shared" si="972"/>
        <v>1557000000</v>
      </c>
      <c r="L880" s="292">
        <f t="shared" ref="L880:Q880" si="1033">SUM(L881:L883)</f>
        <v>198472167</v>
      </c>
      <c r="M880" s="292">
        <f t="shared" si="1033"/>
        <v>68296603</v>
      </c>
      <c r="N880" s="292">
        <f t="shared" si="1033"/>
        <v>120704738</v>
      </c>
      <c r="O880" s="292">
        <f t="shared" si="1033"/>
        <v>72992493</v>
      </c>
      <c r="P880" s="292">
        <f t="shared" si="1033"/>
        <v>74194455</v>
      </c>
      <c r="Q880" s="292">
        <f t="shared" si="1033"/>
        <v>111931740</v>
      </c>
      <c r="R880" s="276">
        <f t="shared" si="980"/>
        <v>646592196</v>
      </c>
      <c r="S880" s="292">
        <f t="shared" ref="S880:Y880" si="1034">SUM(S881:S883)</f>
        <v>121585058.25</v>
      </c>
      <c r="T880" s="292">
        <f t="shared" si="1034"/>
        <v>104958828</v>
      </c>
      <c r="U880" s="292">
        <f>SUM(U881:U883)</f>
        <v>164531402</v>
      </c>
      <c r="V880" s="292">
        <f t="shared" si="1034"/>
        <v>198818942</v>
      </c>
      <c r="W880" s="292">
        <f t="shared" si="1034"/>
        <v>306652793.93000001</v>
      </c>
      <c r="X880" s="292">
        <f t="shared" si="1034"/>
        <v>227992065</v>
      </c>
      <c r="Y880" s="292">
        <f t="shared" si="1034"/>
        <v>0</v>
      </c>
      <c r="Z880" s="292">
        <f>SUM(Z881:Z883)</f>
        <v>0</v>
      </c>
      <c r="AA880" s="276">
        <f t="shared" ref="AA880:AA908" si="1035">SUM(S880:Z880)</f>
        <v>1124539089.1800001</v>
      </c>
      <c r="AB880" s="402">
        <f t="shared" si="959"/>
        <v>1771131285.1800001</v>
      </c>
      <c r="AC880" s="321">
        <f t="shared" si="960"/>
        <v>1.1375281215028903</v>
      </c>
    </row>
    <row r="881" spans="1:29" ht="38.25" hidden="1" x14ac:dyDescent="0.2">
      <c r="A881" s="424"/>
      <c r="B881" s="323" t="s">
        <v>996</v>
      </c>
      <c r="C881" s="206" t="s">
        <v>378</v>
      </c>
      <c r="D881" s="303">
        <v>1000000000</v>
      </c>
      <c r="E881" s="325">
        <f>SUM('ADICIONES  2021'!C881:N881)</f>
        <v>0</v>
      </c>
      <c r="F881" s="290"/>
      <c r="G881" s="290"/>
      <c r="H881" s="290"/>
      <c r="I881" s="290"/>
      <c r="J881" s="290"/>
      <c r="K881" s="281">
        <f t="shared" si="972"/>
        <v>1000000000</v>
      </c>
      <c r="L881" s="290">
        <v>198472167</v>
      </c>
      <c r="M881" s="290">
        <v>68296603</v>
      </c>
      <c r="N881" s="290">
        <v>120704738</v>
      </c>
      <c r="O881" s="290">
        <v>72992493</v>
      </c>
      <c r="P881" s="290">
        <v>74194455</v>
      </c>
      <c r="Q881" s="290">
        <v>111931740</v>
      </c>
      <c r="R881" s="281">
        <f t="shared" si="980"/>
        <v>646592196</v>
      </c>
      <c r="S881" s="290">
        <v>121585058.25</v>
      </c>
      <c r="T881" s="290">
        <v>104958828</v>
      </c>
      <c r="U881" s="290">
        <v>126863917.75</v>
      </c>
      <c r="V881" s="290">
        <v>198818942</v>
      </c>
      <c r="W881" s="290">
        <v>-36486426.25</v>
      </c>
      <c r="X881" s="290">
        <v>214131285.18000001</v>
      </c>
      <c r="Y881" s="290"/>
      <c r="Z881" s="290"/>
      <c r="AA881" s="281">
        <f t="shared" si="1035"/>
        <v>729871604.93000007</v>
      </c>
      <c r="AB881" s="403">
        <f t="shared" si="959"/>
        <v>1376463800.9300001</v>
      </c>
      <c r="AC881" s="326">
        <f t="shared" si="960"/>
        <v>1.3764638009300001</v>
      </c>
    </row>
    <row r="882" spans="1:29" ht="38.25" hidden="1" x14ac:dyDescent="0.2">
      <c r="A882" s="424"/>
      <c r="B882" s="323" t="s">
        <v>996</v>
      </c>
      <c r="C882" s="206" t="s">
        <v>378</v>
      </c>
      <c r="D882" s="303"/>
      <c r="E882" s="325">
        <f>SUM('ADICIONES  2021'!C882:N882)</f>
        <v>357000000</v>
      </c>
      <c r="F882" s="290"/>
      <c r="G882" s="290"/>
      <c r="H882" s="290"/>
      <c r="I882" s="290"/>
      <c r="J882" s="290"/>
      <c r="K882" s="281">
        <f t="shared" si="972"/>
        <v>357000000</v>
      </c>
      <c r="L882" s="290"/>
      <c r="M882" s="290"/>
      <c r="N882" s="290"/>
      <c r="O882" s="290"/>
      <c r="P882" s="290"/>
      <c r="Q882" s="290"/>
      <c r="R882" s="281">
        <f t="shared" si="980"/>
        <v>0</v>
      </c>
      <c r="S882" s="290"/>
      <c r="T882" s="290"/>
      <c r="U882" s="290"/>
      <c r="V882" s="290"/>
      <c r="W882" s="290">
        <v>343139220.18000001</v>
      </c>
      <c r="X882" s="290">
        <v>13860779.82</v>
      </c>
      <c r="Y882" s="290"/>
      <c r="Z882" s="290"/>
      <c r="AA882" s="281">
        <f t="shared" ref="AA882" si="1036">SUM(S882:Z882)</f>
        <v>357000000</v>
      </c>
      <c r="AB882" s="403">
        <f t="shared" si="959"/>
        <v>357000000</v>
      </c>
      <c r="AC882" s="326">
        <v>0</v>
      </c>
    </row>
    <row r="883" spans="1:29" ht="38.25" hidden="1" x14ac:dyDescent="0.2">
      <c r="A883" s="424"/>
      <c r="B883" s="323" t="s">
        <v>996</v>
      </c>
      <c r="C883" s="206" t="s">
        <v>378</v>
      </c>
      <c r="D883" s="303"/>
      <c r="E883" s="325">
        <f>SUM('ADICIONES  2021'!C883:N883)</f>
        <v>200000000</v>
      </c>
      <c r="F883" s="290"/>
      <c r="G883" s="290"/>
      <c r="H883" s="290"/>
      <c r="I883" s="290"/>
      <c r="J883" s="290"/>
      <c r="K883" s="281">
        <f t="shared" si="972"/>
        <v>200000000</v>
      </c>
      <c r="L883" s="290"/>
      <c r="M883" s="290"/>
      <c r="N883" s="290"/>
      <c r="O883" s="290"/>
      <c r="P883" s="290"/>
      <c r="Q883" s="290"/>
      <c r="R883" s="281">
        <f t="shared" si="980"/>
        <v>0</v>
      </c>
      <c r="S883" s="290"/>
      <c r="T883" s="290"/>
      <c r="U883" s="290">
        <v>37667484.25</v>
      </c>
      <c r="V883" s="290">
        <v>0</v>
      </c>
      <c r="W883" s="290">
        <v>0</v>
      </c>
      <c r="X883" s="290">
        <v>0</v>
      </c>
      <c r="Y883" s="290"/>
      <c r="Z883" s="290"/>
      <c r="AA883" s="281">
        <f t="shared" si="1035"/>
        <v>37667484.25</v>
      </c>
      <c r="AB883" s="403">
        <f t="shared" si="959"/>
        <v>37667484.25</v>
      </c>
      <c r="AC883" s="326">
        <f t="shared" si="960"/>
        <v>0.18833742125</v>
      </c>
    </row>
    <row r="884" spans="1:29" s="61" customFormat="1" ht="25.5" x14ac:dyDescent="0.2">
      <c r="A884" s="428">
        <v>1</v>
      </c>
      <c r="B884" s="318" t="s">
        <v>464</v>
      </c>
      <c r="C884" s="319" t="s">
        <v>997</v>
      </c>
      <c r="D884" s="292">
        <f>+D885+D896</f>
        <v>25800000000</v>
      </c>
      <c r="E884" s="322">
        <f>SUM('ADICIONES  2021'!C884:N884)</f>
        <v>2638000000</v>
      </c>
      <c r="F884" s="289"/>
      <c r="G884" s="289">
        <f>+G885+G896</f>
        <v>0</v>
      </c>
      <c r="H884" s="289">
        <f>+H885+H896</f>
        <v>0</v>
      </c>
      <c r="I884" s="289">
        <f>+I885+I896</f>
        <v>0</v>
      </c>
      <c r="J884" s="289">
        <f>+J885+J896</f>
        <v>0</v>
      </c>
      <c r="K884" s="276">
        <f t="shared" si="972"/>
        <v>28438000000</v>
      </c>
      <c r="L884" s="289">
        <f t="shared" ref="L884:Q884" si="1037">+L885+L896</f>
        <v>3025966900</v>
      </c>
      <c r="M884" s="289">
        <f t="shared" si="1037"/>
        <v>2648887721</v>
      </c>
      <c r="N884" s="289">
        <f t="shared" si="1037"/>
        <v>2095466780</v>
      </c>
      <c r="O884" s="289">
        <f t="shared" si="1037"/>
        <v>2180051261</v>
      </c>
      <c r="P884" s="289">
        <f t="shared" si="1037"/>
        <v>2256631679</v>
      </c>
      <c r="Q884" s="289">
        <f t="shared" si="1037"/>
        <v>2100205076</v>
      </c>
      <c r="R884" s="276">
        <f t="shared" si="980"/>
        <v>14307209417</v>
      </c>
      <c r="S884" s="289">
        <f t="shared" ref="S884:Z884" si="1038">+S885+S896</f>
        <v>1916805034</v>
      </c>
      <c r="T884" s="289">
        <f t="shared" si="1038"/>
        <v>1976538068</v>
      </c>
      <c r="U884" s="289">
        <f t="shared" si="1038"/>
        <v>2513424725</v>
      </c>
      <c r="V884" s="289">
        <f t="shared" si="1038"/>
        <v>2422503277</v>
      </c>
      <c r="W884" s="289">
        <f t="shared" si="1038"/>
        <v>2273408113.3400002</v>
      </c>
      <c r="X884" s="289">
        <f t="shared" si="1038"/>
        <v>2616303653</v>
      </c>
      <c r="Y884" s="289">
        <f t="shared" si="1038"/>
        <v>271006454.5</v>
      </c>
      <c r="Z884" s="289">
        <f t="shared" si="1038"/>
        <v>0</v>
      </c>
      <c r="AA884" s="276">
        <f t="shared" si="1035"/>
        <v>13989989324.84</v>
      </c>
      <c r="AB884" s="402">
        <f t="shared" si="959"/>
        <v>28297198741.84</v>
      </c>
      <c r="AC884" s="321">
        <f t="shared" si="960"/>
        <v>0.99504883401927002</v>
      </c>
    </row>
    <row r="885" spans="1:29" s="19" customFormat="1" ht="25.5" x14ac:dyDescent="0.2">
      <c r="A885" s="429">
        <v>1</v>
      </c>
      <c r="B885" s="323" t="s">
        <v>998</v>
      </c>
      <c r="C885" s="206" t="s">
        <v>999</v>
      </c>
      <c r="D885" s="292">
        <f>SUM(D886:D892)</f>
        <v>24830592091</v>
      </c>
      <c r="E885" s="322">
        <f>SUM('ADICIONES  2021'!C885:N885)</f>
        <v>2638000000</v>
      </c>
      <c r="F885" s="292">
        <f t="shared" ref="F885:J885" si="1039">SUM(F886:F892)</f>
        <v>0</v>
      </c>
      <c r="G885" s="292">
        <f t="shared" si="1039"/>
        <v>0</v>
      </c>
      <c r="H885" s="292">
        <f t="shared" si="1039"/>
        <v>0</v>
      </c>
      <c r="I885" s="292">
        <f t="shared" si="1039"/>
        <v>0</v>
      </c>
      <c r="J885" s="292">
        <f t="shared" si="1039"/>
        <v>0</v>
      </c>
      <c r="K885" s="281">
        <f t="shared" si="972"/>
        <v>27468592091</v>
      </c>
      <c r="L885" s="292">
        <f t="shared" ref="L885:Q885" si="1040">SUM(L886:L892)</f>
        <v>2998827000</v>
      </c>
      <c r="M885" s="292">
        <f t="shared" si="1040"/>
        <v>2621013000</v>
      </c>
      <c r="N885" s="292">
        <f t="shared" si="1040"/>
        <v>2043878000</v>
      </c>
      <c r="O885" s="292">
        <f t="shared" si="1040"/>
        <v>2162047000</v>
      </c>
      <c r="P885" s="292">
        <f t="shared" si="1040"/>
        <v>2235484000</v>
      </c>
      <c r="Q885" s="292">
        <f t="shared" si="1040"/>
        <v>2081017000</v>
      </c>
      <c r="R885" s="281">
        <f t="shared" si="980"/>
        <v>14142266000</v>
      </c>
      <c r="S885" s="303">
        <f t="shared" ref="S885:Z885" si="1041">SUM(S886:S892)</f>
        <v>1905340815.49</v>
      </c>
      <c r="T885" s="303">
        <f t="shared" si="1041"/>
        <v>1942623000</v>
      </c>
      <c r="U885" s="303">
        <f t="shared" si="1041"/>
        <v>2499669000</v>
      </c>
      <c r="V885" s="303">
        <f t="shared" si="1041"/>
        <v>2388007000</v>
      </c>
      <c r="W885" s="303">
        <f t="shared" si="1041"/>
        <v>2242492432.0500002</v>
      </c>
      <c r="X885" s="303">
        <f t="shared" si="1041"/>
        <v>2592299000</v>
      </c>
      <c r="Y885" s="303">
        <f t="shared" si="1041"/>
        <v>271006454.5</v>
      </c>
      <c r="Z885" s="292">
        <f t="shared" si="1041"/>
        <v>0</v>
      </c>
      <c r="AA885" s="276">
        <f t="shared" si="1035"/>
        <v>13841437702.040001</v>
      </c>
      <c r="AB885" s="403">
        <f t="shared" si="959"/>
        <v>27983703702.040001</v>
      </c>
      <c r="AC885" s="326">
        <f t="shared" si="960"/>
        <v>1.0187527489335275</v>
      </c>
    </row>
    <row r="886" spans="1:29" ht="14.25" hidden="1" x14ac:dyDescent="0.2">
      <c r="A886" s="424"/>
      <c r="B886" s="323" t="s">
        <v>1000</v>
      </c>
      <c r="C886" s="206" t="s">
        <v>375</v>
      </c>
      <c r="D886" s="303">
        <v>6207648022.75</v>
      </c>
      <c r="E886" s="325">
        <f>SUM('ADICIONES  2021'!C886:N886)</f>
        <v>0</v>
      </c>
      <c r="F886" s="290"/>
      <c r="G886" s="290"/>
      <c r="H886" s="290"/>
      <c r="I886" s="290"/>
      <c r="J886" s="290"/>
      <c r="K886" s="281">
        <f t="shared" si="972"/>
        <v>6207648022.75</v>
      </c>
      <c r="L886" s="290">
        <v>749706750</v>
      </c>
      <c r="M886" s="290">
        <v>655253250</v>
      </c>
      <c r="N886" s="290">
        <v>510969500</v>
      </c>
      <c r="O886" s="290">
        <v>540511750</v>
      </c>
      <c r="P886" s="290">
        <v>558871000</v>
      </c>
      <c r="Q886" s="290">
        <v>520254250</v>
      </c>
      <c r="R886" s="281">
        <f t="shared" si="980"/>
        <v>3535566500</v>
      </c>
      <c r="S886" s="290">
        <v>472671750</v>
      </c>
      <c r="T886" s="290">
        <v>485655750</v>
      </c>
      <c r="U886" s="290">
        <v>624917250</v>
      </c>
      <c r="V886" s="290">
        <v>597001750</v>
      </c>
      <c r="W886" s="290">
        <v>491835022.75</v>
      </c>
      <c r="X886" s="290">
        <v>124077977.25</v>
      </c>
      <c r="Y886" s="290">
        <v>0</v>
      </c>
      <c r="Z886" s="290"/>
      <c r="AA886" s="281">
        <f t="shared" si="1035"/>
        <v>2796159500</v>
      </c>
      <c r="AB886" s="403">
        <f t="shared" si="959"/>
        <v>6331726000</v>
      </c>
      <c r="AC886" s="326">
        <f t="shared" si="960"/>
        <v>1.0199879208349563</v>
      </c>
    </row>
    <row r="887" spans="1:29" ht="14.25" hidden="1" x14ac:dyDescent="0.2">
      <c r="A887" s="424"/>
      <c r="B887" s="323" t="s">
        <v>1000</v>
      </c>
      <c r="C887" s="206" t="s">
        <v>375</v>
      </c>
      <c r="D887" s="303"/>
      <c r="E887" s="325">
        <f>SUM('ADICIONES  2021'!C887:N887)</f>
        <v>459500000</v>
      </c>
      <c r="F887" s="290"/>
      <c r="G887" s="290"/>
      <c r="H887" s="290"/>
      <c r="I887" s="290"/>
      <c r="J887" s="290"/>
      <c r="K887" s="281">
        <f t="shared" si="972"/>
        <v>459500000</v>
      </c>
      <c r="L887" s="290"/>
      <c r="M887" s="290"/>
      <c r="N887" s="290"/>
      <c r="O887" s="290"/>
      <c r="P887" s="290"/>
      <c r="Q887" s="290"/>
      <c r="R887" s="281">
        <f t="shared" si="980"/>
        <v>0</v>
      </c>
      <c r="S887" s="290"/>
      <c r="T887" s="290"/>
      <c r="U887" s="290"/>
      <c r="V887" s="290"/>
      <c r="W887" s="290"/>
      <c r="X887" s="290">
        <v>459500000</v>
      </c>
      <c r="Y887" s="290">
        <v>0</v>
      </c>
      <c r="Z887" s="290"/>
      <c r="AA887" s="281">
        <f t="shared" ref="AA887:AA891" si="1042">SUM(S887:Z887)</f>
        <v>459500000</v>
      </c>
      <c r="AB887" s="403">
        <f t="shared" si="959"/>
        <v>459500000</v>
      </c>
      <c r="AC887" s="326">
        <f t="shared" si="960"/>
        <v>1</v>
      </c>
    </row>
    <row r="888" spans="1:29" ht="14.25" hidden="1" x14ac:dyDescent="0.2">
      <c r="A888" s="424"/>
      <c r="B888" s="323" t="s">
        <v>1000</v>
      </c>
      <c r="C888" s="206" t="s">
        <v>375</v>
      </c>
      <c r="D888" s="303"/>
      <c r="E888" s="325">
        <f>SUM('ADICIONES  2021'!C888:N888)</f>
        <v>200000000</v>
      </c>
      <c r="F888" s="290"/>
      <c r="G888" s="290"/>
      <c r="H888" s="290"/>
      <c r="I888" s="290"/>
      <c r="J888" s="290"/>
      <c r="K888" s="281">
        <f t="shared" si="972"/>
        <v>200000000</v>
      </c>
      <c r="L888" s="290"/>
      <c r="M888" s="290"/>
      <c r="N888" s="290"/>
      <c r="O888" s="290"/>
      <c r="P888" s="290"/>
      <c r="Q888" s="290"/>
      <c r="R888" s="281">
        <f t="shared" si="980"/>
        <v>0</v>
      </c>
      <c r="S888" s="290"/>
      <c r="T888" s="290"/>
      <c r="U888" s="290">
        <v>0</v>
      </c>
      <c r="V888" s="290">
        <v>0</v>
      </c>
      <c r="W888" s="290">
        <v>0</v>
      </c>
      <c r="X888" s="290">
        <v>64496772.75</v>
      </c>
      <c r="Y888" s="290">
        <v>135503227.25</v>
      </c>
      <c r="Z888" s="290"/>
      <c r="AA888" s="281">
        <f t="shared" si="1042"/>
        <v>200000000</v>
      </c>
      <c r="AB888" s="403">
        <f t="shared" si="959"/>
        <v>200000000</v>
      </c>
      <c r="AC888" s="326">
        <f t="shared" si="960"/>
        <v>1</v>
      </c>
    </row>
    <row r="889" spans="1:29" ht="25.5" hidden="1" x14ac:dyDescent="0.2">
      <c r="A889" s="424"/>
      <c r="B889" s="323" t="s">
        <v>1001</v>
      </c>
      <c r="C889" s="206" t="s">
        <v>376</v>
      </c>
      <c r="D889" s="303">
        <v>6207648022.75</v>
      </c>
      <c r="E889" s="325">
        <f>SUM('ADICIONES  2021'!C889:N889)</f>
        <v>0</v>
      </c>
      <c r="F889" s="290"/>
      <c r="G889" s="290"/>
      <c r="H889" s="290"/>
      <c r="I889" s="290"/>
      <c r="J889" s="290"/>
      <c r="K889" s="281">
        <f t="shared" si="972"/>
        <v>6207648022.75</v>
      </c>
      <c r="L889" s="290">
        <v>749706750</v>
      </c>
      <c r="M889" s="290">
        <v>655253250</v>
      </c>
      <c r="N889" s="290">
        <v>510969500</v>
      </c>
      <c r="O889" s="290">
        <v>540511750</v>
      </c>
      <c r="P889" s="290">
        <v>558871000</v>
      </c>
      <c r="Q889" s="290">
        <v>520254250</v>
      </c>
      <c r="R889" s="281">
        <f t="shared" si="980"/>
        <v>3535566500</v>
      </c>
      <c r="S889" s="290">
        <v>472671750</v>
      </c>
      <c r="T889" s="290">
        <v>485655750</v>
      </c>
      <c r="U889" s="290">
        <v>624917250</v>
      </c>
      <c r="V889" s="290">
        <v>597001750</v>
      </c>
      <c r="W889" s="290">
        <v>491835022.75</v>
      </c>
      <c r="X889" s="290">
        <v>124077977.25</v>
      </c>
      <c r="Y889" s="290">
        <v>0</v>
      </c>
      <c r="Z889" s="290"/>
      <c r="AA889" s="281">
        <f t="shared" si="1042"/>
        <v>2796159500</v>
      </c>
      <c r="AB889" s="403">
        <f t="shared" si="959"/>
        <v>6331726000</v>
      </c>
      <c r="AC889" s="326">
        <f t="shared" si="960"/>
        <v>1.0199879208349563</v>
      </c>
    </row>
    <row r="890" spans="1:29" ht="25.5" hidden="1" x14ac:dyDescent="0.2">
      <c r="A890" s="424"/>
      <c r="B890" s="323" t="s">
        <v>1001</v>
      </c>
      <c r="C890" s="206" t="s">
        <v>376</v>
      </c>
      <c r="D890" s="303"/>
      <c r="E890" s="325">
        <f>SUM('ADICIONES  2021'!C890:N890)</f>
        <v>459500000</v>
      </c>
      <c r="F890" s="290"/>
      <c r="G890" s="290"/>
      <c r="H890" s="290"/>
      <c r="I890" s="290"/>
      <c r="J890" s="290"/>
      <c r="K890" s="281">
        <f t="shared" si="972"/>
        <v>459500000</v>
      </c>
      <c r="L890" s="290"/>
      <c r="M890" s="290"/>
      <c r="N890" s="290"/>
      <c r="O890" s="290"/>
      <c r="P890" s="290"/>
      <c r="Q890" s="290"/>
      <c r="R890" s="281">
        <f t="shared" si="980"/>
        <v>0</v>
      </c>
      <c r="S890" s="290"/>
      <c r="T890" s="290"/>
      <c r="U890" s="290"/>
      <c r="V890" s="290"/>
      <c r="W890" s="290"/>
      <c r="X890" s="290">
        <v>459500000</v>
      </c>
      <c r="Y890" s="290">
        <v>0</v>
      </c>
      <c r="Z890" s="290"/>
      <c r="AA890" s="281">
        <f t="shared" si="1042"/>
        <v>459500000</v>
      </c>
      <c r="AB890" s="403">
        <f t="shared" si="959"/>
        <v>459500000</v>
      </c>
      <c r="AC890" s="326">
        <f t="shared" si="960"/>
        <v>1</v>
      </c>
    </row>
    <row r="891" spans="1:29" ht="25.5" hidden="1" x14ac:dyDescent="0.2">
      <c r="A891" s="424"/>
      <c r="B891" s="323" t="s">
        <v>1001</v>
      </c>
      <c r="C891" s="206" t="s">
        <v>376</v>
      </c>
      <c r="D891" s="303"/>
      <c r="E891" s="325">
        <f>SUM('ADICIONES  2021'!C891:N891)</f>
        <v>200000000</v>
      </c>
      <c r="F891" s="290"/>
      <c r="G891" s="290"/>
      <c r="H891" s="290"/>
      <c r="I891" s="290"/>
      <c r="J891" s="290"/>
      <c r="K891" s="281">
        <f t="shared" si="972"/>
        <v>200000000</v>
      </c>
      <c r="L891" s="290"/>
      <c r="M891" s="290"/>
      <c r="N891" s="290"/>
      <c r="O891" s="290"/>
      <c r="P891" s="290"/>
      <c r="Q891" s="290"/>
      <c r="R891" s="281">
        <f t="shared" si="980"/>
        <v>0</v>
      </c>
      <c r="S891" s="290"/>
      <c r="T891" s="290"/>
      <c r="U891" s="290">
        <v>0</v>
      </c>
      <c r="V891" s="290">
        <v>0</v>
      </c>
      <c r="W891" s="290">
        <v>0</v>
      </c>
      <c r="X891" s="290">
        <v>64496772.75</v>
      </c>
      <c r="Y891" s="290">
        <v>135503227.25</v>
      </c>
      <c r="Z891" s="290"/>
      <c r="AA891" s="281">
        <f t="shared" si="1042"/>
        <v>200000000</v>
      </c>
      <c r="AB891" s="403">
        <f t="shared" si="959"/>
        <v>200000000</v>
      </c>
      <c r="AC891" s="326">
        <f t="shared" si="960"/>
        <v>1</v>
      </c>
    </row>
    <row r="892" spans="1:29" s="61" customFormat="1" ht="15.75" hidden="1" x14ac:dyDescent="0.2">
      <c r="A892" s="425"/>
      <c r="B892" s="318" t="s">
        <v>1002</v>
      </c>
      <c r="C892" s="319" t="s">
        <v>986</v>
      </c>
      <c r="D892" s="292">
        <f>SUM(D893:D895)</f>
        <v>12415296045.5</v>
      </c>
      <c r="E892" s="322">
        <f>SUM('ADICIONES  2021'!C892:N892)</f>
        <v>1319000000</v>
      </c>
      <c r="F892" s="292">
        <f t="shared" ref="F892:J892" si="1043">SUM(F893:F895)</f>
        <v>0</v>
      </c>
      <c r="G892" s="292">
        <f t="shared" si="1043"/>
        <v>0</v>
      </c>
      <c r="H892" s="292">
        <f t="shared" si="1043"/>
        <v>0</v>
      </c>
      <c r="I892" s="292">
        <f t="shared" si="1043"/>
        <v>0</v>
      </c>
      <c r="J892" s="292">
        <f t="shared" si="1043"/>
        <v>0</v>
      </c>
      <c r="K892" s="276">
        <f t="shared" si="972"/>
        <v>13734296045.5</v>
      </c>
      <c r="L892" s="292">
        <f t="shared" ref="L892:Q892" si="1044">SUM(L893:L895)</f>
        <v>1499413500</v>
      </c>
      <c r="M892" s="292">
        <f t="shared" si="1044"/>
        <v>1310506500</v>
      </c>
      <c r="N892" s="292">
        <f t="shared" si="1044"/>
        <v>1021939000</v>
      </c>
      <c r="O892" s="292">
        <f t="shared" si="1044"/>
        <v>1081023500</v>
      </c>
      <c r="P892" s="292">
        <f t="shared" si="1044"/>
        <v>1117742000</v>
      </c>
      <c r="Q892" s="292">
        <f t="shared" si="1044"/>
        <v>1040508500</v>
      </c>
      <c r="R892" s="276">
        <f t="shared" si="980"/>
        <v>7071133000</v>
      </c>
      <c r="S892" s="292">
        <f t="shared" ref="S892:Z892" si="1045">SUM(S893:S895)</f>
        <v>959997315.49000001</v>
      </c>
      <c r="T892" s="292">
        <f t="shared" si="1045"/>
        <v>971311500</v>
      </c>
      <c r="U892" s="292">
        <f t="shared" si="1045"/>
        <v>1249834500</v>
      </c>
      <c r="V892" s="292">
        <f t="shared" si="1045"/>
        <v>1194003500</v>
      </c>
      <c r="W892" s="292">
        <f t="shared" si="1045"/>
        <v>1258822386.55</v>
      </c>
      <c r="X892" s="292">
        <f t="shared" si="1045"/>
        <v>1296149500</v>
      </c>
      <c r="Y892" s="292">
        <f t="shared" si="1045"/>
        <v>0</v>
      </c>
      <c r="Z892" s="292">
        <f t="shared" si="1045"/>
        <v>0</v>
      </c>
      <c r="AA892" s="276">
        <f t="shared" si="1035"/>
        <v>6930118702.04</v>
      </c>
      <c r="AB892" s="402">
        <f t="shared" si="959"/>
        <v>14001251702.040001</v>
      </c>
      <c r="AC892" s="321">
        <f t="shared" si="960"/>
        <v>1.0194371561276683</v>
      </c>
    </row>
    <row r="893" spans="1:29" ht="14.25" hidden="1" x14ac:dyDescent="0.2">
      <c r="A893" s="424"/>
      <c r="B893" s="323" t="s">
        <v>1003</v>
      </c>
      <c r="C893" s="206" t="s">
        <v>378</v>
      </c>
      <c r="D893" s="303">
        <v>12415296045.5</v>
      </c>
      <c r="E893" s="325">
        <f>SUM('ADICIONES  2021'!C893:N893)</f>
        <v>0</v>
      </c>
      <c r="F893" s="290"/>
      <c r="G893" s="290"/>
      <c r="H893" s="290"/>
      <c r="I893" s="290"/>
      <c r="J893" s="290"/>
      <c r="K893" s="281">
        <f t="shared" ref="K893:K978" si="1046">+D893+E893-F893+G893-H893</f>
        <v>12415296045.5</v>
      </c>
      <c r="L893" s="290">
        <v>1499413500</v>
      </c>
      <c r="M893" s="290">
        <v>1310506500</v>
      </c>
      <c r="N893" s="290">
        <v>1021939000</v>
      </c>
      <c r="O893" s="290">
        <v>1081023500</v>
      </c>
      <c r="P893" s="290">
        <v>1117742000</v>
      </c>
      <c r="Q893" s="290">
        <v>1040508500</v>
      </c>
      <c r="R893" s="281">
        <f t="shared" si="980"/>
        <v>7071133000</v>
      </c>
      <c r="S893" s="290">
        <v>959997315.49000001</v>
      </c>
      <c r="T893" s="290">
        <v>971311500</v>
      </c>
      <c r="U893" s="290">
        <v>1249834500</v>
      </c>
      <c r="V893" s="290">
        <v>1194003500</v>
      </c>
      <c r="W893" s="290">
        <v>969016230.00999999</v>
      </c>
      <c r="X893" s="290">
        <v>266955656.53999999</v>
      </c>
      <c r="Y893" s="290"/>
      <c r="Z893" s="290"/>
      <c r="AA893" s="281">
        <f t="shared" si="1035"/>
        <v>5611118702.04</v>
      </c>
      <c r="AB893" s="403">
        <f t="shared" si="959"/>
        <v>12682251702.040001</v>
      </c>
      <c r="AC893" s="326">
        <f t="shared" si="960"/>
        <v>1.0215021579478776</v>
      </c>
    </row>
    <row r="894" spans="1:29" ht="14.25" hidden="1" x14ac:dyDescent="0.2">
      <c r="A894" s="424"/>
      <c r="B894" s="323" t="s">
        <v>1003</v>
      </c>
      <c r="C894" s="206" t="s">
        <v>378</v>
      </c>
      <c r="D894" s="303"/>
      <c r="E894" s="325">
        <f>SUM('ADICIONES  2021'!C894:N894)</f>
        <v>919000000</v>
      </c>
      <c r="F894" s="290"/>
      <c r="G894" s="290"/>
      <c r="H894" s="290"/>
      <c r="I894" s="290"/>
      <c r="J894" s="290"/>
      <c r="K894" s="281">
        <f t="shared" si="1046"/>
        <v>919000000</v>
      </c>
      <c r="L894" s="290"/>
      <c r="M894" s="290"/>
      <c r="N894" s="290"/>
      <c r="O894" s="290"/>
      <c r="P894" s="290"/>
      <c r="Q894" s="290"/>
      <c r="R894" s="281">
        <f t="shared" si="980"/>
        <v>0</v>
      </c>
      <c r="S894" s="290"/>
      <c r="T894" s="290"/>
      <c r="U894" s="290">
        <v>0</v>
      </c>
      <c r="V894" s="290">
        <v>0</v>
      </c>
      <c r="W894" s="290">
        <v>0</v>
      </c>
      <c r="X894" s="290">
        <v>919000000</v>
      </c>
      <c r="Y894" s="290"/>
      <c r="Z894" s="290"/>
      <c r="AA894" s="281">
        <f t="shared" si="1035"/>
        <v>919000000</v>
      </c>
      <c r="AB894" s="403">
        <f t="shared" si="959"/>
        <v>919000000</v>
      </c>
      <c r="AC894" s="326">
        <f t="shared" si="960"/>
        <v>1</v>
      </c>
    </row>
    <row r="895" spans="1:29" ht="14.25" hidden="1" x14ac:dyDescent="0.2">
      <c r="A895" s="424"/>
      <c r="B895" s="323" t="s">
        <v>1003</v>
      </c>
      <c r="C895" s="206" t="s">
        <v>378</v>
      </c>
      <c r="D895" s="303"/>
      <c r="E895" s="325">
        <f>SUM('ADICIONES  2021'!C895:N895)</f>
        <v>400000000</v>
      </c>
      <c r="F895" s="290"/>
      <c r="G895" s="290"/>
      <c r="H895" s="290"/>
      <c r="I895" s="290"/>
      <c r="J895" s="290"/>
      <c r="K895" s="281">
        <f t="shared" si="1046"/>
        <v>400000000</v>
      </c>
      <c r="L895" s="290"/>
      <c r="M895" s="290"/>
      <c r="N895" s="290"/>
      <c r="O895" s="290"/>
      <c r="P895" s="290"/>
      <c r="Q895" s="290"/>
      <c r="R895" s="281">
        <f t="shared" si="980"/>
        <v>0</v>
      </c>
      <c r="S895" s="290"/>
      <c r="T895" s="290"/>
      <c r="U895" s="290"/>
      <c r="V895" s="290"/>
      <c r="W895" s="290">
        <v>289806156.54000002</v>
      </c>
      <c r="X895" s="290">
        <v>110193843.45999999</v>
      </c>
      <c r="Y895" s="290"/>
      <c r="Z895" s="290"/>
      <c r="AA895" s="281">
        <f t="shared" ref="AA895" si="1047">SUM(S895:Z895)</f>
        <v>400000000</v>
      </c>
      <c r="AB895" s="403">
        <f t="shared" si="959"/>
        <v>400000000</v>
      </c>
      <c r="AC895" s="326">
        <v>0</v>
      </c>
    </row>
    <row r="896" spans="1:29" s="19" customFormat="1" ht="25.5" x14ac:dyDescent="0.2">
      <c r="A896" s="429">
        <v>1</v>
      </c>
      <c r="B896" s="323" t="s">
        <v>466</v>
      </c>
      <c r="C896" s="206" t="s">
        <v>1004</v>
      </c>
      <c r="D896" s="292">
        <f>SUM(D897:D899)</f>
        <v>969407909</v>
      </c>
      <c r="E896" s="322">
        <f>SUM('ADICIONES  2021'!C896:N896)</f>
        <v>0</v>
      </c>
      <c r="F896" s="289"/>
      <c r="G896" s="289">
        <f t="shared" ref="G896:J896" si="1048">SUM(G897:G899)</f>
        <v>0</v>
      </c>
      <c r="H896" s="289">
        <f t="shared" si="1048"/>
        <v>0</v>
      </c>
      <c r="I896" s="289">
        <f t="shared" si="1048"/>
        <v>0</v>
      </c>
      <c r="J896" s="289">
        <f t="shared" si="1048"/>
        <v>0</v>
      </c>
      <c r="K896" s="281">
        <f t="shared" si="1046"/>
        <v>969407909</v>
      </c>
      <c r="L896" s="289">
        <f t="shared" ref="L896:Q896" si="1049">SUM(L897:L899)</f>
        <v>27139900</v>
      </c>
      <c r="M896" s="289">
        <f t="shared" si="1049"/>
        <v>27874721</v>
      </c>
      <c r="N896" s="289">
        <f t="shared" si="1049"/>
        <v>51588780</v>
      </c>
      <c r="O896" s="289">
        <f t="shared" si="1049"/>
        <v>18004261</v>
      </c>
      <c r="P896" s="289">
        <f t="shared" si="1049"/>
        <v>21147679</v>
      </c>
      <c r="Q896" s="289">
        <f t="shared" si="1049"/>
        <v>19188076</v>
      </c>
      <c r="R896" s="281">
        <f t="shared" si="980"/>
        <v>164943417</v>
      </c>
      <c r="S896" s="290">
        <f t="shared" ref="S896:Z896" si="1050">SUM(S897:S899)</f>
        <v>11464218.51</v>
      </c>
      <c r="T896" s="290">
        <f t="shared" si="1050"/>
        <v>33915068</v>
      </c>
      <c r="U896" s="290">
        <f>SUM(U897:U899)</f>
        <v>13755725</v>
      </c>
      <c r="V896" s="290">
        <f t="shared" si="1050"/>
        <v>34496277</v>
      </c>
      <c r="W896" s="290">
        <f t="shared" si="1050"/>
        <v>30915681.289999999</v>
      </c>
      <c r="X896" s="290">
        <f t="shared" si="1050"/>
        <v>24004653</v>
      </c>
      <c r="Y896" s="290">
        <f t="shared" si="1050"/>
        <v>0</v>
      </c>
      <c r="Z896" s="289">
        <f t="shared" si="1050"/>
        <v>0</v>
      </c>
      <c r="AA896" s="276">
        <f t="shared" si="1035"/>
        <v>148551622.79999998</v>
      </c>
      <c r="AB896" s="403">
        <f t="shared" si="959"/>
        <v>313495039.79999995</v>
      </c>
      <c r="AC896" s="326">
        <f t="shared" si="960"/>
        <v>0.32338815981333197</v>
      </c>
    </row>
    <row r="897" spans="1:29" ht="14.25" hidden="1" x14ac:dyDescent="0.2">
      <c r="A897" s="424"/>
      <c r="B897" s="323" t="s">
        <v>468</v>
      </c>
      <c r="C897" s="206" t="s">
        <v>375</v>
      </c>
      <c r="D897" s="303">
        <v>242351977.25</v>
      </c>
      <c r="E897" s="325">
        <f>SUM('ADICIONES  2021'!C897:N897)</f>
        <v>0</v>
      </c>
      <c r="F897" s="290"/>
      <c r="G897" s="290"/>
      <c r="H897" s="290"/>
      <c r="I897" s="290"/>
      <c r="J897" s="290"/>
      <c r="K897" s="281">
        <f t="shared" si="1046"/>
        <v>242351977.25</v>
      </c>
      <c r="L897" s="290">
        <v>6785000</v>
      </c>
      <c r="M897" s="290">
        <v>7248852</v>
      </c>
      <c r="N897" s="290">
        <v>12897000</v>
      </c>
      <c r="O897" s="290">
        <v>4501000</v>
      </c>
      <c r="P897" s="290">
        <v>5287000</v>
      </c>
      <c r="Q897" s="290">
        <v>4797000</v>
      </c>
      <c r="R897" s="281">
        <f t="shared" si="980"/>
        <v>41515852</v>
      </c>
      <c r="S897" s="290">
        <v>2832000</v>
      </c>
      <c r="T897" s="290">
        <v>8479000</v>
      </c>
      <c r="U897" s="290">
        <v>3439000</v>
      </c>
      <c r="V897" s="290">
        <v>8624000</v>
      </c>
      <c r="W897" s="290">
        <v>7716000</v>
      </c>
      <c r="X897" s="290">
        <v>6001000</v>
      </c>
      <c r="Y897" s="290"/>
      <c r="Z897" s="290"/>
      <c r="AA897" s="281">
        <f t="shared" si="1035"/>
        <v>37091000</v>
      </c>
      <c r="AB897" s="403">
        <f t="shared" si="959"/>
        <v>78606852</v>
      </c>
      <c r="AC897" s="326">
        <f t="shared" si="960"/>
        <v>0.32434995122368038</v>
      </c>
    </row>
    <row r="898" spans="1:29" ht="25.5" hidden="1" x14ac:dyDescent="0.2">
      <c r="A898" s="424"/>
      <c r="B898" s="323" t="s">
        <v>469</v>
      </c>
      <c r="C898" s="206" t="s">
        <v>376</v>
      </c>
      <c r="D898" s="303">
        <v>242351977.25</v>
      </c>
      <c r="E898" s="325">
        <f>SUM('ADICIONES  2021'!C898:N898)</f>
        <v>0</v>
      </c>
      <c r="F898" s="290"/>
      <c r="G898" s="290"/>
      <c r="H898" s="290"/>
      <c r="I898" s="290"/>
      <c r="J898" s="290"/>
      <c r="K898" s="281">
        <f t="shared" si="1046"/>
        <v>242351977.25</v>
      </c>
      <c r="L898" s="290">
        <v>6785000</v>
      </c>
      <c r="M898" s="290">
        <v>7248852</v>
      </c>
      <c r="N898" s="290">
        <v>12897000</v>
      </c>
      <c r="O898" s="290">
        <v>4501000</v>
      </c>
      <c r="P898" s="290">
        <v>5287000</v>
      </c>
      <c r="Q898" s="290">
        <v>4797000</v>
      </c>
      <c r="R898" s="281">
        <f t="shared" si="980"/>
        <v>41515852</v>
      </c>
      <c r="S898" s="290">
        <v>2832000</v>
      </c>
      <c r="T898" s="290">
        <v>8479000</v>
      </c>
      <c r="U898" s="290">
        <v>3439000</v>
      </c>
      <c r="V898" s="290">
        <v>8624000</v>
      </c>
      <c r="W898" s="290">
        <v>7716000</v>
      </c>
      <c r="X898" s="290">
        <v>6001000</v>
      </c>
      <c r="Y898" s="290"/>
      <c r="Z898" s="290"/>
      <c r="AA898" s="281">
        <f t="shared" si="1035"/>
        <v>37091000</v>
      </c>
      <c r="AB898" s="403">
        <f t="shared" si="959"/>
        <v>78606852</v>
      </c>
      <c r="AC898" s="326">
        <f t="shared" si="960"/>
        <v>0.32434995122368038</v>
      </c>
    </row>
    <row r="899" spans="1:29" s="61" customFormat="1" ht="15.75" hidden="1" x14ac:dyDescent="0.2">
      <c r="A899" s="425"/>
      <c r="B899" s="318" t="s">
        <v>470</v>
      </c>
      <c r="C899" s="319" t="s">
        <v>986</v>
      </c>
      <c r="D899" s="292">
        <f>+D900</f>
        <v>484703954.5</v>
      </c>
      <c r="E899" s="322">
        <f>SUM('ADICIONES  2021'!C899:N899)</f>
        <v>0</v>
      </c>
      <c r="F899" s="289"/>
      <c r="G899" s="289">
        <f t="shared" ref="G899:J899" si="1051">+G900</f>
        <v>0</v>
      </c>
      <c r="H899" s="289">
        <f t="shared" si="1051"/>
        <v>0</v>
      </c>
      <c r="I899" s="289">
        <f t="shared" si="1051"/>
        <v>0</v>
      </c>
      <c r="J899" s="289">
        <f t="shared" si="1051"/>
        <v>0</v>
      </c>
      <c r="K899" s="276">
        <f t="shared" si="1046"/>
        <v>484703954.5</v>
      </c>
      <c r="L899" s="289">
        <f t="shared" ref="L899:Q899" si="1052">+L900</f>
        <v>13569900</v>
      </c>
      <c r="M899" s="289">
        <f t="shared" si="1052"/>
        <v>13377017</v>
      </c>
      <c r="N899" s="289">
        <f t="shared" si="1052"/>
        <v>25794780</v>
      </c>
      <c r="O899" s="289">
        <f t="shared" si="1052"/>
        <v>9002261</v>
      </c>
      <c r="P899" s="289">
        <f t="shared" si="1052"/>
        <v>10573679</v>
      </c>
      <c r="Q899" s="289">
        <f t="shared" si="1052"/>
        <v>9594076</v>
      </c>
      <c r="R899" s="276">
        <f t="shared" si="980"/>
        <v>81911713</v>
      </c>
      <c r="S899" s="289">
        <f t="shared" ref="S899:Z899" si="1053">+S900</f>
        <v>5800218.5099999998</v>
      </c>
      <c r="T899" s="289">
        <f t="shared" si="1053"/>
        <v>16957068</v>
      </c>
      <c r="U899" s="289">
        <f>+U900</f>
        <v>6877725</v>
      </c>
      <c r="V899" s="289">
        <f t="shared" si="1053"/>
        <v>17248277</v>
      </c>
      <c r="W899" s="289">
        <f t="shared" si="1053"/>
        <v>15483681.289999999</v>
      </c>
      <c r="X899" s="289">
        <f t="shared" si="1053"/>
        <v>12002653</v>
      </c>
      <c r="Y899" s="289">
        <f t="shared" si="1053"/>
        <v>0</v>
      </c>
      <c r="Z899" s="289">
        <f t="shared" si="1053"/>
        <v>0</v>
      </c>
      <c r="AA899" s="276">
        <f t="shared" si="1035"/>
        <v>74369622.799999997</v>
      </c>
      <c r="AB899" s="402">
        <f t="shared" si="959"/>
        <v>156281335.80000001</v>
      </c>
      <c r="AC899" s="321">
        <f t="shared" si="960"/>
        <v>0.32242636840298361</v>
      </c>
    </row>
    <row r="900" spans="1:29" ht="14.25" hidden="1" x14ac:dyDescent="0.2">
      <c r="A900" s="424"/>
      <c r="B900" s="323" t="s">
        <v>1005</v>
      </c>
      <c r="C900" s="206" t="s">
        <v>378</v>
      </c>
      <c r="D900" s="303">
        <v>484703954.5</v>
      </c>
      <c r="E900" s="325">
        <f>SUM('ADICIONES  2021'!C900:N900)</f>
        <v>0</v>
      </c>
      <c r="F900" s="290"/>
      <c r="G900" s="290"/>
      <c r="H900" s="290"/>
      <c r="I900" s="290"/>
      <c r="J900" s="290"/>
      <c r="K900" s="281">
        <f t="shared" si="1046"/>
        <v>484703954.5</v>
      </c>
      <c r="L900" s="290">
        <v>13569900</v>
      </c>
      <c r="M900" s="290">
        <v>13377017</v>
      </c>
      <c r="N900" s="290">
        <v>25794780</v>
      </c>
      <c r="O900" s="290">
        <v>9002261</v>
      </c>
      <c r="P900" s="290">
        <v>10573679</v>
      </c>
      <c r="Q900" s="290">
        <v>9594076</v>
      </c>
      <c r="R900" s="281">
        <f t="shared" si="980"/>
        <v>81911713</v>
      </c>
      <c r="S900" s="290">
        <v>5800218.5099999998</v>
      </c>
      <c r="T900" s="290">
        <v>16957068</v>
      </c>
      <c r="U900" s="290">
        <v>6877725</v>
      </c>
      <c r="V900" s="290">
        <v>17248277</v>
      </c>
      <c r="W900" s="290">
        <v>15483681.289999999</v>
      </c>
      <c r="X900" s="290">
        <v>12002653</v>
      </c>
      <c r="Y900" s="290"/>
      <c r="Z900" s="290"/>
      <c r="AA900" s="281">
        <f t="shared" si="1035"/>
        <v>74369622.799999997</v>
      </c>
      <c r="AB900" s="403">
        <f t="shared" si="959"/>
        <v>156281335.80000001</v>
      </c>
      <c r="AC900" s="326">
        <f t="shared" si="960"/>
        <v>0.32242636840298361</v>
      </c>
    </row>
    <row r="901" spans="1:29" s="61" customFormat="1" ht="25.5" x14ac:dyDescent="0.2">
      <c r="A901" s="428">
        <v>1</v>
      </c>
      <c r="B901" s="318" t="s">
        <v>473</v>
      </c>
      <c r="C901" s="319" t="s">
        <v>1006</v>
      </c>
      <c r="D901" s="292">
        <f>+D902</f>
        <v>8371129322.3100004</v>
      </c>
      <c r="E901" s="322">
        <f>SUM('ADICIONES  2021'!C901:N901)</f>
        <v>5994000000</v>
      </c>
      <c r="F901" s="289"/>
      <c r="G901" s="289">
        <f t="shared" ref="G901:J901" si="1054">+G902</f>
        <v>0</v>
      </c>
      <c r="H901" s="289">
        <f t="shared" si="1054"/>
        <v>0</v>
      </c>
      <c r="I901" s="289">
        <f t="shared" si="1054"/>
        <v>0</v>
      </c>
      <c r="J901" s="289">
        <f t="shared" si="1054"/>
        <v>0</v>
      </c>
      <c r="K901" s="276">
        <f t="shared" si="1046"/>
        <v>14365129322.310001</v>
      </c>
      <c r="L901" s="289">
        <f t="shared" ref="L901:Q901" si="1055">+L902</f>
        <v>785407808</v>
      </c>
      <c r="M901" s="289">
        <f t="shared" si="1055"/>
        <v>509996365</v>
      </c>
      <c r="N901" s="289">
        <f t="shared" si="1055"/>
        <v>1732651064</v>
      </c>
      <c r="O901" s="289">
        <f t="shared" si="1055"/>
        <v>828877149</v>
      </c>
      <c r="P901" s="289">
        <f t="shared" si="1055"/>
        <v>983893160</v>
      </c>
      <c r="Q901" s="289">
        <f t="shared" si="1055"/>
        <v>1067793950</v>
      </c>
      <c r="R901" s="276">
        <f t="shared" si="980"/>
        <v>5908619496</v>
      </c>
      <c r="S901" s="289">
        <f t="shared" ref="S901:Z901" si="1056">+S902</f>
        <v>1089855071.51</v>
      </c>
      <c r="T901" s="289">
        <f t="shared" si="1056"/>
        <v>1796180097</v>
      </c>
      <c r="U901" s="289">
        <f>+U902</f>
        <v>974297345</v>
      </c>
      <c r="V901" s="289">
        <f t="shared" si="1056"/>
        <v>1655666044</v>
      </c>
      <c r="W901" s="289">
        <f t="shared" si="1056"/>
        <v>1244070742.2</v>
      </c>
      <c r="X901" s="289">
        <f t="shared" si="1056"/>
        <v>1380945178</v>
      </c>
      <c r="Y901" s="289">
        <f t="shared" si="1056"/>
        <v>0</v>
      </c>
      <c r="Z901" s="289">
        <f t="shared" si="1056"/>
        <v>0</v>
      </c>
      <c r="AA901" s="276">
        <f t="shared" si="1035"/>
        <v>8141014477.71</v>
      </c>
      <c r="AB901" s="402">
        <f t="shared" si="959"/>
        <v>14049633973.709999</v>
      </c>
      <c r="AC901" s="321">
        <f t="shared" si="960"/>
        <v>0.97803741675266254</v>
      </c>
    </row>
    <row r="902" spans="1:29" s="61" customFormat="1" ht="38.25" hidden="1" x14ac:dyDescent="0.2">
      <c r="A902" s="425"/>
      <c r="B902" s="318" t="s">
        <v>1007</v>
      </c>
      <c r="C902" s="319" t="s">
        <v>1008</v>
      </c>
      <c r="D902" s="292">
        <f>+D903+D905</f>
        <v>8371129322.3100004</v>
      </c>
      <c r="E902" s="322">
        <f>SUM('ADICIONES  2021'!C902:N902)</f>
        <v>5994000000</v>
      </c>
      <c r="F902" s="289"/>
      <c r="G902" s="289">
        <f t="shared" ref="G902:J902" si="1057">+G903+G905</f>
        <v>0</v>
      </c>
      <c r="H902" s="289">
        <f t="shared" si="1057"/>
        <v>0</v>
      </c>
      <c r="I902" s="289">
        <f t="shared" si="1057"/>
        <v>0</v>
      </c>
      <c r="J902" s="289">
        <f t="shared" si="1057"/>
        <v>0</v>
      </c>
      <c r="K902" s="276">
        <f t="shared" si="1046"/>
        <v>14365129322.310001</v>
      </c>
      <c r="L902" s="289">
        <f t="shared" ref="L902:Q902" si="1058">+L903+L905</f>
        <v>785407808</v>
      </c>
      <c r="M902" s="289">
        <f t="shared" si="1058"/>
        <v>509996365</v>
      </c>
      <c r="N902" s="289">
        <f t="shared" si="1058"/>
        <v>1732651064</v>
      </c>
      <c r="O902" s="289">
        <f t="shared" si="1058"/>
        <v>828877149</v>
      </c>
      <c r="P902" s="289">
        <f t="shared" si="1058"/>
        <v>983893160</v>
      </c>
      <c r="Q902" s="289">
        <f t="shared" si="1058"/>
        <v>1067793950</v>
      </c>
      <c r="R902" s="276">
        <f t="shared" si="980"/>
        <v>5908619496</v>
      </c>
      <c r="S902" s="289">
        <f t="shared" ref="S902:Z902" si="1059">+S903+S905</f>
        <v>1089855071.51</v>
      </c>
      <c r="T902" s="289">
        <f t="shared" si="1059"/>
        <v>1796180097</v>
      </c>
      <c r="U902" s="289">
        <f>+U903+U905</f>
        <v>974297345</v>
      </c>
      <c r="V902" s="289">
        <f t="shared" si="1059"/>
        <v>1655666044</v>
      </c>
      <c r="W902" s="289">
        <f t="shared" si="1059"/>
        <v>1244070742.2</v>
      </c>
      <c r="X902" s="289">
        <f t="shared" si="1059"/>
        <v>1380945178</v>
      </c>
      <c r="Y902" s="289">
        <f t="shared" si="1059"/>
        <v>0</v>
      </c>
      <c r="Z902" s="289">
        <f t="shared" si="1059"/>
        <v>0</v>
      </c>
      <c r="AA902" s="276">
        <f t="shared" si="1035"/>
        <v>8141014477.71</v>
      </c>
      <c r="AB902" s="402">
        <f t="shared" si="959"/>
        <v>14049633973.709999</v>
      </c>
      <c r="AC902" s="321">
        <f t="shared" si="960"/>
        <v>0.97803741675266254</v>
      </c>
    </row>
    <row r="903" spans="1:29" s="19" customFormat="1" ht="36" x14ac:dyDescent="0.2">
      <c r="A903" s="429">
        <v>1</v>
      </c>
      <c r="B903" s="323" t="s">
        <v>1009</v>
      </c>
      <c r="C903" s="433" t="s">
        <v>1010</v>
      </c>
      <c r="D903" s="292">
        <f>+D904</f>
        <v>656122480</v>
      </c>
      <c r="E903" s="322">
        <f>SUM('ADICIONES  2021'!C903:N903)</f>
        <v>0</v>
      </c>
      <c r="F903" s="289"/>
      <c r="G903" s="289">
        <f t="shared" ref="G903:J903" si="1060">+G904</f>
        <v>0</v>
      </c>
      <c r="H903" s="289">
        <f t="shared" si="1060"/>
        <v>0</v>
      </c>
      <c r="I903" s="289">
        <f t="shared" si="1060"/>
        <v>0</v>
      </c>
      <c r="J903" s="289">
        <f t="shared" si="1060"/>
        <v>0</v>
      </c>
      <c r="K903" s="281">
        <f t="shared" si="1046"/>
        <v>656122480</v>
      </c>
      <c r="L903" s="289">
        <f t="shared" ref="L903:Q903" si="1061">+L904</f>
        <v>0</v>
      </c>
      <c r="M903" s="289">
        <f t="shared" si="1061"/>
        <v>0</v>
      </c>
      <c r="N903" s="289">
        <f t="shared" si="1061"/>
        <v>0</v>
      </c>
      <c r="O903" s="289">
        <f t="shared" si="1061"/>
        <v>0</v>
      </c>
      <c r="P903" s="289">
        <f t="shared" si="1061"/>
        <v>0</v>
      </c>
      <c r="Q903" s="289">
        <f t="shared" si="1061"/>
        <v>0</v>
      </c>
      <c r="R903" s="281">
        <f t="shared" si="980"/>
        <v>0</v>
      </c>
      <c r="S903" s="290">
        <f t="shared" ref="S903:Z903" si="1062">+S904</f>
        <v>0</v>
      </c>
      <c r="T903" s="290">
        <f t="shared" si="1062"/>
        <v>0</v>
      </c>
      <c r="U903" s="290">
        <f>+U904</f>
        <v>0</v>
      </c>
      <c r="V903" s="290">
        <f t="shared" si="1062"/>
        <v>0</v>
      </c>
      <c r="W903" s="290">
        <f t="shared" si="1062"/>
        <v>0</v>
      </c>
      <c r="X903" s="290">
        <f t="shared" si="1062"/>
        <v>0</v>
      </c>
      <c r="Y903" s="290">
        <f t="shared" si="1062"/>
        <v>0</v>
      </c>
      <c r="Z903" s="289">
        <f t="shared" si="1062"/>
        <v>0</v>
      </c>
      <c r="AA903" s="276">
        <f t="shared" si="1035"/>
        <v>0</v>
      </c>
      <c r="AB903" s="403">
        <f t="shared" si="959"/>
        <v>0</v>
      </c>
      <c r="AC903" s="326">
        <f t="shared" si="960"/>
        <v>0</v>
      </c>
    </row>
    <row r="904" spans="1:29" ht="14.25" hidden="1" x14ac:dyDescent="0.2">
      <c r="A904" s="424"/>
      <c r="B904" s="323" t="s">
        <v>1011</v>
      </c>
      <c r="C904" s="206" t="s">
        <v>378</v>
      </c>
      <c r="D904" s="303">
        <v>656122480</v>
      </c>
      <c r="E904" s="325">
        <f>SUM('ADICIONES  2021'!C904:N904)</f>
        <v>0</v>
      </c>
      <c r="F904" s="290"/>
      <c r="G904" s="290"/>
      <c r="H904" s="290"/>
      <c r="I904" s="290"/>
      <c r="J904" s="290"/>
      <c r="K904" s="281">
        <f t="shared" si="1046"/>
        <v>656122480</v>
      </c>
      <c r="L904" s="290">
        <v>0</v>
      </c>
      <c r="M904" s="290">
        <v>0</v>
      </c>
      <c r="N904" s="290">
        <v>0</v>
      </c>
      <c r="O904" s="290">
        <v>0</v>
      </c>
      <c r="P904" s="290"/>
      <c r="Q904" s="290">
        <v>0</v>
      </c>
      <c r="R904" s="281">
        <f t="shared" si="980"/>
        <v>0</v>
      </c>
      <c r="S904" s="290"/>
      <c r="T904" s="290">
        <v>0</v>
      </c>
      <c r="U904" s="290">
        <v>0</v>
      </c>
      <c r="V904" s="290">
        <v>0</v>
      </c>
      <c r="W904" s="290"/>
      <c r="X904" s="290">
        <v>0</v>
      </c>
      <c r="Y904" s="290"/>
      <c r="Z904" s="290"/>
      <c r="AA904" s="281">
        <f t="shared" si="1035"/>
        <v>0</v>
      </c>
      <c r="AB904" s="403">
        <f t="shared" si="959"/>
        <v>0</v>
      </c>
      <c r="AC904" s="326">
        <f t="shared" si="960"/>
        <v>0</v>
      </c>
    </row>
    <row r="905" spans="1:29" s="19" customFormat="1" ht="36" x14ac:dyDescent="0.2">
      <c r="A905" s="429">
        <v>1</v>
      </c>
      <c r="B905" s="323" t="s">
        <v>1012</v>
      </c>
      <c r="C905" s="433" t="s">
        <v>1013</v>
      </c>
      <c r="D905" s="292">
        <f>SUM(D906:D908)</f>
        <v>7715006842.3100004</v>
      </c>
      <c r="E905" s="322">
        <f>SUM('ADICIONES  2021'!C905:N905)</f>
        <v>5994000000</v>
      </c>
      <c r="F905" s="292">
        <f t="shared" ref="F905:J905" si="1063">SUM(F906:F908)</f>
        <v>0</v>
      </c>
      <c r="G905" s="292">
        <f t="shared" si="1063"/>
        <v>0</v>
      </c>
      <c r="H905" s="292">
        <f t="shared" si="1063"/>
        <v>0</v>
      </c>
      <c r="I905" s="292">
        <f t="shared" si="1063"/>
        <v>0</v>
      </c>
      <c r="J905" s="292">
        <f t="shared" si="1063"/>
        <v>0</v>
      </c>
      <c r="K905" s="281">
        <f t="shared" si="1046"/>
        <v>13709006842.310001</v>
      </c>
      <c r="L905" s="292">
        <f t="shared" ref="L905:Q905" si="1064">SUM(L906:L908)</f>
        <v>785407808</v>
      </c>
      <c r="M905" s="292">
        <f t="shared" si="1064"/>
        <v>509996365</v>
      </c>
      <c r="N905" s="292">
        <f t="shared" si="1064"/>
        <v>1732651064</v>
      </c>
      <c r="O905" s="292">
        <f t="shared" si="1064"/>
        <v>828877149</v>
      </c>
      <c r="P905" s="292">
        <f t="shared" si="1064"/>
        <v>983893160</v>
      </c>
      <c r="Q905" s="292">
        <f t="shared" si="1064"/>
        <v>1067793950</v>
      </c>
      <c r="R905" s="281">
        <f t="shared" si="980"/>
        <v>5908619496</v>
      </c>
      <c r="S905" s="303">
        <f t="shared" ref="S905:Z905" si="1065">SUM(S906:S908)</f>
        <v>1089855071.51</v>
      </c>
      <c r="T905" s="303">
        <f t="shared" si="1065"/>
        <v>1796180097</v>
      </c>
      <c r="U905" s="303">
        <f>SUM(U906:U908)</f>
        <v>974297345</v>
      </c>
      <c r="V905" s="303">
        <f t="shared" si="1065"/>
        <v>1655666044</v>
      </c>
      <c r="W905" s="303">
        <f t="shared" si="1065"/>
        <v>1244070742.2</v>
      </c>
      <c r="X905" s="303">
        <f t="shared" si="1065"/>
        <v>1380945178</v>
      </c>
      <c r="Y905" s="303">
        <f t="shared" si="1065"/>
        <v>0</v>
      </c>
      <c r="Z905" s="292">
        <f t="shared" si="1065"/>
        <v>0</v>
      </c>
      <c r="AA905" s="276">
        <f t="shared" si="1035"/>
        <v>8141014477.71</v>
      </c>
      <c r="AB905" s="403">
        <f t="shared" si="959"/>
        <v>14049633973.709999</v>
      </c>
      <c r="AC905" s="326">
        <f t="shared" si="960"/>
        <v>1.0248469590334379</v>
      </c>
    </row>
    <row r="906" spans="1:29" ht="14.25" hidden="1" x14ac:dyDescent="0.2">
      <c r="A906" s="424"/>
      <c r="B906" s="323" t="s">
        <v>1014</v>
      </c>
      <c r="C906" s="206" t="s">
        <v>378</v>
      </c>
      <c r="D906" s="303">
        <v>7715006842.3100004</v>
      </c>
      <c r="E906" s="325">
        <f>SUM('ADICIONES  2021'!C906:N906)</f>
        <v>0</v>
      </c>
      <c r="F906" s="290"/>
      <c r="G906" s="290"/>
      <c r="H906" s="290"/>
      <c r="I906" s="290"/>
      <c r="J906" s="290"/>
      <c r="K906" s="281">
        <f>+D906+E906-F906+G906-H906</f>
        <v>7715006842.3100004</v>
      </c>
      <c r="L906" s="290">
        <v>785407808</v>
      </c>
      <c r="M906" s="290">
        <v>509996365</v>
      </c>
      <c r="N906" s="290">
        <v>1732651064</v>
      </c>
      <c r="O906" s="290">
        <v>828877149</v>
      </c>
      <c r="P906" s="290">
        <v>983893160</v>
      </c>
      <c r="Q906" s="290">
        <v>1067793950</v>
      </c>
      <c r="R906" s="281">
        <f t="shared" si="980"/>
        <v>5908619496</v>
      </c>
      <c r="S906" s="290">
        <v>1089855071.51</v>
      </c>
      <c r="T906" s="290">
        <v>1796180097</v>
      </c>
      <c r="U906" s="290">
        <v>-1079647822.2</v>
      </c>
      <c r="V906" s="290">
        <v>0</v>
      </c>
      <c r="W906" s="290"/>
      <c r="X906" s="290">
        <v>340627131.39999998</v>
      </c>
      <c r="Y906" s="290"/>
      <c r="Z906" s="290"/>
      <c r="AA906" s="281">
        <f t="shared" si="1035"/>
        <v>2147014477.71</v>
      </c>
      <c r="AB906" s="403">
        <f t="shared" si="959"/>
        <v>8055633973.71</v>
      </c>
      <c r="AC906" s="326">
        <f t="shared" si="960"/>
        <v>1.0441512416465999</v>
      </c>
    </row>
    <row r="907" spans="1:29" ht="14.25" hidden="1" x14ac:dyDescent="0.2">
      <c r="A907" s="424"/>
      <c r="B907" s="323" t="s">
        <v>1014</v>
      </c>
      <c r="C907" s="206" t="s">
        <v>378</v>
      </c>
      <c r="D907" s="303"/>
      <c r="E907" s="325">
        <f>SUM('ADICIONES  2021'!C907:N907)</f>
        <v>994000000</v>
      </c>
      <c r="F907" s="290"/>
      <c r="G907" s="290"/>
      <c r="H907" s="290"/>
      <c r="I907" s="290"/>
      <c r="J907" s="290"/>
      <c r="K907" s="281">
        <f>+D907+E907-F907+G907-H907</f>
        <v>994000000</v>
      </c>
      <c r="L907" s="290"/>
      <c r="M907" s="290"/>
      <c r="N907" s="290"/>
      <c r="O907" s="290"/>
      <c r="P907" s="290"/>
      <c r="Q907" s="290"/>
      <c r="R907" s="281">
        <f t="shared" si="980"/>
        <v>0</v>
      </c>
      <c r="S907" s="290"/>
      <c r="T907" s="290"/>
      <c r="U907" s="290"/>
      <c r="V907" s="290"/>
      <c r="W907" s="290"/>
      <c r="X907" s="290">
        <v>994000000</v>
      </c>
      <c r="Y907" s="290"/>
      <c r="Z907" s="290"/>
      <c r="AA907" s="281">
        <f t="shared" ref="AA907" si="1066">SUM(S907:Z907)</f>
        <v>994000000</v>
      </c>
      <c r="AB907" s="403">
        <f t="shared" si="959"/>
        <v>994000000</v>
      </c>
      <c r="AC907" s="326">
        <f t="shared" si="960"/>
        <v>1</v>
      </c>
    </row>
    <row r="908" spans="1:29" ht="14.25" hidden="1" x14ac:dyDescent="0.2">
      <c r="A908" s="424"/>
      <c r="B908" s="323" t="s">
        <v>1014</v>
      </c>
      <c r="C908" s="206" t="s">
        <v>378</v>
      </c>
      <c r="D908" s="303"/>
      <c r="E908" s="325">
        <f>SUM('ADICIONES  2021'!C908:N908)</f>
        <v>5000000000</v>
      </c>
      <c r="F908" s="290"/>
      <c r="G908" s="290"/>
      <c r="H908" s="290"/>
      <c r="I908" s="290"/>
      <c r="J908" s="290"/>
      <c r="K908" s="281">
        <f t="shared" si="1046"/>
        <v>5000000000</v>
      </c>
      <c r="L908" s="290"/>
      <c r="M908" s="290"/>
      <c r="N908" s="290"/>
      <c r="O908" s="290"/>
      <c r="P908" s="290"/>
      <c r="Q908" s="290"/>
      <c r="R908" s="281">
        <f t="shared" si="980"/>
        <v>0</v>
      </c>
      <c r="S908" s="290"/>
      <c r="T908" s="290"/>
      <c r="U908" s="290">
        <v>2053945167.2</v>
      </c>
      <c r="V908" s="290">
        <v>1655666044</v>
      </c>
      <c r="W908" s="290">
        <v>1244070742.2</v>
      </c>
      <c r="X908" s="290">
        <v>46318046.600000001</v>
      </c>
      <c r="Y908" s="290"/>
      <c r="Z908" s="290"/>
      <c r="AA908" s="281">
        <f t="shared" si="1035"/>
        <v>5000000000</v>
      </c>
      <c r="AB908" s="403">
        <f t="shared" si="959"/>
        <v>5000000000</v>
      </c>
      <c r="AC908" s="326">
        <f t="shared" si="960"/>
        <v>1</v>
      </c>
    </row>
    <row r="909" spans="1:29" s="185" customFormat="1" ht="19.5" x14ac:dyDescent="0.2">
      <c r="A909" s="182">
        <v>1</v>
      </c>
      <c r="B909" s="312" t="s">
        <v>534</v>
      </c>
      <c r="C909" s="313" t="s">
        <v>211</v>
      </c>
      <c r="D909" s="356">
        <f>+D910+D916+D920+D980</f>
        <v>75497971256.809998</v>
      </c>
      <c r="E909" s="320">
        <f>SUM('ADICIONES  2021'!C909:N909)</f>
        <v>67999828137.870003</v>
      </c>
      <c r="F909" s="291">
        <f>+F910+F916+F920+F980</f>
        <v>10534246</v>
      </c>
      <c r="G909" s="291">
        <f>+G910+G916+G920+G980</f>
        <v>4689016590.2200003</v>
      </c>
      <c r="H909" s="291">
        <f>+H910+H916+H920+H980</f>
        <v>350000000</v>
      </c>
      <c r="I909" s="291">
        <f>+I910+I916+I920+I980</f>
        <v>0</v>
      </c>
      <c r="J909" s="291">
        <f>+J910+J916+J920+J980</f>
        <v>0</v>
      </c>
      <c r="K909" s="316">
        <f t="shared" si="1046"/>
        <v>147826281738.89999</v>
      </c>
      <c r="L909" s="291">
        <f t="shared" ref="L909:Q909" si="1067">+L910+L916+L920+L980</f>
        <v>7913795786.4992008</v>
      </c>
      <c r="M909" s="291">
        <f t="shared" si="1067"/>
        <v>4175360519.2983999</v>
      </c>
      <c r="N909" s="291">
        <f t="shared" si="1067"/>
        <v>8611672717.3661995</v>
      </c>
      <c r="O909" s="291">
        <f t="shared" si="1067"/>
        <v>9618170460.1716003</v>
      </c>
      <c r="P909" s="291">
        <f t="shared" si="1067"/>
        <v>16431035349.454802</v>
      </c>
      <c r="Q909" s="291">
        <f t="shared" si="1067"/>
        <v>6475180211.7431993</v>
      </c>
      <c r="R909" s="316">
        <f t="shared" si="980"/>
        <v>53225215044.533401</v>
      </c>
      <c r="S909" s="291">
        <f t="shared" ref="S909:Z909" si="1068">+S910+S916+S920+S980</f>
        <v>9258852449.5408001</v>
      </c>
      <c r="T909" s="291">
        <f t="shared" si="1068"/>
        <v>14830994744.707199</v>
      </c>
      <c r="U909" s="291">
        <f t="shared" si="1068"/>
        <v>9941007578.8220005</v>
      </c>
      <c r="V909" s="291">
        <f t="shared" si="1068"/>
        <v>5994064962.8064003</v>
      </c>
      <c r="W909" s="291">
        <f t="shared" si="1068"/>
        <v>9760067634.1567993</v>
      </c>
      <c r="X909" s="291">
        <f t="shared" si="1068"/>
        <v>44462046812.384399</v>
      </c>
      <c r="Y909" s="291">
        <f t="shared" si="1068"/>
        <v>1713627053.2707992</v>
      </c>
      <c r="Z909" s="291">
        <f t="shared" si="1068"/>
        <v>0</v>
      </c>
      <c r="AA909" s="316">
        <f t="shared" si="982"/>
        <v>95960661235.6884</v>
      </c>
      <c r="AB909" s="401">
        <f t="shared" si="959"/>
        <v>149185876280.2218</v>
      </c>
      <c r="AC909" s="317">
        <f t="shared" si="960"/>
        <v>1.0091972450725859</v>
      </c>
    </row>
    <row r="910" spans="1:29" s="19" customFormat="1" ht="14.25" customHeight="1" x14ac:dyDescent="0.2">
      <c r="A910" s="429">
        <v>1</v>
      </c>
      <c r="B910" s="323" t="s">
        <v>1015</v>
      </c>
      <c r="C910" s="206" t="s">
        <v>1016</v>
      </c>
      <c r="D910" s="292">
        <f>+D911</f>
        <v>946682539</v>
      </c>
      <c r="E910" s="322">
        <f>SUM('ADICIONES  2021'!C910:N910)</f>
        <v>0</v>
      </c>
      <c r="F910" s="289">
        <f t="shared" ref="F910:J910" si="1069">+F911</f>
        <v>0</v>
      </c>
      <c r="G910" s="289">
        <f t="shared" si="1069"/>
        <v>0</v>
      </c>
      <c r="H910" s="289">
        <f t="shared" si="1069"/>
        <v>0</v>
      </c>
      <c r="I910" s="289">
        <f t="shared" si="1069"/>
        <v>0</v>
      </c>
      <c r="J910" s="289">
        <f t="shared" si="1069"/>
        <v>0</v>
      </c>
      <c r="K910" s="281">
        <f t="shared" si="1046"/>
        <v>946682539</v>
      </c>
      <c r="L910" s="289">
        <f t="shared" ref="L910:Q910" si="1070">+L911</f>
        <v>142810989.59999999</v>
      </c>
      <c r="M910" s="289">
        <f t="shared" si="1070"/>
        <v>119753997.64</v>
      </c>
      <c r="N910" s="289">
        <f t="shared" si="1070"/>
        <v>117907040.40000001</v>
      </c>
      <c r="O910" s="289">
        <f t="shared" si="1070"/>
        <v>106693304.59999999</v>
      </c>
      <c r="P910" s="289">
        <f t="shared" si="1070"/>
        <v>154730333.44</v>
      </c>
      <c r="Q910" s="289">
        <f t="shared" si="1070"/>
        <v>112025652.2</v>
      </c>
      <c r="R910" s="281">
        <f t="shared" si="980"/>
        <v>753921317.88000011</v>
      </c>
      <c r="S910" s="290">
        <f t="shared" ref="S910:Z910" si="1071">+S911</f>
        <v>166139403.5</v>
      </c>
      <c r="T910" s="290">
        <f t="shared" si="1071"/>
        <v>90043871.960000008</v>
      </c>
      <c r="U910" s="290">
        <f t="shared" si="1071"/>
        <v>94411551.879999995</v>
      </c>
      <c r="V910" s="290">
        <f t="shared" si="1071"/>
        <v>48864090.159999996</v>
      </c>
      <c r="W910" s="290">
        <f t="shared" si="1071"/>
        <v>178875877.91999999</v>
      </c>
      <c r="X910" s="290">
        <f t="shared" si="1071"/>
        <v>109765350.95999999</v>
      </c>
      <c r="Y910" s="290">
        <f t="shared" si="1071"/>
        <v>0</v>
      </c>
      <c r="Z910" s="289">
        <f t="shared" si="1071"/>
        <v>0</v>
      </c>
      <c r="AA910" s="276">
        <f t="shared" si="982"/>
        <v>688100146.38</v>
      </c>
      <c r="AB910" s="403">
        <f t="shared" si="959"/>
        <v>1442021464.2600002</v>
      </c>
      <c r="AC910" s="326">
        <f t="shared" si="960"/>
        <v>1.5232365707127511</v>
      </c>
    </row>
    <row r="911" spans="1:29" s="61" customFormat="1" ht="25.5" hidden="1" x14ac:dyDescent="0.2">
      <c r="A911" s="425"/>
      <c r="B911" s="318" t="s">
        <v>1017</v>
      </c>
      <c r="C911" s="319" t="s">
        <v>1018</v>
      </c>
      <c r="D911" s="292">
        <f>SUM(D912:D915)</f>
        <v>946682539</v>
      </c>
      <c r="E911" s="322">
        <f>SUM('ADICIONES  2021'!C911:N911)</f>
        <v>0</v>
      </c>
      <c r="F911" s="289">
        <f t="shared" ref="F911" si="1072">SUM(F912:F915)</f>
        <v>0</v>
      </c>
      <c r="G911" s="289">
        <f t="shared" ref="G911:J911" si="1073">SUM(G912:G915)</f>
        <v>0</v>
      </c>
      <c r="H911" s="289">
        <f t="shared" si="1073"/>
        <v>0</v>
      </c>
      <c r="I911" s="289">
        <f t="shared" si="1073"/>
        <v>0</v>
      </c>
      <c r="J911" s="289">
        <f t="shared" si="1073"/>
        <v>0</v>
      </c>
      <c r="K911" s="276">
        <f t="shared" si="1046"/>
        <v>946682539</v>
      </c>
      <c r="L911" s="289">
        <f t="shared" ref="L911:Q911" si="1074">SUM(L912:L915)</f>
        <v>142810989.59999999</v>
      </c>
      <c r="M911" s="289">
        <f t="shared" si="1074"/>
        <v>119753997.64</v>
      </c>
      <c r="N911" s="289">
        <f t="shared" si="1074"/>
        <v>117907040.40000001</v>
      </c>
      <c r="O911" s="289">
        <f t="shared" si="1074"/>
        <v>106693304.59999999</v>
      </c>
      <c r="P911" s="289">
        <f t="shared" si="1074"/>
        <v>154730333.44</v>
      </c>
      <c r="Q911" s="289">
        <f t="shared" si="1074"/>
        <v>112025652.2</v>
      </c>
      <c r="R911" s="276">
        <f t="shared" si="980"/>
        <v>753921317.88000011</v>
      </c>
      <c r="S911" s="289">
        <f t="shared" ref="S911:Z911" si="1075">SUM(S912:S915)</f>
        <v>166139403.5</v>
      </c>
      <c r="T911" s="289">
        <f t="shared" si="1075"/>
        <v>90043871.960000008</v>
      </c>
      <c r="U911" s="289">
        <f t="shared" si="1075"/>
        <v>94411551.879999995</v>
      </c>
      <c r="V911" s="289">
        <f t="shared" si="1075"/>
        <v>48864090.159999996</v>
      </c>
      <c r="W911" s="289">
        <f t="shared" si="1075"/>
        <v>178875877.91999999</v>
      </c>
      <c r="X911" s="289">
        <f t="shared" si="1075"/>
        <v>109765350.95999999</v>
      </c>
      <c r="Y911" s="289">
        <f t="shared" si="1075"/>
        <v>0</v>
      </c>
      <c r="Z911" s="289">
        <f t="shared" si="1075"/>
        <v>0</v>
      </c>
      <c r="AA911" s="276">
        <f t="shared" si="982"/>
        <v>688100146.38</v>
      </c>
      <c r="AB911" s="402">
        <f t="shared" si="959"/>
        <v>1442021464.2600002</v>
      </c>
      <c r="AC911" s="321">
        <f t="shared" si="960"/>
        <v>1.5232365707127511</v>
      </c>
    </row>
    <row r="912" spans="1:29" ht="14.25" hidden="1" x14ac:dyDescent="0.2">
      <c r="A912" s="424"/>
      <c r="B912" s="323" t="s">
        <v>1019</v>
      </c>
      <c r="C912" s="206" t="s">
        <v>1020</v>
      </c>
      <c r="D912" s="303">
        <v>848349668</v>
      </c>
      <c r="E912" s="325">
        <f>SUM('ADICIONES  2021'!C912:N912)</f>
        <v>0</v>
      </c>
      <c r="F912" s="290"/>
      <c r="G912" s="290"/>
      <c r="H912" s="290"/>
      <c r="I912" s="290"/>
      <c r="J912" s="290"/>
      <c r="K912" s="281">
        <f t="shared" si="1046"/>
        <v>848349668</v>
      </c>
      <c r="L912" s="290">
        <v>139008885.59999999</v>
      </c>
      <c r="M912" s="290">
        <v>108304390.64</v>
      </c>
      <c r="N912" s="290">
        <v>111269057.40000001</v>
      </c>
      <c r="O912" s="290">
        <v>96710773.599999994</v>
      </c>
      <c r="P912" s="290">
        <v>147659036.44</v>
      </c>
      <c r="Q912" s="290">
        <v>106752838.2</v>
      </c>
      <c r="R912" s="281">
        <f t="shared" si="980"/>
        <v>709704981.88000011</v>
      </c>
      <c r="S912" s="290">
        <v>158095190.69999999</v>
      </c>
      <c r="T912" s="290">
        <v>85190543.760000005</v>
      </c>
      <c r="U912" s="290">
        <v>90763595.879999995</v>
      </c>
      <c r="V912" s="290">
        <v>43911586.159999996</v>
      </c>
      <c r="W912" s="290">
        <v>171378205.91999999</v>
      </c>
      <c r="X912" s="290">
        <v>103831187.95999999</v>
      </c>
      <c r="Y912" s="290"/>
      <c r="Z912" s="290"/>
      <c r="AA912" s="281">
        <f t="shared" si="982"/>
        <v>653170310.38</v>
      </c>
      <c r="AB912" s="403">
        <f t="shared" si="959"/>
        <v>1362875292.2600002</v>
      </c>
      <c r="AC912" s="326">
        <f t="shared" si="960"/>
        <v>1.6065018278052774</v>
      </c>
    </row>
    <row r="913" spans="1:29" ht="14.25" hidden="1" x14ac:dyDescent="0.2">
      <c r="A913" s="424"/>
      <c r="B913" s="323" t="s">
        <v>1021</v>
      </c>
      <c r="C913" s="206" t="s">
        <v>105</v>
      </c>
      <c r="D913" s="303">
        <v>1316000</v>
      </c>
      <c r="E913" s="325">
        <f>SUM('ADICIONES  2021'!C913:N913)</f>
        <v>0</v>
      </c>
      <c r="F913" s="290"/>
      <c r="G913" s="290"/>
      <c r="H913" s="290"/>
      <c r="I913" s="290"/>
      <c r="J913" s="290"/>
      <c r="K913" s="281">
        <f t="shared" si="1046"/>
        <v>1316000</v>
      </c>
      <c r="L913" s="290">
        <v>211989</v>
      </c>
      <c r="M913" s="290">
        <v>0</v>
      </c>
      <c r="N913" s="290">
        <v>0</v>
      </c>
      <c r="O913" s="290">
        <v>272559</v>
      </c>
      <c r="P913" s="290">
        <v>0</v>
      </c>
      <c r="Q913" s="290">
        <v>90853</v>
      </c>
      <c r="R913" s="281">
        <f t="shared" si="980"/>
        <v>575401</v>
      </c>
      <c r="S913" s="290">
        <v>363412</v>
      </c>
      <c r="T913" s="290">
        <v>181705.2</v>
      </c>
      <c r="U913" s="290">
        <v>0</v>
      </c>
      <c r="V913" s="290">
        <v>181706</v>
      </c>
      <c r="W913" s="290">
        <v>181705</v>
      </c>
      <c r="X913" s="290">
        <v>363412</v>
      </c>
      <c r="Y913" s="290"/>
      <c r="Z913" s="290"/>
      <c r="AA913" s="281">
        <f t="shared" si="982"/>
        <v>1271940.2</v>
      </c>
      <c r="AB913" s="403">
        <f t="shared" si="959"/>
        <v>1847341.2</v>
      </c>
      <c r="AC913" s="326">
        <f t="shared" si="960"/>
        <v>1.4037547112462005</v>
      </c>
    </row>
    <row r="914" spans="1:29" ht="14.25" hidden="1" x14ac:dyDescent="0.2">
      <c r="A914" s="424"/>
      <c r="B914" s="323" t="s">
        <v>1022</v>
      </c>
      <c r="C914" s="206" t="s">
        <v>106</v>
      </c>
      <c r="D914" s="303">
        <v>77259500</v>
      </c>
      <c r="E914" s="325">
        <f>SUM('ADICIONES  2021'!C914:N914)</f>
        <v>0</v>
      </c>
      <c r="F914" s="290"/>
      <c r="G914" s="290"/>
      <c r="H914" s="290"/>
      <c r="I914" s="290"/>
      <c r="J914" s="290"/>
      <c r="K914" s="281">
        <f t="shared" si="1046"/>
        <v>77259500</v>
      </c>
      <c r="L914" s="290">
        <v>2060000</v>
      </c>
      <c r="M914" s="290">
        <v>9360000</v>
      </c>
      <c r="N914" s="290">
        <v>6320000</v>
      </c>
      <c r="O914" s="290">
        <v>9180000</v>
      </c>
      <c r="P914" s="290">
        <v>5420000</v>
      </c>
      <c r="Q914" s="290">
        <v>4440000</v>
      </c>
      <c r="R914" s="281">
        <f t="shared" si="980"/>
        <v>36780000</v>
      </c>
      <c r="S914" s="290">
        <v>5197498.8</v>
      </c>
      <c r="T914" s="290">
        <v>2900000</v>
      </c>
      <c r="U914" s="290">
        <v>2800000</v>
      </c>
      <c r="V914" s="290">
        <v>3620000</v>
      </c>
      <c r="W914" s="290">
        <v>6680000</v>
      </c>
      <c r="X914" s="290">
        <v>3360000</v>
      </c>
      <c r="Y914" s="290"/>
      <c r="Z914" s="290"/>
      <c r="AA914" s="281">
        <f t="shared" si="982"/>
        <v>24557498.800000001</v>
      </c>
      <c r="AB914" s="403">
        <f t="shared" si="959"/>
        <v>61337498.799999997</v>
      </c>
      <c r="AC914" s="326">
        <f t="shared" si="960"/>
        <v>0.79391529585358434</v>
      </c>
    </row>
    <row r="915" spans="1:29" ht="25.5" hidden="1" x14ac:dyDescent="0.2">
      <c r="A915" s="424"/>
      <c r="B915" s="323" t="s">
        <v>1023</v>
      </c>
      <c r="C915" s="206" t="s">
        <v>107</v>
      </c>
      <c r="D915" s="303">
        <v>19757371</v>
      </c>
      <c r="E915" s="325">
        <f>SUM('ADICIONES  2021'!C915:N915)</f>
        <v>0</v>
      </c>
      <c r="F915" s="290"/>
      <c r="G915" s="290"/>
      <c r="H915" s="290"/>
      <c r="I915" s="290"/>
      <c r="J915" s="290"/>
      <c r="K915" s="281">
        <f t="shared" si="1046"/>
        <v>19757371</v>
      </c>
      <c r="L915" s="290">
        <v>1530115</v>
      </c>
      <c r="M915" s="290">
        <v>2089607</v>
      </c>
      <c r="N915" s="290">
        <v>317983</v>
      </c>
      <c r="O915" s="290">
        <v>529972</v>
      </c>
      <c r="P915" s="290">
        <v>1651297</v>
      </c>
      <c r="Q915" s="290">
        <v>741961</v>
      </c>
      <c r="R915" s="281">
        <f t="shared" si="980"/>
        <v>6860935</v>
      </c>
      <c r="S915" s="290">
        <v>2483302</v>
      </c>
      <c r="T915" s="290">
        <v>1771623</v>
      </c>
      <c r="U915" s="290">
        <v>847956</v>
      </c>
      <c r="V915" s="290">
        <v>1150798</v>
      </c>
      <c r="W915" s="290">
        <v>635967</v>
      </c>
      <c r="X915" s="290">
        <v>2210751</v>
      </c>
      <c r="Y915" s="290"/>
      <c r="Z915" s="290"/>
      <c r="AA915" s="281">
        <f t="shared" si="982"/>
        <v>9100397</v>
      </c>
      <c r="AB915" s="403">
        <f t="shared" si="959"/>
        <v>15961332</v>
      </c>
      <c r="AC915" s="326">
        <f t="shared" si="960"/>
        <v>0.80786720055011363</v>
      </c>
    </row>
    <row r="916" spans="1:29" s="19" customFormat="1" x14ac:dyDescent="0.2">
      <c r="A916" s="429">
        <v>1</v>
      </c>
      <c r="B916" s="323" t="s">
        <v>587</v>
      </c>
      <c r="C916" s="206" t="s">
        <v>104</v>
      </c>
      <c r="D916" s="292">
        <f>+D917</f>
        <v>232126203</v>
      </c>
      <c r="E916" s="322">
        <f>SUM('ADICIONES  2021'!C916:N916)</f>
        <v>0</v>
      </c>
      <c r="F916" s="289"/>
      <c r="G916" s="289">
        <f t="shared" ref="G916:J918" si="1076">+G917</f>
        <v>0</v>
      </c>
      <c r="H916" s="289">
        <f t="shared" si="1076"/>
        <v>0</v>
      </c>
      <c r="I916" s="289">
        <f t="shared" si="1076"/>
        <v>0</v>
      </c>
      <c r="J916" s="289">
        <f t="shared" si="1076"/>
        <v>0</v>
      </c>
      <c r="K916" s="281">
        <f t="shared" si="1046"/>
        <v>232126203</v>
      </c>
      <c r="L916" s="289">
        <f t="shared" ref="L916:Q918" si="1077">+L917</f>
        <v>240000</v>
      </c>
      <c r="M916" s="289">
        <f t="shared" si="1077"/>
        <v>120000</v>
      </c>
      <c r="N916" s="289">
        <f t="shared" si="1077"/>
        <v>120000</v>
      </c>
      <c r="O916" s="289">
        <f t="shared" si="1077"/>
        <v>360000</v>
      </c>
      <c r="P916" s="289">
        <f t="shared" si="1077"/>
        <v>120000</v>
      </c>
      <c r="Q916" s="289">
        <f t="shared" si="1077"/>
        <v>120000</v>
      </c>
      <c r="R916" s="281">
        <f t="shared" si="980"/>
        <v>1080000</v>
      </c>
      <c r="S916" s="290">
        <f t="shared" ref="S916:Z918" si="1078">+S917</f>
        <v>360000</v>
      </c>
      <c r="T916" s="290">
        <f t="shared" si="1078"/>
        <v>120000</v>
      </c>
      <c r="U916" s="290">
        <f t="shared" si="1078"/>
        <v>120000</v>
      </c>
      <c r="V916" s="290">
        <f t="shared" si="1078"/>
        <v>8581000</v>
      </c>
      <c r="W916" s="290">
        <f t="shared" si="1078"/>
        <v>240000</v>
      </c>
      <c r="X916" s="290">
        <f t="shared" si="1078"/>
        <v>74389228</v>
      </c>
      <c r="Y916" s="290">
        <f t="shared" si="1078"/>
        <v>0</v>
      </c>
      <c r="Z916" s="289">
        <f t="shared" si="1078"/>
        <v>0</v>
      </c>
      <c r="AA916" s="276">
        <f t="shared" si="982"/>
        <v>83810228</v>
      </c>
      <c r="AB916" s="403">
        <f t="shared" si="959"/>
        <v>84890228</v>
      </c>
      <c r="AC916" s="326">
        <f t="shared" si="960"/>
        <v>0.36570721832726483</v>
      </c>
    </row>
    <row r="917" spans="1:29" s="61" customFormat="1" ht="25.5" hidden="1" x14ac:dyDescent="0.2">
      <c r="A917" s="425"/>
      <c r="B917" s="318" t="s">
        <v>1024</v>
      </c>
      <c r="C917" s="319" t="s">
        <v>1025</v>
      </c>
      <c r="D917" s="292">
        <f>+D918</f>
        <v>232126203</v>
      </c>
      <c r="E917" s="322">
        <f>SUM('ADICIONES  2021'!C917:N917)</f>
        <v>0</v>
      </c>
      <c r="F917" s="289"/>
      <c r="G917" s="289">
        <f t="shared" si="1076"/>
        <v>0</v>
      </c>
      <c r="H917" s="289">
        <f t="shared" si="1076"/>
        <v>0</v>
      </c>
      <c r="I917" s="289">
        <f t="shared" si="1076"/>
        <v>0</v>
      </c>
      <c r="J917" s="289">
        <f t="shared" si="1076"/>
        <v>0</v>
      </c>
      <c r="K917" s="276">
        <f t="shared" si="1046"/>
        <v>232126203</v>
      </c>
      <c r="L917" s="289">
        <f t="shared" si="1077"/>
        <v>240000</v>
      </c>
      <c r="M917" s="289">
        <f t="shared" si="1077"/>
        <v>120000</v>
      </c>
      <c r="N917" s="289">
        <f t="shared" si="1077"/>
        <v>120000</v>
      </c>
      <c r="O917" s="289">
        <f t="shared" si="1077"/>
        <v>360000</v>
      </c>
      <c r="P917" s="289">
        <f t="shared" si="1077"/>
        <v>120000</v>
      </c>
      <c r="Q917" s="289">
        <f t="shared" si="1077"/>
        <v>120000</v>
      </c>
      <c r="R917" s="276">
        <f t="shared" si="980"/>
        <v>1080000</v>
      </c>
      <c r="S917" s="289">
        <f t="shared" si="1078"/>
        <v>360000</v>
      </c>
      <c r="T917" s="289">
        <f t="shared" si="1078"/>
        <v>120000</v>
      </c>
      <c r="U917" s="289">
        <f t="shared" si="1078"/>
        <v>120000</v>
      </c>
      <c r="V917" s="289">
        <f t="shared" si="1078"/>
        <v>8581000</v>
      </c>
      <c r="W917" s="289">
        <f t="shared" si="1078"/>
        <v>240000</v>
      </c>
      <c r="X917" s="289">
        <f t="shared" si="1078"/>
        <v>74389228</v>
      </c>
      <c r="Y917" s="289">
        <f t="shared" si="1078"/>
        <v>0</v>
      </c>
      <c r="Z917" s="289">
        <f t="shared" si="1078"/>
        <v>0</v>
      </c>
      <c r="AA917" s="276">
        <f t="shared" si="982"/>
        <v>83810228</v>
      </c>
      <c r="AB917" s="402">
        <f t="shared" si="959"/>
        <v>84890228</v>
      </c>
      <c r="AC917" s="321">
        <f t="shared" si="960"/>
        <v>0.36570721832726483</v>
      </c>
    </row>
    <row r="918" spans="1:29" s="61" customFormat="1" ht="15.75" hidden="1" x14ac:dyDescent="0.2">
      <c r="A918" s="425"/>
      <c r="B918" s="318" t="s">
        <v>1026</v>
      </c>
      <c r="C918" s="319" t="s">
        <v>1027</v>
      </c>
      <c r="D918" s="292">
        <f>+D919</f>
        <v>232126203</v>
      </c>
      <c r="E918" s="322">
        <f>SUM('ADICIONES  2021'!C918:N918)</f>
        <v>0</v>
      </c>
      <c r="F918" s="289"/>
      <c r="G918" s="289">
        <f t="shared" si="1076"/>
        <v>0</v>
      </c>
      <c r="H918" s="289">
        <f t="shared" si="1076"/>
        <v>0</v>
      </c>
      <c r="I918" s="289">
        <f t="shared" si="1076"/>
        <v>0</v>
      </c>
      <c r="J918" s="289">
        <f t="shared" si="1076"/>
        <v>0</v>
      </c>
      <c r="K918" s="276">
        <f t="shared" si="1046"/>
        <v>232126203</v>
      </c>
      <c r="L918" s="289">
        <f t="shared" si="1077"/>
        <v>240000</v>
      </c>
      <c r="M918" s="289">
        <f t="shared" si="1077"/>
        <v>120000</v>
      </c>
      <c r="N918" s="289">
        <f t="shared" si="1077"/>
        <v>120000</v>
      </c>
      <c r="O918" s="289">
        <f t="shared" si="1077"/>
        <v>360000</v>
      </c>
      <c r="P918" s="289">
        <f t="shared" si="1077"/>
        <v>120000</v>
      </c>
      <c r="Q918" s="289">
        <f t="shared" si="1077"/>
        <v>120000</v>
      </c>
      <c r="R918" s="276">
        <f t="shared" si="980"/>
        <v>1080000</v>
      </c>
      <c r="S918" s="289">
        <f t="shared" si="1078"/>
        <v>360000</v>
      </c>
      <c r="T918" s="289">
        <f t="shared" si="1078"/>
        <v>120000</v>
      </c>
      <c r="U918" s="289">
        <f t="shared" si="1078"/>
        <v>120000</v>
      </c>
      <c r="V918" s="289">
        <f t="shared" si="1078"/>
        <v>8581000</v>
      </c>
      <c r="W918" s="289">
        <f t="shared" si="1078"/>
        <v>240000</v>
      </c>
      <c r="X918" s="289">
        <f t="shared" si="1078"/>
        <v>74389228</v>
      </c>
      <c r="Y918" s="289">
        <f t="shared" si="1078"/>
        <v>0</v>
      </c>
      <c r="Z918" s="289">
        <f t="shared" si="1078"/>
        <v>0</v>
      </c>
      <c r="AA918" s="276">
        <f t="shared" si="982"/>
        <v>83810228</v>
      </c>
      <c r="AB918" s="402">
        <f t="shared" si="959"/>
        <v>84890228</v>
      </c>
      <c r="AC918" s="321">
        <f t="shared" si="960"/>
        <v>0.36570721832726483</v>
      </c>
    </row>
    <row r="919" spans="1:29" ht="14.25" hidden="1" x14ac:dyDescent="0.2">
      <c r="A919" s="424"/>
      <c r="B919" s="323" t="s">
        <v>1028</v>
      </c>
      <c r="C919" s="206" t="s">
        <v>1029</v>
      </c>
      <c r="D919" s="303">
        <v>232126203</v>
      </c>
      <c r="E919" s="325">
        <f>SUM('ADICIONES  2021'!C919:N919)</f>
        <v>0</v>
      </c>
      <c r="F919" s="290"/>
      <c r="G919" s="290"/>
      <c r="H919" s="290"/>
      <c r="I919" s="290"/>
      <c r="J919" s="290"/>
      <c r="K919" s="281">
        <f t="shared" si="1046"/>
        <v>232126203</v>
      </c>
      <c r="L919" s="290">
        <v>240000</v>
      </c>
      <c r="M919" s="290">
        <v>120000</v>
      </c>
      <c r="N919" s="290">
        <v>120000</v>
      </c>
      <c r="O919" s="290">
        <v>360000</v>
      </c>
      <c r="P919" s="290">
        <v>120000</v>
      </c>
      <c r="Q919" s="290">
        <v>120000</v>
      </c>
      <c r="R919" s="281">
        <f t="shared" si="980"/>
        <v>1080000</v>
      </c>
      <c r="S919" s="290">
        <v>360000</v>
      </c>
      <c r="T919" s="290">
        <v>120000</v>
      </c>
      <c r="U919" s="290">
        <v>120000</v>
      </c>
      <c r="V919" s="290">
        <v>8581000</v>
      </c>
      <c r="W919" s="290">
        <v>240000</v>
      </c>
      <c r="X919" s="290">
        <v>74389228</v>
      </c>
      <c r="Y919" s="290"/>
      <c r="Z919" s="290"/>
      <c r="AA919" s="281">
        <f t="shared" si="982"/>
        <v>83810228</v>
      </c>
      <c r="AB919" s="403">
        <f t="shared" si="959"/>
        <v>84890228</v>
      </c>
      <c r="AC919" s="326">
        <f t="shared" si="960"/>
        <v>0.36570721832726483</v>
      </c>
    </row>
    <row r="920" spans="1:29" s="61" customFormat="1" ht="15.75" x14ac:dyDescent="0.2">
      <c r="A920" s="428">
        <v>1</v>
      </c>
      <c r="B920" s="172" t="s">
        <v>607</v>
      </c>
      <c r="C920" s="319" t="s">
        <v>1030</v>
      </c>
      <c r="D920" s="292">
        <f>+D921+D927+D975</f>
        <v>62551399804.150002</v>
      </c>
      <c r="E920" s="322">
        <f>SUM('ADICIONES  2021'!C920:N920)</f>
        <v>67980710491.870003</v>
      </c>
      <c r="F920" s="292">
        <f t="shared" ref="F920:J920" si="1079">+F921+F927+F975</f>
        <v>10534246</v>
      </c>
      <c r="G920" s="292">
        <f t="shared" si="1079"/>
        <v>4689016590.2200003</v>
      </c>
      <c r="H920" s="292">
        <f t="shared" si="1079"/>
        <v>350000000</v>
      </c>
      <c r="I920" s="292">
        <f t="shared" si="1079"/>
        <v>0</v>
      </c>
      <c r="J920" s="292">
        <f t="shared" si="1079"/>
        <v>0</v>
      </c>
      <c r="K920" s="276">
        <f t="shared" si="1046"/>
        <v>134860592640.24001</v>
      </c>
      <c r="L920" s="292">
        <f t="shared" ref="L920:Q920" si="1080">+L921+L927+L975</f>
        <v>6582521004.8992004</v>
      </c>
      <c r="M920" s="292">
        <f t="shared" si="1080"/>
        <v>3179980547.1784</v>
      </c>
      <c r="N920" s="292">
        <f t="shared" si="1080"/>
        <v>7562907784.9661999</v>
      </c>
      <c r="O920" s="292">
        <f t="shared" si="1080"/>
        <v>8513936975.5716</v>
      </c>
      <c r="P920" s="292">
        <f t="shared" si="1080"/>
        <v>15265919873.014801</v>
      </c>
      <c r="Q920" s="292">
        <f t="shared" si="1080"/>
        <v>5524870299.5431995</v>
      </c>
      <c r="R920" s="276">
        <f t="shared" si="980"/>
        <v>46630136485.173401</v>
      </c>
      <c r="S920" s="292">
        <f t="shared" ref="S920:Z920" si="1081">+S921+S927+S975</f>
        <v>8190969017.7407999</v>
      </c>
      <c r="T920" s="292">
        <f t="shared" si="1081"/>
        <v>13779368602.7472</v>
      </c>
      <c r="U920" s="292">
        <f t="shared" si="1081"/>
        <v>8965399923.9420013</v>
      </c>
      <c r="V920" s="292">
        <f t="shared" si="1081"/>
        <v>5030419297.6464005</v>
      </c>
      <c r="W920" s="292">
        <f t="shared" si="1081"/>
        <v>8541352772.4267998</v>
      </c>
      <c r="X920" s="292">
        <f t="shared" si="1081"/>
        <v>42966353875.4244</v>
      </c>
      <c r="Y920" s="292">
        <f t="shared" si="1081"/>
        <v>1713627053.2707992</v>
      </c>
      <c r="Z920" s="292">
        <f t="shared" si="1081"/>
        <v>0</v>
      </c>
      <c r="AA920" s="276">
        <f t="shared" si="982"/>
        <v>89187490543.19841</v>
      </c>
      <c r="AB920" s="402">
        <f t="shared" si="959"/>
        <v>135817627028.37181</v>
      </c>
      <c r="AC920" s="321">
        <f t="shared" si="960"/>
        <v>1.0070964717668476</v>
      </c>
    </row>
    <row r="921" spans="1:29" s="19" customFormat="1" x14ac:dyDescent="0.2">
      <c r="A921" s="429">
        <v>1</v>
      </c>
      <c r="B921" s="318" t="s">
        <v>609</v>
      </c>
      <c r="C921" s="206" t="s">
        <v>1031</v>
      </c>
      <c r="D921" s="292">
        <f>+D922</f>
        <v>22909078896</v>
      </c>
      <c r="E921" s="322">
        <f>SUM('ADICIONES  2021'!C921:N921)</f>
        <v>4981448737</v>
      </c>
      <c r="F921" s="289">
        <f t="shared" ref="F921:J921" si="1082">+F922</f>
        <v>0</v>
      </c>
      <c r="G921" s="289">
        <f t="shared" si="1082"/>
        <v>0</v>
      </c>
      <c r="H921" s="289">
        <f t="shared" si="1082"/>
        <v>0</v>
      </c>
      <c r="I921" s="289">
        <f t="shared" si="1082"/>
        <v>0</v>
      </c>
      <c r="J921" s="289">
        <f t="shared" si="1082"/>
        <v>0</v>
      </c>
      <c r="K921" s="281">
        <f t="shared" si="1046"/>
        <v>27890527633</v>
      </c>
      <c r="L921" s="289">
        <f t="shared" ref="L921:Q921" si="1083">+L922</f>
        <v>2348122163</v>
      </c>
      <c r="M921" s="289">
        <f t="shared" si="1083"/>
        <v>0</v>
      </c>
      <c r="N921" s="289">
        <f t="shared" si="1083"/>
        <v>4644073722</v>
      </c>
      <c r="O921" s="289">
        <f t="shared" si="1083"/>
        <v>2322036861</v>
      </c>
      <c r="P921" s="289">
        <f t="shared" si="1083"/>
        <v>2322036861</v>
      </c>
      <c r="Q921" s="289">
        <f t="shared" si="1083"/>
        <v>2322036861</v>
      </c>
      <c r="R921" s="281">
        <f t="shared" si="980"/>
        <v>13958306468</v>
      </c>
      <c r="S921" s="290">
        <f t="shared" ref="S921:Z921" si="1084">+S922</f>
        <v>2322036861</v>
      </c>
      <c r="T921" s="290">
        <f t="shared" si="1084"/>
        <v>2322036861</v>
      </c>
      <c r="U921" s="290">
        <f t="shared" si="1084"/>
        <v>2322036861</v>
      </c>
      <c r="V921" s="290">
        <f t="shared" si="1084"/>
        <v>2322036861</v>
      </c>
      <c r="W921" s="290">
        <f t="shared" si="1084"/>
        <v>2322036861</v>
      </c>
      <c r="X921" s="290">
        <f t="shared" si="1084"/>
        <v>2322036860</v>
      </c>
      <c r="Y921" s="290">
        <f t="shared" si="1084"/>
        <v>0</v>
      </c>
      <c r="Z921" s="289">
        <f t="shared" si="1084"/>
        <v>0</v>
      </c>
      <c r="AA921" s="276">
        <f t="shared" si="982"/>
        <v>13932221165</v>
      </c>
      <c r="AB921" s="403">
        <f t="shared" si="959"/>
        <v>27890527633</v>
      </c>
      <c r="AC921" s="326">
        <f t="shared" si="960"/>
        <v>1</v>
      </c>
    </row>
    <row r="922" spans="1:29" s="61" customFormat="1" ht="15.75" hidden="1" x14ac:dyDescent="0.2">
      <c r="A922" s="425"/>
      <c r="B922" s="318" t="s">
        <v>1032</v>
      </c>
      <c r="C922" s="319" t="s">
        <v>1033</v>
      </c>
      <c r="D922" s="292">
        <f>SUM(D923:D926)</f>
        <v>22909078896</v>
      </c>
      <c r="E922" s="322">
        <f>SUM('ADICIONES  2021'!C922:N922)</f>
        <v>4981448737</v>
      </c>
      <c r="F922" s="289">
        <f t="shared" ref="F922" si="1085">SUM(F923:F926)</f>
        <v>0</v>
      </c>
      <c r="G922" s="289">
        <f t="shared" ref="G922:J922" si="1086">SUM(G923:G926)</f>
        <v>0</v>
      </c>
      <c r="H922" s="289">
        <f t="shared" si="1086"/>
        <v>0</v>
      </c>
      <c r="I922" s="289">
        <f t="shared" si="1086"/>
        <v>0</v>
      </c>
      <c r="J922" s="289">
        <f t="shared" si="1086"/>
        <v>0</v>
      </c>
      <c r="K922" s="276">
        <f t="shared" si="1046"/>
        <v>27890527633</v>
      </c>
      <c r="L922" s="289">
        <f t="shared" ref="L922:Q922" si="1087">SUM(L923:L926)</f>
        <v>2348122163</v>
      </c>
      <c r="M922" s="289">
        <f t="shared" si="1087"/>
        <v>0</v>
      </c>
      <c r="N922" s="289">
        <f t="shared" si="1087"/>
        <v>4644073722</v>
      </c>
      <c r="O922" s="289">
        <f t="shared" si="1087"/>
        <v>2322036861</v>
      </c>
      <c r="P922" s="289">
        <f t="shared" si="1087"/>
        <v>2322036861</v>
      </c>
      <c r="Q922" s="289">
        <f t="shared" si="1087"/>
        <v>2322036861</v>
      </c>
      <c r="R922" s="276">
        <f t="shared" si="980"/>
        <v>13958306468</v>
      </c>
      <c r="S922" s="289">
        <f t="shared" ref="S922:Z922" si="1088">SUM(S923:S926)</f>
        <v>2322036861</v>
      </c>
      <c r="T922" s="289">
        <f t="shared" si="1088"/>
        <v>2322036861</v>
      </c>
      <c r="U922" s="289">
        <f t="shared" si="1088"/>
        <v>2322036861</v>
      </c>
      <c r="V922" s="289">
        <f t="shared" si="1088"/>
        <v>2322036861</v>
      </c>
      <c r="W922" s="289">
        <f t="shared" si="1088"/>
        <v>2322036861</v>
      </c>
      <c r="X922" s="289">
        <f t="shared" si="1088"/>
        <v>2322036860</v>
      </c>
      <c r="Y922" s="289">
        <f t="shared" si="1088"/>
        <v>0</v>
      </c>
      <c r="Z922" s="289">
        <f t="shared" si="1088"/>
        <v>0</v>
      </c>
      <c r="AA922" s="276">
        <f t="shared" si="982"/>
        <v>13932221165</v>
      </c>
      <c r="AB922" s="402">
        <f t="shared" ref="AB922:AB1029" si="1089">+R922+AA922</f>
        <v>27890527633</v>
      </c>
      <c r="AC922" s="321">
        <f t="shared" ref="AC922:AC1029" si="1090">+AB922/K922</f>
        <v>1</v>
      </c>
    </row>
    <row r="923" spans="1:29" ht="14.25" hidden="1" x14ac:dyDescent="0.2">
      <c r="A923" s="424"/>
      <c r="B923" s="323" t="s">
        <v>1034</v>
      </c>
      <c r="C923" s="206" t="s">
        <v>1035</v>
      </c>
      <c r="D923" s="303">
        <v>17248664388</v>
      </c>
      <c r="E923" s="325">
        <f>SUM('ADICIONES  2021'!C923:N923)</f>
        <v>0</v>
      </c>
      <c r="F923" s="290"/>
      <c r="G923" s="290"/>
      <c r="H923" s="290"/>
      <c r="I923" s="290"/>
      <c r="J923" s="290"/>
      <c r="K923" s="281">
        <f t="shared" si="1046"/>
        <v>17248664388</v>
      </c>
      <c r="L923" s="290">
        <v>1817561055</v>
      </c>
      <c r="M923" s="290">
        <v>0</v>
      </c>
      <c r="N923" s="290">
        <v>3555573918</v>
      </c>
      <c r="O923" s="290">
        <v>1777786959</v>
      </c>
      <c r="P923" s="290">
        <v>1777786959</v>
      </c>
      <c r="Q923" s="290">
        <v>1777786959</v>
      </c>
      <c r="R923" s="281">
        <f t="shared" si="980"/>
        <v>10706495850</v>
      </c>
      <c r="S923" s="290">
        <v>1777786959</v>
      </c>
      <c r="T923" s="290">
        <v>1777786959</v>
      </c>
      <c r="U923" s="290">
        <v>1777786959</v>
      </c>
      <c r="V923" s="290">
        <v>1777786959</v>
      </c>
      <c r="W923" s="290">
        <v>0</v>
      </c>
      <c r="X923" s="290">
        <v>0</v>
      </c>
      <c r="Y923" s="290">
        <v>-568979298</v>
      </c>
      <c r="Z923" s="290"/>
      <c r="AA923" s="281">
        <f t="shared" si="982"/>
        <v>6542168538</v>
      </c>
      <c r="AB923" s="403">
        <f t="shared" si="1089"/>
        <v>17248664388</v>
      </c>
      <c r="AC923" s="326">
        <f t="shared" si="1090"/>
        <v>1</v>
      </c>
    </row>
    <row r="924" spans="1:29" ht="14.25" hidden="1" x14ac:dyDescent="0.2">
      <c r="A924" s="424"/>
      <c r="B924" s="323" t="s">
        <v>1034</v>
      </c>
      <c r="C924" s="206" t="s">
        <v>1035</v>
      </c>
      <c r="D924" s="303"/>
      <c r="E924" s="325">
        <f>SUM('ADICIONES  2021'!C924:N924)</f>
        <v>4124553211</v>
      </c>
      <c r="F924" s="290"/>
      <c r="G924" s="290"/>
      <c r="H924" s="290"/>
      <c r="I924" s="290"/>
      <c r="J924" s="290"/>
      <c r="K924" s="281">
        <f t="shared" si="1046"/>
        <v>4124553211</v>
      </c>
      <c r="L924" s="290"/>
      <c r="M924" s="290"/>
      <c r="N924" s="290"/>
      <c r="O924" s="290">
        <v>0</v>
      </c>
      <c r="P924" s="290">
        <v>0</v>
      </c>
      <c r="Q924" s="290">
        <v>0</v>
      </c>
      <c r="R924" s="281">
        <f t="shared" si="980"/>
        <v>0</v>
      </c>
      <c r="S924" s="290">
        <v>0</v>
      </c>
      <c r="T924" s="290">
        <v>0</v>
      </c>
      <c r="U924" s="290">
        <v>0</v>
      </c>
      <c r="V924" s="290">
        <v>0</v>
      </c>
      <c r="W924" s="290">
        <v>1777786959</v>
      </c>
      <c r="X924" s="290">
        <v>1777786954</v>
      </c>
      <c r="Y924" s="290">
        <v>568979298</v>
      </c>
      <c r="Z924" s="290"/>
      <c r="AA924" s="281">
        <f t="shared" ref="AA924:AA926" si="1091">SUM(S924:Z924)</f>
        <v>4124553211</v>
      </c>
      <c r="AB924" s="403">
        <f t="shared" si="1089"/>
        <v>4124553211</v>
      </c>
      <c r="AC924" s="326">
        <f t="shared" si="1090"/>
        <v>1</v>
      </c>
    </row>
    <row r="925" spans="1:29" ht="38.25" hidden="1" x14ac:dyDescent="0.2">
      <c r="A925" s="424"/>
      <c r="B925" s="323" t="s">
        <v>1036</v>
      </c>
      <c r="C925" s="206" t="s">
        <v>1037</v>
      </c>
      <c r="D925" s="303">
        <v>5660414508</v>
      </c>
      <c r="E925" s="325">
        <f>SUM('ADICIONES  2021'!C925:N925)</f>
        <v>0</v>
      </c>
      <c r="F925" s="290"/>
      <c r="G925" s="290"/>
      <c r="H925" s="290"/>
      <c r="I925" s="290"/>
      <c r="J925" s="290"/>
      <c r="K925" s="281">
        <f t="shared" si="1046"/>
        <v>5660414508</v>
      </c>
      <c r="L925" s="290">
        <v>530561108</v>
      </c>
      <c r="M925" s="290">
        <v>0</v>
      </c>
      <c r="N925" s="290">
        <v>1088499804</v>
      </c>
      <c r="O925" s="290">
        <v>544249902</v>
      </c>
      <c r="P925" s="290">
        <v>544249902</v>
      </c>
      <c r="Q925" s="290">
        <v>544249902</v>
      </c>
      <c r="R925" s="281">
        <f t="shared" si="980"/>
        <v>3251810618</v>
      </c>
      <c r="S925" s="290">
        <v>544249902</v>
      </c>
      <c r="T925" s="290">
        <v>544249902</v>
      </c>
      <c r="U925" s="290">
        <v>544249902</v>
      </c>
      <c r="V925" s="290">
        <v>544249902</v>
      </c>
      <c r="W925" s="290">
        <v>231604282</v>
      </c>
      <c r="X925" s="290">
        <v>0</v>
      </c>
      <c r="Y925" s="290">
        <v>0</v>
      </c>
      <c r="Z925" s="290"/>
      <c r="AA925" s="281">
        <f t="shared" si="1091"/>
        <v>2408603890</v>
      </c>
      <c r="AB925" s="403">
        <f t="shared" si="1089"/>
        <v>5660414508</v>
      </c>
      <c r="AC925" s="326">
        <f t="shared" si="1090"/>
        <v>1</v>
      </c>
    </row>
    <row r="926" spans="1:29" ht="38.25" hidden="1" x14ac:dyDescent="0.2">
      <c r="A926" s="424"/>
      <c r="B926" s="323" t="s">
        <v>1036</v>
      </c>
      <c r="C926" s="206" t="s">
        <v>1037</v>
      </c>
      <c r="D926" s="303"/>
      <c r="E926" s="325">
        <f>SUM('ADICIONES  2021'!C926:N926)</f>
        <v>856895526</v>
      </c>
      <c r="F926" s="290"/>
      <c r="G926" s="290"/>
      <c r="H926" s="290"/>
      <c r="I926" s="290"/>
      <c r="J926" s="290"/>
      <c r="K926" s="281">
        <f t="shared" si="1046"/>
        <v>856895526</v>
      </c>
      <c r="L926" s="290"/>
      <c r="M926" s="290"/>
      <c r="N926" s="290"/>
      <c r="O926" s="290">
        <v>0</v>
      </c>
      <c r="P926" s="290">
        <v>0</v>
      </c>
      <c r="Q926" s="290">
        <v>0</v>
      </c>
      <c r="R926" s="281">
        <f t="shared" si="980"/>
        <v>0</v>
      </c>
      <c r="S926" s="290">
        <v>0</v>
      </c>
      <c r="T926" s="290">
        <v>0</v>
      </c>
      <c r="U926" s="290">
        <v>0</v>
      </c>
      <c r="V926" s="290">
        <v>0</v>
      </c>
      <c r="W926" s="290">
        <v>312645620</v>
      </c>
      <c r="X926" s="290">
        <v>544249906</v>
      </c>
      <c r="Y926" s="290">
        <v>0</v>
      </c>
      <c r="Z926" s="290"/>
      <c r="AA926" s="281">
        <f t="shared" si="1091"/>
        <v>856895526</v>
      </c>
      <c r="AB926" s="403">
        <f t="shared" si="1089"/>
        <v>856895526</v>
      </c>
      <c r="AC926" s="326">
        <f t="shared" si="1090"/>
        <v>1</v>
      </c>
    </row>
    <row r="927" spans="1:29" s="61" customFormat="1" ht="25.5" x14ac:dyDescent="0.2">
      <c r="A927" s="428">
        <v>1</v>
      </c>
      <c r="B927" s="318" t="s">
        <v>633</v>
      </c>
      <c r="C927" s="319" t="s">
        <v>1038</v>
      </c>
      <c r="D927" s="292">
        <f>+D928+D953</f>
        <v>39642320908.150002</v>
      </c>
      <c r="E927" s="322">
        <f>SUM('ADICIONES  2021'!C927:N927)</f>
        <v>59517171471.43</v>
      </c>
      <c r="F927" s="289">
        <f>+F928+F953</f>
        <v>10534246</v>
      </c>
      <c r="G927" s="289">
        <f>+G928+G953</f>
        <v>4689016590.2200003</v>
      </c>
      <c r="H927" s="289">
        <f>+H928+H953</f>
        <v>350000000</v>
      </c>
      <c r="I927" s="289">
        <f>+I928+I953</f>
        <v>0</v>
      </c>
      <c r="J927" s="289">
        <f>+J928+J953</f>
        <v>0</v>
      </c>
      <c r="K927" s="276">
        <f t="shared" si="1046"/>
        <v>103487974723.8</v>
      </c>
      <c r="L927" s="289">
        <f t="shared" ref="L927:Q927" si="1092">+L928+L953</f>
        <v>4234398841.8992</v>
      </c>
      <c r="M927" s="289">
        <f t="shared" si="1092"/>
        <v>3179980547.1784</v>
      </c>
      <c r="N927" s="289">
        <f t="shared" si="1092"/>
        <v>2918834062.9661999</v>
      </c>
      <c r="O927" s="289">
        <f t="shared" si="1092"/>
        <v>6191900114.5716</v>
      </c>
      <c r="P927" s="289">
        <f t="shared" si="1092"/>
        <v>9491792728.5748005</v>
      </c>
      <c r="Q927" s="289">
        <f t="shared" si="1092"/>
        <v>3202833438.5432</v>
      </c>
      <c r="R927" s="276">
        <f t="shared" si="980"/>
        <v>29219739733.733402</v>
      </c>
      <c r="S927" s="289">
        <f t="shared" ref="S927:Z927" si="1093">+S928+S953</f>
        <v>5848185678.6308002</v>
      </c>
      <c r="T927" s="289">
        <f t="shared" si="1093"/>
        <v>11457331741.7472</v>
      </c>
      <c r="U927" s="289">
        <f t="shared" si="1093"/>
        <v>6643363062.9420004</v>
      </c>
      <c r="V927" s="289">
        <f t="shared" si="1093"/>
        <v>2708382436.6464</v>
      </c>
      <c r="W927" s="289">
        <f t="shared" si="1093"/>
        <v>6219281316.8568001</v>
      </c>
      <c r="X927" s="289">
        <f t="shared" si="1093"/>
        <v>40644317015.4244</v>
      </c>
      <c r="Y927" s="289">
        <f t="shared" si="1093"/>
        <v>1713627053.2707992</v>
      </c>
      <c r="Z927" s="289">
        <f t="shared" si="1093"/>
        <v>0</v>
      </c>
      <c r="AA927" s="276">
        <f t="shared" si="982"/>
        <v>75234488305.518402</v>
      </c>
      <c r="AB927" s="402">
        <f t="shared" si="1089"/>
        <v>104454228039.2518</v>
      </c>
      <c r="AC927" s="321">
        <f t="shared" si="1090"/>
        <v>1.0093368656409658</v>
      </c>
    </row>
    <row r="928" spans="1:29" s="19" customFormat="1" x14ac:dyDescent="0.2">
      <c r="A928" s="429">
        <v>1</v>
      </c>
      <c r="B928" s="323" t="s">
        <v>1039</v>
      </c>
      <c r="C928" s="206" t="s">
        <v>1040</v>
      </c>
      <c r="D928" s="292">
        <f>+D929+D933+D940+D949</f>
        <v>5000045908.1499996</v>
      </c>
      <c r="E928" s="322">
        <f>SUM('ADICIONES  2021'!C928:N928)</f>
        <v>47382291507.43</v>
      </c>
      <c r="F928" s="289">
        <f>+F929+F933+F940+F949</f>
        <v>10534246</v>
      </c>
      <c r="G928" s="289">
        <f>+G929+G933+G940+G949</f>
        <v>0</v>
      </c>
      <c r="H928" s="289">
        <f t="shared" ref="H928:J928" si="1094">+H929+H933+H940+H949</f>
        <v>0</v>
      </c>
      <c r="I928" s="289">
        <f t="shared" si="1094"/>
        <v>0</v>
      </c>
      <c r="J928" s="289">
        <f t="shared" si="1094"/>
        <v>0</v>
      </c>
      <c r="K928" s="281">
        <f t="shared" si="1046"/>
        <v>52371803169.580002</v>
      </c>
      <c r="L928" s="289">
        <f t="shared" ref="L928:Q928" si="1095">+L929+L933+L940+L949</f>
        <v>246145912</v>
      </c>
      <c r="M928" s="289">
        <f t="shared" si="1095"/>
        <v>1744556000</v>
      </c>
      <c r="N928" s="289">
        <f t="shared" si="1095"/>
        <v>637912007</v>
      </c>
      <c r="O928" s="289">
        <f t="shared" si="1095"/>
        <v>264932609</v>
      </c>
      <c r="P928" s="289">
        <f t="shared" si="1095"/>
        <v>8531602299.4300003</v>
      </c>
      <c r="Q928" s="289">
        <f t="shared" si="1095"/>
        <v>396864936</v>
      </c>
      <c r="R928" s="281">
        <f t="shared" si="980"/>
        <v>11822013763.43</v>
      </c>
      <c r="S928" s="290">
        <f t="shared" ref="S928:Z928" si="1096">+S929+S933+S940+S949</f>
        <v>1175658325</v>
      </c>
      <c r="T928" s="290">
        <f t="shared" si="1096"/>
        <v>7504788380</v>
      </c>
      <c r="U928" s="290">
        <f t="shared" si="1096"/>
        <v>99788242</v>
      </c>
      <c r="V928" s="290">
        <f t="shared" si="1096"/>
        <v>299310942</v>
      </c>
      <c r="W928" s="290">
        <f t="shared" si="1096"/>
        <v>99788242</v>
      </c>
      <c r="X928" s="290">
        <f t="shared" si="1096"/>
        <v>30657430353</v>
      </c>
      <c r="Y928" s="290">
        <f t="shared" si="1096"/>
        <v>0</v>
      </c>
      <c r="Z928" s="289">
        <f t="shared" si="1096"/>
        <v>0</v>
      </c>
      <c r="AA928" s="276">
        <f t="shared" si="982"/>
        <v>39836764484</v>
      </c>
      <c r="AB928" s="403">
        <f t="shared" si="1089"/>
        <v>51658778247.43</v>
      </c>
      <c r="AC928" s="326">
        <f t="shared" si="1090"/>
        <v>0.98638532800100032</v>
      </c>
    </row>
    <row r="929" spans="1:29" s="61" customFormat="1" ht="25.5" hidden="1" x14ac:dyDescent="0.2">
      <c r="A929" s="425"/>
      <c r="B929" s="318" t="s">
        <v>1041</v>
      </c>
      <c r="C929" s="319" t="s">
        <v>1042</v>
      </c>
      <c r="D929" s="292">
        <f>SUM(D930:D932)</f>
        <v>2082947768</v>
      </c>
      <c r="E929" s="322">
        <f>SUM('ADICIONES  2021'!C929:N929)</f>
        <v>0</v>
      </c>
      <c r="F929" s="289">
        <f>SUM(F930:F932)</f>
        <v>10534246</v>
      </c>
      <c r="G929" s="289">
        <f>SUM(G930:G932)</f>
        <v>0</v>
      </c>
      <c r="H929" s="289">
        <f t="shared" ref="H929:J929" si="1097">SUM(H930:H932)</f>
        <v>0</v>
      </c>
      <c r="I929" s="289">
        <f t="shared" si="1097"/>
        <v>0</v>
      </c>
      <c r="J929" s="289">
        <f t="shared" si="1097"/>
        <v>0</v>
      </c>
      <c r="K929" s="276">
        <f t="shared" si="1046"/>
        <v>2072413522</v>
      </c>
      <c r="L929" s="289">
        <f t="shared" ref="L929:Q929" si="1098">SUM(L930:L932)</f>
        <v>0</v>
      </c>
      <c r="M929" s="289">
        <f t="shared" si="1098"/>
        <v>0</v>
      </c>
      <c r="N929" s="289">
        <f t="shared" si="1098"/>
        <v>362999420</v>
      </c>
      <c r="O929" s="289">
        <f t="shared" si="1098"/>
        <v>121554219</v>
      </c>
      <c r="P929" s="289">
        <f t="shared" si="1098"/>
        <v>399152972</v>
      </c>
      <c r="Q929" s="289">
        <f t="shared" si="1098"/>
        <v>396864936</v>
      </c>
      <c r="R929" s="276">
        <f t="shared" si="980"/>
        <v>1280571547</v>
      </c>
      <c r="S929" s="289">
        <f t="shared" ref="S929:Z929" si="1099">SUM(S930:S932)</f>
        <v>99788242</v>
      </c>
      <c r="T929" s="289">
        <f t="shared" si="1099"/>
        <v>99788242</v>
      </c>
      <c r="U929" s="289">
        <f t="shared" si="1099"/>
        <v>99788242</v>
      </c>
      <c r="V929" s="289">
        <f t="shared" si="1099"/>
        <v>99788242</v>
      </c>
      <c r="W929" s="289">
        <f t="shared" si="1099"/>
        <v>99788242</v>
      </c>
      <c r="X929" s="289">
        <f t="shared" si="1099"/>
        <v>292900765</v>
      </c>
      <c r="Y929" s="289">
        <f t="shared" si="1099"/>
        <v>0</v>
      </c>
      <c r="Z929" s="289">
        <f t="shared" si="1099"/>
        <v>0</v>
      </c>
      <c r="AA929" s="276">
        <f t="shared" si="982"/>
        <v>791841975</v>
      </c>
      <c r="AB929" s="402">
        <f t="shared" si="1089"/>
        <v>2072413522</v>
      </c>
      <c r="AC929" s="321">
        <f t="shared" si="1090"/>
        <v>1</v>
      </c>
    </row>
    <row r="930" spans="1:29" ht="14.25" hidden="1" x14ac:dyDescent="0.2">
      <c r="A930" s="424"/>
      <c r="B930" s="323" t="s">
        <v>1043</v>
      </c>
      <c r="C930" s="206" t="s">
        <v>1044</v>
      </c>
      <c r="D930" s="303">
        <v>1591355036</v>
      </c>
      <c r="E930" s="325">
        <f>SUM('ADICIONES  2021'!C930:N930)</f>
        <v>0</v>
      </c>
      <c r="F930" s="290">
        <v>3495153</v>
      </c>
      <c r="G930" s="290"/>
      <c r="H930" s="290"/>
      <c r="I930" s="290"/>
      <c r="J930" s="290"/>
      <c r="K930" s="281">
        <f t="shared" si="1046"/>
        <v>1587859883</v>
      </c>
      <c r="L930" s="290"/>
      <c r="M930" s="290"/>
      <c r="N930" s="290">
        <v>0</v>
      </c>
      <c r="O930" s="290">
        <v>0</v>
      </c>
      <c r="P930" s="290">
        <v>399152972</v>
      </c>
      <c r="Q930" s="290">
        <v>396864936</v>
      </c>
      <c r="R930" s="281">
        <f t="shared" ref="R930:R1034" si="1100">SUM(L930:Q930)</f>
        <v>796017908</v>
      </c>
      <c r="S930" s="290">
        <v>99788242</v>
      </c>
      <c r="T930" s="290">
        <v>99788242</v>
      </c>
      <c r="U930" s="290">
        <v>99788242</v>
      </c>
      <c r="V930" s="290">
        <v>99788242</v>
      </c>
      <c r="W930" s="290">
        <v>99788242</v>
      </c>
      <c r="X930" s="290">
        <v>292900765</v>
      </c>
      <c r="Y930" s="290"/>
      <c r="Z930" s="290"/>
      <c r="AA930" s="281">
        <f t="shared" ref="AA930:AA1024" si="1101">SUM(S930:Z930)</f>
        <v>791841975</v>
      </c>
      <c r="AB930" s="403">
        <f t="shared" si="1089"/>
        <v>1587859883</v>
      </c>
      <c r="AC930" s="326">
        <f t="shared" si="1090"/>
        <v>1</v>
      </c>
    </row>
    <row r="931" spans="1:29" ht="14.25" hidden="1" x14ac:dyDescent="0.2">
      <c r="A931" s="424"/>
      <c r="B931" s="323" t="s">
        <v>1045</v>
      </c>
      <c r="C931" s="206" t="s">
        <v>1046</v>
      </c>
      <c r="D931" s="303">
        <v>123846146</v>
      </c>
      <c r="E931" s="325">
        <f>SUM('ADICIONES  2021'!C931:N931)</f>
        <v>0</v>
      </c>
      <c r="F931" s="290">
        <v>2291927</v>
      </c>
      <c r="G931" s="290"/>
      <c r="H931" s="290"/>
      <c r="I931" s="290"/>
      <c r="J931" s="290"/>
      <c r="K931" s="281">
        <f t="shared" si="1046"/>
        <v>121554219</v>
      </c>
      <c r="L931" s="290"/>
      <c r="M931" s="290"/>
      <c r="N931" s="290">
        <v>0</v>
      </c>
      <c r="O931" s="290">
        <v>121554219</v>
      </c>
      <c r="P931" s="290">
        <v>0</v>
      </c>
      <c r="Q931" s="290">
        <v>0</v>
      </c>
      <c r="R931" s="281">
        <f t="shared" si="1100"/>
        <v>121554219</v>
      </c>
      <c r="S931" s="290">
        <v>0</v>
      </c>
      <c r="T931" s="290">
        <v>0</v>
      </c>
      <c r="U931" s="290">
        <v>0</v>
      </c>
      <c r="V931" s="290">
        <v>0</v>
      </c>
      <c r="W931" s="290"/>
      <c r="X931" s="290">
        <v>0</v>
      </c>
      <c r="Y931" s="290"/>
      <c r="Z931" s="290"/>
      <c r="AA931" s="281">
        <f t="shared" si="1101"/>
        <v>0</v>
      </c>
      <c r="AB931" s="403">
        <f t="shared" si="1089"/>
        <v>121554219</v>
      </c>
      <c r="AC931" s="326">
        <f t="shared" si="1090"/>
        <v>1</v>
      </c>
    </row>
    <row r="932" spans="1:29" ht="14.25" hidden="1" x14ac:dyDescent="0.2">
      <c r="A932" s="424"/>
      <c r="B932" s="323" t="s">
        <v>1047</v>
      </c>
      <c r="C932" s="206" t="s">
        <v>1048</v>
      </c>
      <c r="D932" s="303">
        <v>367746586</v>
      </c>
      <c r="E932" s="325">
        <f>SUM('ADICIONES  2021'!C932:N932)</f>
        <v>0</v>
      </c>
      <c r="F932" s="290">
        <v>4747166</v>
      </c>
      <c r="G932" s="290"/>
      <c r="H932" s="290"/>
      <c r="I932" s="290"/>
      <c r="J932" s="290"/>
      <c r="K932" s="281">
        <f t="shared" si="1046"/>
        <v>362999420</v>
      </c>
      <c r="L932" s="290"/>
      <c r="M932" s="290"/>
      <c r="N932" s="290">
        <v>362999420</v>
      </c>
      <c r="O932" s="290">
        <v>0</v>
      </c>
      <c r="P932" s="290">
        <v>0</v>
      </c>
      <c r="Q932" s="290">
        <v>0</v>
      </c>
      <c r="R932" s="281">
        <f t="shared" si="1100"/>
        <v>362999420</v>
      </c>
      <c r="S932" s="290">
        <v>0</v>
      </c>
      <c r="T932" s="290">
        <v>0</v>
      </c>
      <c r="U932" s="290">
        <v>0</v>
      </c>
      <c r="V932" s="290">
        <v>0</v>
      </c>
      <c r="W932" s="290"/>
      <c r="X932" s="290">
        <v>0</v>
      </c>
      <c r="Y932" s="290"/>
      <c r="Z932" s="290"/>
      <c r="AA932" s="281">
        <f t="shared" si="1101"/>
        <v>0</v>
      </c>
      <c r="AB932" s="403">
        <f t="shared" si="1089"/>
        <v>362999420</v>
      </c>
      <c r="AC932" s="326">
        <f t="shared" si="1090"/>
        <v>1</v>
      </c>
    </row>
    <row r="933" spans="1:29" s="61" customFormat="1" ht="38.25" hidden="1" x14ac:dyDescent="0.2">
      <c r="A933" s="425"/>
      <c r="B933" s="318" t="s">
        <v>1208</v>
      </c>
      <c r="C933" s="319" t="s">
        <v>1056</v>
      </c>
      <c r="D933" s="292">
        <f>SUM(D934:D939)</f>
        <v>1699345500</v>
      </c>
      <c r="E933" s="322">
        <f>SUM('ADICIONES  2021'!C933:N933)</f>
        <v>40097189553.43</v>
      </c>
      <c r="F933" s="292">
        <f t="shared" ref="F933:I933" si="1102">SUM(F934:F939)</f>
        <v>0</v>
      </c>
      <c r="G933" s="292">
        <f t="shared" si="1102"/>
        <v>0</v>
      </c>
      <c r="H933" s="292">
        <f t="shared" si="1102"/>
        <v>0</v>
      </c>
      <c r="I933" s="292">
        <f t="shared" si="1102"/>
        <v>0</v>
      </c>
      <c r="J933" s="292">
        <f>SUM(J934:J939)</f>
        <v>0</v>
      </c>
      <c r="K933" s="276">
        <f t="shared" si="1046"/>
        <v>41796535053.43</v>
      </c>
      <c r="L933" s="292">
        <f t="shared" ref="L933:Q933" si="1103">SUM(L934:L939)</f>
        <v>0</v>
      </c>
      <c r="M933" s="292">
        <f t="shared" si="1103"/>
        <v>1744556000</v>
      </c>
      <c r="N933" s="292">
        <f t="shared" si="1103"/>
        <v>0</v>
      </c>
      <c r="O933" s="292">
        <f t="shared" si="1103"/>
        <v>0</v>
      </c>
      <c r="P933" s="292">
        <f t="shared" si="1103"/>
        <v>8132449327.4300003</v>
      </c>
      <c r="Q933" s="292">
        <f t="shared" si="1103"/>
        <v>0</v>
      </c>
      <c r="R933" s="276">
        <f t="shared" si="1100"/>
        <v>9877005327.4300003</v>
      </c>
      <c r="S933" s="292">
        <f t="shared" ref="S933:Z933" si="1104">SUM(S934:S939)</f>
        <v>0</v>
      </c>
      <c r="T933" s="292">
        <f t="shared" si="1104"/>
        <v>1555000138</v>
      </c>
      <c r="U933" s="292">
        <f t="shared" si="1104"/>
        <v>0</v>
      </c>
      <c r="V933" s="292">
        <f t="shared" si="1104"/>
        <v>0</v>
      </c>
      <c r="W933" s="292">
        <f t="shared" si="1104"/>
        <v>0</v>
      </c>
      <c r="X933" s="292">
        <f t="shared" si="1104"/>
        <v>30364529588</v>
      </c>
      <c r="Y933" s="292">
        <f t="shared" si="1104"/>
        <v>0</v>
      </c>
      <c r="Z933" s="292">
        <f t="shared" si="1104"/>
        <v>0</v>
      </c>
      <c r="AA933" s="276">
        <f t="shared" si="1101"/>
        <v>31919529726</v>
      </c>
      <c r="AB933" s="402">
        <f t="shared" si="1089"/>
        <v>41796535053.43</v>
      </c>
      <c r="AC933" s="321">
        <f t="shared" si="1090"/>
        <v>1</v>
      </c>
    </row>
    <row r="934" spans="1:29" ht="25.5" hidden="1" x14ac:dyDescent="0.2">
      <c r="A934" s="424"/>
      <c r="B934" s="323" t="s">
        <v>1209</v>
      </c>
      <c r="C934" s="206" t="s">
        <v>1057</v>
      </c>
      <c r="D934" s="303">
        <v>1699345500</v>
      </c>
      <c r="E934" s="325">
        <f>SUM('ADICIONES  2021'!C934:N934)</f>
        <v>0</v>
      </c>
      <c r="F934" s="290"/>
      <c r="G934" s="290"/>
      <c r="H934" s="290"/>
      <c r="I934" s="290"/>
      <c r="J934" s="290"/>
      <c r="K934" s="281">
        <f t="shared" si="1046"/>
        <v>1699345500</v>
      </c>
      <c r="L934" s="290"/>
      <c r="M934" s="290">
        <v>1744556000</v>
      </c>
      <c r="N934" s="290"/>
      <c r="O934" s="290">
        <v>0</v>
      </c>
      <c r="P934" s="290">
        <v>-45210500</v>
      </c>
      <c r="Q934" s="290"/>
      <c r="R934" s="281">
        <f t="shared" si="1100"/>
        <v>1699345500</v>
      </c>
      <c r="S934" s="290">
        <v>0</v>
      </c>
      <c r="T934" s="290"/>
      <c r="U934" s="290">
        <v>0</v>
      </c>
      <c r="V934" s="290"/>
      <c r="W934" s="290"/>
      <c r="X934" s="290">
        <v>0</v>
      </c>
      <c r="Y934" s="290"/>
      <c r="Z934" s="290"/>
      <c r="AA934" s="281">
        <f t="shared" si="1101"/>
        <v>0</v>
      </c>
      <c r="AB934" s="403">
        <f t="shared" si="1089"/>
        <v>1699345500</v>
      </c>
      <c r="AC934" s="326">
        <f t="shared" si="1090"/>
        <v>1</v>
      </c>
    </row>
    <row r="935" spans="1:29" ht="25.5" hidden="1" x14ac:dyDescent="0.2">
      <c r="A935" s="424"/>
      <c r="B935" s="323" t="s">
        <v>1209</v>
      </c>
      <c r="C935" s="206" t="s">
        <v>1057</v>
      </c>
      <c r="D935" s="303"/>
      <c r="E935" s="325">
        <f>SUM('ADICIONES  2021'!C935:N935)</f>
        <v>45210500</v>
      </c>
      <c r="F935" s="290"/>
      <c r="G935" s="290"/>
      <c r="H935" s="290"/>
      <c r="I935" s="290"/>
      <c r="J935" s="290"/>
      <c r="K935" s="281">
        <f t="shared" si="1046"/>
        <v>45210500</v>
      </c>
      <c r="L935" s="290"/>
      <c r="M935" s="290"/>
      <c r="N935" s="290"/>
      <c r="O935" s="290">
        <v>0</v>
      </c>
      <c r="P935" s="290">
        <v>45210500</v>
      </c>
      <c r="Q935" s="290"/>
      <c r="R935" s="281">
        <f t="shared" si="1100"/>
        <v>45210500</v>
      </c>
      <c r="S935" s="290">
        <v>0</v>
      </c>
      <c r="T935" s="290"/>
      <c r="U935" s="290">
        <v>0</v>
      </c>
      <c r="V935" s="290"/>
      <c r="W935" s="290"/>
      <c r="X935" s="290">
        <v>0</v>
      </c>
      <c r="Y935" s="290"/>
      <c r="Z935" s="290"/>
      <c r="AA935" s="281">
        <f t="shared" si="1101"/>
        <v>0</v>
      </c>
      <c r="AB935" s="403">
        <f t="shared" si="1089"/>
        <v>45210500</v>
      </c>
      <c r="AC935" s="326">
        <f t="shared" si="1090"/>
        <v>1</v>
      </c>
    </row>
    <row r="936" spans="1:29" ht="25.5" hidden="1" x14ac:dyDescent="0.2">
      <c r="A936" s="424"/>
      <c r="B936" s="323" t="s">
        <v>1209</v>
      </c>
      <c r="C936" s="206" t="s">
        <v>1057</v>
      </c>
      <c r="D936" s="303"/>
      <c r="E936" s="325">
        <f>SUM('ADICIONES  2021'!C936:N936)</f>
        <v>1555000138</v>
      </c>
      <c r="F936" s="290"/>
      <c r="G936" s="290"/>
      <c r="H936" s="290"/>
      <c r="I936" s="290"/>
      <c r="J936" s="290"/>
      <c r="K936" s="281">
        <f t="shared" si="1046"/>
        <v>1555000138</v>
      </c>
      <c r="L936" s="290"/>
      <c r="M936" s="290"/>
      <c r="N936" s="290"/>
      <c r="O936" s="290"/>
      <c r="P936" s="290"/>
      <c r="Q936" s="290"/>
      <c r="R936" s="281">
        <f t="shared" si="1100"/>
        <v>0</v>
      </c>
      <c r="S936" s="290"/>
      <c r="T936" s="290">
        <v>1555000138</v>
      </c>
      <c r="U936" s="290">
        <v>0</v>
      </c>
      <c r="V936" s="290"/>
      <c r="W936" s="290"/>
      <c r="X936" s="290">
        <v>0</v>
      </c>
      <c r="Y936" s="290"/>
      <c r="Z936" s="290"/>
      <c r="AA936" s="281">
        <f t="shared" ref="AA936:AA939" si="1105">SUM(S936:Z936)</f>
        <v>1555000138</v>
      </c>
      <c r="AB936" s="403">
        <f t="shared" si="1089"/>
        <v>1555000138</v>
      </c>
      <c r="AC936" s="326">
        <v>0</v>
      </c>
    </row>
    <row r="937" spans="1:29" ht="25.5" hidden="1" x14ac:dyDescent="0.2">
      <c r="A937" s="424"/>
      <c r="B937" s="323" t="s">
        <v>1209</v>
      </c>
      <c r="C937" s="206" t="s">
        <v>1057</v>
      </c>
      <c r="D937" s="303"/>
      <c r="E937" s="325">
        <f>SUM('ADICIONES  2021'!C937:N937)</f>
        <v>1741074000</v>
      </c>
      <c r="F937" s="290"/>
      <c r="G937" s="290"/>
      <c r="H937" s="290"/>
      <c r="I937" s="290"/>
      <c r="J937" s="290"/>
      <c r="K937" s="281">
        <f t="shared" si="1046"/>
        <v>1741074000</v>
      </c>
      <c r="L937" s="290"/>
      <c r="M937" s="290"/>
      <c r="N937" s="290"/>
      <c r="O937" s="290"/>
      <c r="P937" s="290"/>
      <c r="Q937" s="290"/>
      <c r="R937" s="281">
        <f t="shared" si="1100"/>
        <v>0</v>
      </c>
      <c r="S937" s="290"/>
      <c r="T937" s="290"/>
      <c r="U937" s="290"/>
      <c r="V937" s="290"/>
      <c r="W937" s="290"/>
      <c r="X937" s="290">
        <v>1741074000</v>
      </c>
      <c r="Y937" s="290"/>
      <c r="Z937" s="290"/>
      <c r="AA937" s="281">
        <f t="shared" si="1105"/>
        <v>1741074000</v>
      </c>
      <c r="AB937" s="403">
        <f t="shared" si="1089"/>
        <v>1741074000</v>
      </c>
      <c r="AC937" s="326">
        <v>1</v>
      </c>
    </row>
    <row r="938" spans="1:29" ht="25.5" hidden="1" x14ac:dyDescent="0.2">
      <c r="A938" s="424"/>
      <c r="B938" s="323" t="s">
        <v>1209</v>
      </c>
      <c r="C938" s="206" t="s">
        <v>1057</v>
      </c>
      <c r="D938" s="303"/>
      <c r="E938" s="325">
        <f>SUM('ADICIONES  2021'!C938:N938)</f>
        <v>28623455588</v>
      </c>
      <c r="F938" s="290"/>
      <c r="G938" s="290"/>
      <c r="H938" s="290"/>
      <c r="I938" s="290"/>
      <c r="J938" s="290"/>
      <c r="K938" s="281">
        <f t="shared" si="1046"/>
        <v>28623455588</v>
      </c>
      <c r="L938" s="290"/>
      <c r="M938" s="290"/>
      <c r="N938" s="290"/>
      <c r="O938" s="290"/>
      <c r="P938" s="290"/>
      <c r="Q938" s="290"/>
      <c r="R938" s="281">
        <f t="shared" si="1100"/>
        <v>0</v>
      </c>
      <c r="S938" s="290"/>
      <c r="T938" s="290"/>
      <c r="U938" s="290"/>
      <c r="V938" s="290"/>
      <c r="W938" s="290"/>
      <c r="X938" s="290">
        <v>28623455588</v>
      </c>
      <c r="Y938" s="290"/>
      <c r="Z938" s="290"/>
      <c r="AA938" s="281">
        <f t="shared" si="1105"/>
        <v>28623455588</v>
      </c>
      <c r="AB938" s="403">
        <f t="shared" si="1089"/>
        <v>28623455588</v>
      </c>
      <c r="AC938" s="326">
        <v>2</v>
      </c>
    </row>
    <row r="939" spans="1:29" ht="14.25" hidden="1" x14ac:dyDescent="0.2">
      <c r="A939" s="424"/>
      <c r="B939" s="323" t="s">
        <v>1831</v>
      </c>
      <c r="C939" s="206" t="s">
        <v>1832</v>
      </c>
      <c r="D939" s="303"/>
      <c r="E939" s="325">
        <f>SUM('ADICIONES  2021'!C939:N939)</f>
        <v>8132449327.4300003</v>
      </c>
      <c r="F939" s="290"/>
      <c r="G939" s="290"/>
      <c r="H939" s="290"/>
      <c r="I939" s="290"/>
      <c r="J939" s="290"/>
      <c r="K939" s="281">
        <f t="shared" si="1046"/>
        <v>8132449327.4300003</v>
      </c>
      <c r="L939" s="290"/>
      <c r="M939" s="290"/>
      <c r="N939" s="290"/>
      <c r="O939" s="290"/>
      <c r="P939" s="290">
        <v>8132449327.4300003</v>
      </c>
      <c r="Q939" s="290"/>
      <c r="R939" s="281">
        <f t="shared" si="1100"/>
        <v>8132449327.4300003</v>
      </c>
      <c r="S939" s="290">
        <v>0</v>
      </c>
      <c r="T939" s="290"/>
      <c r="U939" s="290">
        <v>0</v>
      </c>
      <c r="V939" s="290"/>
      <c r="W939" s="290"/>
      <c r="X939" s="290">
        <v>0</v>
      </c>
      <c r="Y939" s="290"/>
      <c r="Z939" s="290"/>
      <c r="AA939" s="281">
        <f t="shared" si="1105"/>
        <v>0</v>
      </c>
      <c r="AB939" s="403">
        <f t="shared" si="1089"/>
        <v>8132449327.4300003</v>
      </c>
      <c r="AC939" s="326">
        <v>0</v>
      </c>
    </row>
    <row r="940" spans="1:29" s="61" customFormat="1" ht="25.5" hidden="1" x14ac:dyDescent="0.2">
      <c r="A940" s="425"/>
      <c r="B940" s="318" t="s">
        <v>1210</v>
      </c>
      <c r="C940" s="319" t="s">
        <v>377</v>
      </c>
      <c r="D940" s="292">
        <f>+D941+D945+D946+D947+D948</f>
        <v>910253281.14999998</v>
      </c>
      <c r="E940" s="322">
        <f>SUM('ADICIONES  2021'!C940:N940)</f>
        <v>7044935287</v>
      </c>
      <c r="F940" s="292">
        <f t="shared" ref="F940:J940" si="1106">+F941+F945+F946+F947+F948</f>
        <v>0</v>
      </c>
      <c r="G940" s="292">
        <f t="shared" si="1106"/>
        <v>0</v>
      </c>
      <c r="H940" s="292">
        <f t="shared" si="1106"/>
        <v>0</v>
      </c>
      <c r="I940" s="292">
        <f t="shared" si="1106"/>
        <v>0</v>
      </c>
      <c r="J940" s="292">
        <f t="shared" si="1106"/>
        <v>0</v>
      </c>
      <c r="K940" s="276">
        <f t="shared" si="1046"/>
        <v>7955188568.1499996</v>
      </c>
      <c r="L940" s="292">
        <f t="shared" ref="L940:Q940" si="1107">+L941+L945+L946+L947+L948</f>
        <v>184609434</v>
      </c>
      <c r="M940" s="292">
        <f t="shared" si="1107"/>
        <v>0</v>
      </c>
      <c r="N940" s="292">
        <f t="shared" si="1107"/>
        <v>274912587</v>
      </c>
      <c r="O940" s="292">
        <f t="shared" si="1107"/>
        <v>143378390</v>
      </c>
      <c r="P940" s="292">
        <f t="shared" si="1107"/>
        <v>0</v>
      </c>
      <c r="Q940" s="292">
        <f t="shared" si="1107"/>
        <v>0</v>
      </c>
      <c r="R940" s="276">
        <f t="shared" si="1100"/>
        <v>602900411</v>
      </c>
      <c r="S940" s="292">
        <f t="shared" ref="S940:Z940" si="1108">+S941+S945+S946+S947+S948</f>
        <v>806902562</v>
      </c>
      <c r="T940" s="292">
        <f t="shared" si="1108"/>
        <v>5850000000</v>
      </c>
      <c r="U940" s="292">
        <f t="shared" si="1108"/>
        <v>0</v>
      </c>
      <c r="V940" s="292">
        <f t="shared" si="1108"/>
        <v>199522700</v>
      </c>
      <c r="W940" s="292">
        <f t="shared" si="1108"/>
        <v>0</v>
      </c>
      <c r="X940" s="292">
        <f t="shared" si="1108"/>
        <v>0</v>
      </c>
      <c r="Y940" s="292">
        <f t="shared" si="1108"/>
        <v>0</v>
      </c>
      <c r="Z940" s="292">
        <f t="shared" si="1108"/>
        <v>0</v>
      </c>
      <c r="AA940" s="276">
        <f t="shared" si="1101"/>
        <v>6856425262</v>
      </c>
      <c r="AB940" s="402">
        <f t="shared" si="1089"/>
        <v>7459325673</v>
      </c>
      <c r="AC940" s="321">
        <f t="shared" si="1090"/>
        <v>0.93766798977773147</v>
      </c>
    </row>
    <row r="941" spans="1:29" s="61" customFormat="1" ht="15.75" hidden="1" x14ac:dyDescent="0.2">
      <c r="A941" s="425"/>
      <c r="B941" s="318" t="s">
        <v>1211</v>
      </c>
      <c r="C941" s="319" t="s">
        <v>378</v>
      </c>
      <c r="D941" s="292">
        <f>SUM(D942:D944)</f>
        <v>910253281.14999998</v>
      </c>
      <c r="E941" s="322">
        <f>SUM('ADICIONES  2021'!C941:N941)</f>
        <v>720500000</v>
      </c>
      <c r="F941" s="292">
        <f t="shared" ref="F941:J941" si="1109">SUM(F942:F944)</f>
        <v>0</v>
      </c>
      <c r="G941" s="292">
        <f t="shared" si="1109"/>
        <v>0</v>
      </c>
      <c r="H941" s="292">
        <f t="shared" si="1109"/>
        <v>0</v>
      </c>
      <c r="I941" s="292">
        <f t="shared" si="1109"/>
        <v>0</v>
      </c>
      <c r="J941" s="292">
        <f t="shared" si="1109"/>
        <v>0</v>
      </c>
      <c r="K941" s="276">
        <f t="shared" si="1046"/>
        <v>1630753281.1500001</v>
      </c>
      <c r="L941" s="292">
        <f t="shared" ref="L941:Q941" si="1110">SUM(L942:L944)</f>
        <v>184609434</v>
      </c>
      <c r="M941" s="292">
        <f t="shared" si="1110"/>
        <v>0</v>
      </c>
      <c r="N941" s="292">
        <f t="shared" si="1110"/>
        <v>0</v>
      </c>
      <c r="O941" s="292">
        <f t="shared" si="1110"/>
        <v>143378390</v>
      </c>
      <c r="P941" s="292">
        <f t="shared" si="1110"/>
        <v>0</v>
      </c>
      <c r="Q941" s="292">
        <f t="shared" si="1110"/>
        <v>0</v>
      </c>
      <c r="R941" s="276">
        <f t="shared" si="1100"/>
        <v>327987824</v>
      </c>
      <c r="S941" s="292">
        <f t="shared" ref="S941:Z941" si="1111">SUM(S942:S944)</f>
        <v>806902562</v>
      </c>
      <c r="T941" s="292">
        <f t="shared" si="1111"/>
        <v>0</v>
      </c>
      <c r="U941" s="292">
        <f t="shared" si="1111"/>
        <v>0</v>
      </c>
      <c r="V941" s="292">
        <f t="shared" si="1111"/>
        <v>0</v>
      </c>
      <c r="W941" s="292">
        <f t="shared" si="1111"/>
        <v>0</v>
      </c>
      <c r="X941" s="292">
        <f t="shared" si="1111"/>
        <v>0</v>
      </c>
      <c r="Y941" s="292">
        <f t="shared" si="1111"/>
        <v>0</v>
      </c>
      <c r="Z941" s="292">
        <f t="shared" si="1111"/>
        <v>0</v>
      </c>
      <c r="AA941" s="276">
        <f t="shared" si="1101"/>
        <v>806902562</v>
      </c>
      <c r="AB941" s="402">
        <f t="shared" si="1089"/>
        <v>1134890386</v>
      </c>
      <c r="AC941" s="321">
        <f t="shared" si="1090"/>
        <v>0.69593015639967337</v>
      </c>
    </row>
    <row r="942" spans="1:29" ht="38.25" hidden="1" x14ac:dyDescent="0.2">
      <c r="A942" s="424"/>
      <c r="B942" s="323" t="s">
        <v>1212</v>
      </c>
      <c r="C942" s="206" t="s">
        <v>1058</v>
      </c>
      <c r="D942" s="303">
        <v>910253281.14999998</v>
      </c>
      <c r="E942" s="325">
        <f>SUM('ADICIONES  2021'!C942:N942)</f>
        <v>0</v>
      </c>
      <c r="F942" s="290"/>
      <c r="G942" s="290"/>
      <c r="H942" s="290"/>
      <c r="I942" s="290"/>
      <c r="J942" s="290"/>
      <c r="K942" s="281">
        <f t="shared" si="1046"/>
        <v>910253281.14999998</v>
      </c>
      <c r="L942" s="290">
        <v>184609434</v>
      </c>
      <c r="M942" s="290"/>
      <c r="N942" s="290"/>
      <c r="O942" s="290">
        <v>143378390</v>
      </c>
      <c r="P942" s="290"/>
      <c r="Q942" s="290"/>
      <c r="R942" s="281">
        <f t="shared" si="1100"/>
        <v>327987824</v>
      </c>
      <c r="S942" s="290">
        <v>806902562</v>
      </c>
      <c r="T942" s="290"/>
      <c r="U942" s="290">
        <v>-224637104.84999999</v>
      </c>
      <c r="V942" s="290">
        <v>0</v>
      </c>
      <c r="W942" s="290"/>
      <c r="X942" s="290"/>
      <c r="Y942" s="290"/>
      <c r="Z942" s="290"/>
      <c r="AA942" s="281">
        <f t="shared" si="1101"/>
        <v>582265457.14999998</v>
      </c>
      <c r="AB942" s="403">
        <f t="shared" si="1089"/>
        <v>910253281.14999998</v>
      </c>
      <c r="AC942" s="326">
        <f t="shared" si="1090"/>
        <v>1</v>
      </c>
    </row>
    <row r="943" spans="1:29" ht="38.25" hidden="1" x14ac:dyDescent="0.2">
      <c r="A943" s="424"/>
      <c r="B943" s="323" t="s">
        <v>1212</v>
      </c>
      <c r="C943" s="206" t="s">
        <v>1058</v>
      </c>
      <c r="D943" s="303"/>
      <c r="E943" s="325">
        <f>SUM('ADICIONES  2021'!C943:N943)</f>
        <v>200000000</v>
      </c>
      <c r="F943" s="290"/>
      <c r="G943" s="290"/>
      <c r="H943" s="290"/>
      <c r="I943" s="290"/>
      <c r="J943" s="290"/>
      <c r="K943" s="281">
        <f t="shared" si="1046"/>
        <v>200000000</v>
      </c>
      <c r="L943" s="290"/>
      <c r="M943" s="290"/>
      <c r="N943" s="290"/>
      <c r="O943" s="290"/>
      <c r="P943" s="290"/>
      <c r="Q943" s="290"/>
      <c r="R943" s="281">
        <f t="shared" si="1100"/>
        <v>0</v>
      </c>
      <c r="S943" s="290"/>
      <c r="T943" s="290"/>
      <c r="U943" s="290"/>
      <c r="V943" s="290"/>
      <c r="W943" s="290"/>
      <c r="X943" s="290"/>
      <c r="Y943" s="290"/>
      <c r="Z943" s="290"/>
      <c r="AA943" s="281">
        <f t="shared" ref="AA943:AA948" si="1112">SUM(S943:Z943)</f>
        <v>0</v>
      </c>
      <c r="AB943" s="403">
        <f t="shared" si="1089"/>
        <v>0</v>
      </c>
      <c r="AC943" s="326">
        <f t="shared" si="1090"/>
        <v>0</v>
      </c>
    </row>
    <row r="944" spans="1:29" ht="38.25" hidden="1" x14ac:dyDescent="0.2">
      <c r="A944" s="424"/>
      <c r="B944" s="323" t="s">
        <v>1212</v>
      </c>
      <c r="C944" s="206" t="s">
        <v>1058</v>
      </c>
      <c r="D944" s="303"/>
      <c r="E944" s="325">
        <f>SUM('ADICIONES  2021'!C944:N944)</f>
        <v>520500000</v>
      </c>
      <c r="F944" s="290"/>
      <c r="G944" s="290"/>
      <c r="H944" s="290"/>
      <c r="I944" s="290"/>
      <c r="J944" s="290"/>
      <c r="K944" s="281">
        <f t="shared" si="1046"/>
        <v>520500000</v>
      </c>
      <c r="L944" s="290"/>
      <c r="M944" s="290"/>
      <c r="N944" s="290"/>
      <c r="O944" s="290"/>
      <c r="P944" s="290"/>
      <c r="Q944" s="290"/>
      <c r="R944" s="281">
        <f t="shared" si="1100"/>
        <v>0</v>
      </c>
      <c r="S944" s="290"/>
      <c r="T944" s="290"/>
      <c r="U944" s="290">
        <v>224637104.84999999</v>
      </c>
      <c r="V944" s="290">
        <v>0</v>
      </c>
      <c r="W944" s="290"/>
      <c r="X944" s="290"/>
      <c r="Y944" s="290"/>
      <c r="Z944" s="290"/>
      <c r="AA944" s="281">
        <f t="shared" si="1112"/>
        <v>224637104.84999999</v>
      </c>
      <c r="AB944" s="403">
        <f t="shared" si="1089"/>
        <v>224637104.84999999</v>
      </c>
      <c r="AC944" s="326">
        <f t="shared" si="1090"/>
        <v>0.43157945216138327</v>
      </c>
    </row>
    <row r="945" spans="1:29" ht="25.5" hidden="1" x14ac:dyDescent="0.2">
      <c r="A945" s="424"/>
      <c r="B945" s="323" t="s">
        <v>1213</v>
      </c>
      <c r="C945" s="206" t="s">
        <v>1214</v>
      </c>
      <c r="D945" s="303">
        <v>0</v>
      </c>
      <c r="E945" s="325">
        <f>SUM('ADICIONES  2021'!C945:N945)</f>
        <v>0</v>
      </c>
      <c r="F945" s="290"/>
      <c r="G945" s="290"/>
      <c r="H945" s="290"/>
      <c r="I945" s="290"/>
      <c r="J945" s="290"/>
      <c r="K945" s="281">
        <f t="shared" si="1046"/>
        <v>0</v>
      </c>
      <c r="L945" s="290">
        <v>0</v>
      </c>
      <c r="M945" s="290"/>
      <c r="N945" s="290">
        <v>274912587</v>
      </c>
      <c r="O945" s="290">
        <v>0</v>
      </c>
      <c r="P945" s="290"/>
      <c r="Q945" s="290"/>
      <c r="R945" s="281">
        <f t="shared" si="1100"/>
        <v>274912587</v>
      </c>
      <c r="S945" s="290">
        <v>0</v>
      </c>
      <c r="T945" s="290"/>
      <c r="U945" s="290">
        <v>-274912587</v>
      </c>
      <c r="V945" s="290">
        <v>0</v>
      </c>
      <c r="W945" s="290"/>
      <c r="X945" s="290"/>
      <c r="Y945" s="290"/>
      <c r="Z945" s="290"/>
      <c r="AA945" s="281">
        <f t="shared" si="1112"/>
        <v>-274912587</v>
      </c>
      <c r="AB945" s="403">
        <f t="shared" si="1089"/>
        <v>0</v>
      </c>
      <c r="AC945" s="326">
        <v>0</v>
      </c>
    </row>
    <row r="946" spans="1:29" ht="25.5" hidden="1" x14ac:dyDescent="0.2">
      <c r="A946" s="424"/>
      <c r="B946" s="323" t="s">
        <v>1213</v>
      </c>
      <c r="C946" s="206" t="s">
        <v>1214</v>
      </c>
      <c r="D946" s="303"/>
      <c r="E946" s="325">
        <f>SUM('ADICIONES  2021'!C946:N946)</f>
        <v>274912587</v>
      </c>
      <c r="F946" s="290"/>
      <c r="G946" s="290"/>
      <c r="H946" s="290"/>
      <c r="I946" s="290"/>
      <c r="J946" s="290"/>
      <c r="K946" s="281">
        <f t="shared" si="1046"/>
        <v>274912587</v>
      </c>
      <c r="L946" s="290"/>
      <c r="M946" s="290"/>
      <c r="N946" s="290"/>
      <c r="O946" s="290">
        <v>0</v>
      </c>
      <c r="P946" s="290"/>
      <c r="Q946" s="290"/>
      <c r="R946" s="281">
        <f t="shared" si="1100"/>
        <v>0</v>
      </c>
      <c r="S946" s="290">
        <v>0</v>
      </c>
      <c r="T946" s="290">
        <v>5850000000</v>
      </c>
      <c r="U946" s="290">
        <v>274912587</v>
      </c>
      <c r="V946" s="290">
        <v>0</v>
      </c>
      <c r="W946" s="290"/>
      <c r="X946" s="290"/>
      <c r="Y946" s="290">
        <v>-5850000000</v>
      </c>
      <c r="Z946" s="290"/>
      <c r="AA946" s="281">
        <f t="shared" si="1112"/>
        <v>274912587</v>
      </c>
      <c r="AB946" s="403">
        <f t="shared" si="1089"/>
        <v>274912587</v>
      </c>
      <c r="AC946" s="326">
        <f t="shared" si="1090"/>
        <v>1</v>
      </c>
    </row>
    <row r="947" spans="1:29" ht="25.5" hidden="1" x14ac:dyDescent="0.2">
      <c r="A947" s="424"/>
      <c r="B947" s="323" t="s">
        <v>1213</v>
      </c>
      <c r="C947" s="206" t="s">
        <v>1214</v>
      </c>
      <c r="D947" s="303"/>
      <c r="E947" s="325">
        <f>SUM('ADICIONES  2021'!C947:N947)</f>
        <v>5850000000</v>
      </c>
      <c r="F947" s="290"/>
      <c r="G947" s="290"/>
      <c r="H947" s="290"/>
      <c r="I947" s="290"/>
      <c r="J947" s="290"/>
      <c r="K947" s="281">
        <f t="shared" si="1046"/>
        <v>5850000000</v>
      </c>
      <c r="L947" s="290"/>
      <c r="M947" s="290"/>
      <c r="N947" s="290"/>
      <c r="O947" s="290"/>
      <c r="P947" s="290"/>
      <c r="Q947" s="290"/>
      <c r="R947" s="281">
        <f t="shared" si="1100"/>
        <v>0</v>
      </c>
      <c r="S947" s="290"/>
      <c r="T947" s="290"/>
      <c r="U947" s="290">
        <v>0</v>
      </c>
      <c r="V947" s="290">
        <v>0</v>
      </c>
      <c r="W947" s="290"/>
      <c r="X947" s="290"/>
      <c r="Y947" s="290">
        <v>5850000000</v>
      </c>
      <c r="Z947" s="290"/>
      <c r="AA947" s="281">
        <f t="shared" si="1112"/>
        <v>5850000000</v>
      </c>
      <c r="AB947" s="403">
        <f t="shared" si="1089"/>
        <v>5850000000</v>
      </c>
      <c r="AC947" s="326">
        <f t="shared" si="1090"/>
        <v>1</v>
      </c>
    </row>
    <row r="948" spans="1:29" ht="25.5" hidden="1" x14ac:dyDescent="0.2">
      <c r="A948" s="424"/>
      <c r="B948" s="323" t="s">
        <v>1213</v>
      </c>
      <c r="C948" s="206" t="s">
        <v>1214</v>
      </c>
      <c r="D948" s="303"/>
      <c r="E948" s="325">
        <f>SUM('ADICIONES  2021'!C948:N948)</f>
        <v>199522700</v>
      </c>
      <c r="F948" s="290"/>
      <c r="G948" s="290"/>
      <c r="H948" s="290"/>
      <c r="I948" s="290"/>
      <c r="J948" s="290"/>
      <c r="K948" s="281">
        <f t="shared" si="1046"/>
        <v>199522700</v>
      </c>
      <c r="L948" s="290"/>
      <c r="M948" s="290"/>
      <c r="N948" s="290"/>
      <c r="O948" s="290"/>
      <c r="P948" s="290"/>
      <c r="Q948" s="290"/>
      <c r="R948" s="281">
        <f t="shared" si="1100"/>
        <v>0</v>
      </c>
      <c r="S948" s="290"/>
      <c r="T948" s="290"/>
      <c r="U948" s="290">
        <v>0</v>
      </c>
      <c r="V948" s="290">
        <v>199522700</v>
      </c>
      <c r="W948" s="290"/>
      <c r="X948" s="290"/>
      <c r="Y948" s="290"/>
      <c r="Z948" s="290"/>
      <c r="AA948" s="281">
        <f t="shared" si="1112"/>
        <v>199522700</v>
      </c>
      <c r="AB948" s="403">
        <f t="shared" si="1089"/>
        <v>199522700</v>
      </c>
      <c r="AC948" s="326">
        <f t="shared" si="1090"/>
        <v>1</v>
      </c>
    </row>
    <row r="949" spans="1:29" s="61" customFormat="1" ht="25.5" hidden="1" x14ac:dyDescent="0.2">
      <c r="A949" s="425"/>
      <c r="B949" s="318" t="s">
        <v>1215</v>
      </c>
      <c r="C949" s="319" t="s">
        <v>1059</v>
      </c>
      <c r="D949" s="292">
        <f>SUM(D950:D952)</f>
        <v>307499359</v>
      </c>
      <c r="E949" s="322">
        <f>SUM('ADICIONES  2021'!C949:N949)</f>
        <v>240166667</v>
      </c>
      <c r="F949" s="292">
        <f t="shared" ref="F949:J949" si="1113">SUM(F950:F952)</f>
        <v>0</v>
      </c>
      <c r="G949" s="292">
        <f t="shared" si="1113"/>
        <v>0</v>
      </c>
      <c r="H949" s="292">
        <f t="shared" si="1113"/>
        <v>0</v>
      </c>
      <c r="I949" s="292">
        <f t="shared" si="1113"/>
        <v>0</v>
      </c>
      <c r="J949" s="292">
        <f t="shared" si="1113"/>
        <v>0</v>
      </c>
      <c r="K949" s="276">
        <f t="shared" si="1046"/>
        <v>547666026</v>
      </c>
      <c r="L949" s="292">
        <f t="shared" ref="L949:Q949" si="1114">SUM(L950:L952)</f>
        <v>61536478</v>
      </c>
      <c r="M949" s="292">
        <f t="shared" si="1114"/>
        <v>0</v>
      </c>
      <c r="N949" s="292">
        <f t="shared" si="1114"/>
        <v>0</v>
      </c>
      <c r="O949" s="292">
        <f t="shared" si="1114"/>
        <v>0</v>
      </c>
      <c r="P949" s="292">
        <f t="shared" si="1114"/>
        <v>0</v>
      </c>
      <c r="Q949" s="292">
        <f t="shared" si="1114"/>
        <v>0</v>
      </c>
      <c r="R949" s="276">
        <f t="shared" si="1100"/>
        <v>61536478</v>
      </c>
      <c r="S949" s="292">
        <f t="shared" ref="S949:Z949" si="1115">SUM(S950:S952)</f>
        <v>268967521</v>
      </c>
      <c r="T949" s="292">
        <f t="shared" si="1115"/>
        <v>0</v>
      </c>
      <c r="U949" s="292">
        <f t="shared" si="1115"/>
        <v>0</v>
      </c>
      <c r="V949" s="292">
        <f t="shared" si="1115"/>
        <v>0</v>
      </c>
      <c r="W949" s="292">
        <f t="shared" si="1115"/>
        <v>0</v>
      </c>
      <c r="X949" s="292">
        <f t="shared" si="1115"/>
        <v>0</v>
      </c>
      <c r="Y949" s="292">
        <f t="shared" si="1115"/>
        <v>0</v>
      </c>
      <c r="Z949" s="292">
        <f t="shared" si="1115"/>
        <v>0</v>
      </c>
      <c r="AA949" s="276">
        <f t="shared" si="1101"/>
        <v>268967521</v>
      </c>
      <c r="AB949" s="402">
        <f t="shared" si="1089"/>
        <v>330503999</v>
      </c>
      <c r="AC949" s="321">
        <f t="shared" si="1090"/>
        <v>0.60347727138363705</v>
      </c>
    </row>
    <row r="950" spans="1:29" ht="25.5" hidden="1" x14ac:dyDescent="0.2">
      <c r="A950" s="424"/>
      <c r="B950" s="323" t="s">
        <v>1216</v>
      </c>
      <c r="C950" s="206" t="s">
        <v>1060</v>
      </c>
      <c r="D950" s="303">
        <v>307499359</v>
      </c>
      <c r="E950" s="325">
        <f>SUM('ADICIONES  2021'!C950:N950)</f>
        <v>0</v>
      </c>
      <c r="F950" s="290"/>
      <c r="G950" s="290"/>
      <c r="H950" s="290"/>
      <c r="I950" s="290"/>
      <c r="J950" s="290"/>
      <c r="K950" s="281">
        <f t="shared" si="1046"/>
        <v>307499359</v>
      </c>
      <c r="L950" s="290">
        <v>61536478</v>
      </c>
      <c r="M950" s="290"/>
      <c r="N950" s="290">
        <v>0</v>
      </c>
      <c r="O950" s="290"/>
      <c r="P950" s="290"/>
      <c r="Q950" s="290"/>
      <c r="R950" s="281">
        <f t="shared" si="1100"/>
        <v>61536478</v>
      </c>
      <c r="S950" s="290">
        <v>268967521</v>
      </c>
      <c r="T950" s="290">
        <v>0</v>
      </c>
      <c r="U950" s="290">
        <v>-23004640</v>
      </c>
      <c r="V950" s="290"/>
      <c r="W950" s="290"/>
      <c r="X950" s="290"/>
      <c r="Y950" s="290"/>
      <c r="Z950" s="290"/>
      <c r="AA950" s="281">
        <f t="shared" si="1101"/>
        <v>245962881</v>
      </c>
      <c r="AB950" s="403">
        <f t="shared" si="1089"/>
        <v>307499359</v>
      </c>
      <c r="AC950" s="326">
        <f t="shared" si="1090"/>
        <v>1</v>
      </c>
    </row>
    <row r="951" spans="1:29" ht="25.5" hidden="1" x14ac:dyDescent="0.2">
      <c r="A951" s="424"/>
      <c r="B951" s="323" t="s">
        <v>1216</v>
      </c>
      <c r="C951" s="206" t="s">
        <v>1060</v>
      </c>
      <c r="D951" s="303"/>
      <c r="E951" s="325">
        <f>SUM('ADICIONES  2021'!C951:N951)</f>
        <v>66666667</v>
      </c>
      <c r="F951" s="290"/>
      <c r="G951" s="290"/>
      <c r="H951" s="290"/>
      <c r="I951" s="290"/>
      <c r="J951" s="290"/>
      <c r="K951" s="281">
        <f t="shared" si="1046"/>
        <v>66666667</v>
      </c>
      <c r="L951" s="290"/>
      <c r="M951" s="290"/>
      <c r="N951" s="290"/>
      <c r="O951" s="290"/>
      <c r="P951" s="290"/>
      <c r="Q951" s="290"/>
      <c r="R951" s="281">
        <f t="shared" si="1100"/>
        <v>0</v>
      </c>
      <c r="S951" s="290"/>
      <c r="T951" s="290"/>
      <c r="U951" s="290"/>
      <c r="V951" s="290"/>
      <c r="W951" s="290"/>
      <c r="X951" s="290"/>
      <c r="Y951" s="290"/>
      <c r="Z951" s="290"/>
      <c r="AA951" s="281">
        <f t="shared" ref="AA951:AA952" si="1116">SUM(S951:Z951)</f>
        <v>0</v>
      </c>
      <c r="AB951" s="403">
        <f t="shared" si="1089"/>
        <v>0</v>
      </c>
      <c r="AC951" s="326">
        <f t="shared" si="1090"/>
        <v>0</v>
      </c>
    </row>
    <row r="952" spans="1:29" ht="25.5" hidden="1" x14ac:dyDescent="0.2">
      <c r="A952" s="424"/>
      <c r="B952" s="323" t="s">
        <v>1216</v>
      </c>
      <c r="C952" s="206" t="s">
        <v>1060</v>
      </c>
      <c r="D952" s="303"/>
      <c r="E952" s="325">
        <f>SUM('ADICIONES  2021'!C952:N952)</f>
        <v>173500000</v>
      </c>
      <c r="F952" s="290"/>
      <c r="G952" s="290"/>
      <c r="H952" s="290"/>
      <c r="I952" s="290"/>
      <c r="J952" s="290"/>
      <c r="K952" s="281">
        <f t="shared" si="1046"/>
        <v>173500000</v>
      </c>
      <c r="L952" s="290"/>
      <c r="M952" s="290"/>
      <c r="N952" s="290"/>
      <c r="O952" s="290"/>
      <c r="P952" s="290"/>
      <c r="Q952" s="290"/>
      <c r="R952" s="281">
        <f t="shared" si="1100"/>
        <v>0</v>
      </c>
      <c r="S952" s="290"/>
      <c r="T952" s="290"/>
      <c r="U952" s="290">
        <v>23004640</v>
      </c>
      <c r="V952" s="290"/>
      <c r="W952" s="290"/>
      <c r="X952" s="290"/>
      <c r="Y952" s="290"/>
      <c r="Z952" s="290"/>
      <c r="AA952" s="281">
        <f t="shared" si="1116"/>
        <v>23004640</v>
      </c>
      <c r="AB952" s="403">
        <f t="shared" si="1089"/>
        <v>23004640</v>
      </c>
      <c r="AC952" s="326">
        <f t="shared" si="1090"/>
        <v>0.13259158501440924</v>
      </c>
    </row>
    <row r="953" spans="1:29" s="61" customFormat="1" ht="15.75" hidden="1" x14ac:dyDescent="0.2">
      <c r="A953" s="425"/>
      <c r="B953" s="318" t="s">
        <v>635</v>
      </c>
      <c r="C953" s="319" t="s">
        <v>1049</v>
      </c>
      <c r="D953" s="292">
        <f>+D954+D972</f>
        <v>34642275000</v>
      </c>
      <c r="E953" s="322">
        <f>SUM('ADICIONES  2021'!C953:N953)</f>
        <v>12134879964</v>
      </c>
      <c r="F953" s="292">
        <f t="shared" ref="F953:J953" si="1117">+F954+F972</f>
        <v>0</v>
      </c>
      <c r="G953" s="292">
        <f t="shared" si="1117"/>
        <v>4689016590.2200003</v>
      </c>
      <c r="H953" s="292">
        <f t="shared" si="1117"/>
        <v>350000000</v>
      </c>
      <c r="I953" s="292">
        <f t="shared" si="1117"/>
        <v>0</v>
      </c>
      <c r="J953" s="292">
        <f t="shared" si="1117"/>
        <v>0</v>
      </c>
      <c r="K953" s="276">
        <f t="shared" si="1046"/>
        <v>51116171554.220001</v>
      </c>
      <c r="L953" s="292">
        <f t="shared" ref="L953:Q953" si="1118">+L954+L972</f>
        <v>3988252929.8992</v>
      </c>
      <c r="M953" s="292">
        <f t="shared" si="1118"/>
        <v>1435424547.1784</v>
      </c>
      <c r="N953" s="292">
        <f t="shared" si="1118"/>
        <v>2280922055.9661999</v>
      </c>
      <c r="O953" s="292">
        <f t="shared" si="1118"/>
        <v>5926967505.5716</v>
      </c>
      <c r="P953" s="292">
        <f t="shared" si="1118"/>
        <v>960190429.14479995</v>
      </c>
      <c r="Q953" s="292">
        <f t="shared" si="1118"/>
        <v>2805968502.5432</v>
      </c>
      <c r="R953" s="276">
        <f t="shared" si="1100"/>
        <v>17397725970.303402</v>
      </c>
      <c r="S953" s="292">
        <f t="shared" ref="S953:Z953" si="1119">+S954+S972</f>
        <v>4672527353.6308002</v>
      </c>
      <c r="T953" s="292">
        <f t="shared" si="1119"/>
        <v>3952543361.7472</v>
      </c>
      <c r="U953" s="292">
        <f t="shared" si="1119"/>
        <v>6543574820.9420004</v>
      </c>
      <c r="V953" s="292">
        <f t="shared" si="1119"/>
        <v>2409071494.6464</v>
      </c>
      <c r="W953" s="292">
        <f t="shared" si="1119"/>
        <v>6119493074.8568001</v>
      </c>
      <c r="X953" s="292">
        <f t="shared" si="1119"/>
        <v>9986886662.4244003</v>
      </c>
      <c r="Y953" s="292">
        <f t="shared" si="1119"/>
        <v>1713627053.2707992</v>
      </c>
      <c r="Z953" s="292">
        <f t="shared" si="1119"/>
        <v>0</v>
      </c>
      <c r="AA953" s="276">
        <f t="shared" si="1101"/>
        <v>35397723821.518402</v>
      </c>
      <c r="AB953" s="402">
        <f t="shared" si="1089"/>
        <v>52795449791.821808</v>
      </c>
      <c r="AC953" s="321">
        <f t="shared" si="1090"/>
        <v>1.0328521911274313</v>
      </c>
    </row>
    <row r="954" spans="1:29" s="19" customFormat="1" ht="25.5" x14ac:dyDescent="0.2">
      <c r="A954" s="429">
        <v>1</v>
      </c>
      <c r="B954" s="323" t="s">
        <v>637</v>
      </c>
      <c r="C954" s="206" t="s">
        <v>1050</v>
      </c>
      <c r="D954" s="292">
        <f>+D955+D970+D971</f>
        <v>34642275000</v>
      </c>
      <c r="E954" s="322">
        <f>SUM('ADICIONES  2021'!C954:N954)</f>
        <v>10051000000</v>
      </c>
      <c r="F954" s="292">
        <f t="shared" ref="F954:J954" si="1120">+F955+F970+F971</f>
        <v>0</v>
      </c>
      <c r="G954" s="292">
        <f t="shared" si="1120"/>
        <v>4689016590.2200003</v>
      </c>
      <c r="H954" s="292">
        <f t="shared" si="1120"/>
        <v>350000000</v>
      </c>
      <c r="I954" s="292">
        <f t="shared" si="1120"/>
        <v>0</v>
      </c>
      <c r="J954" s="292">
        <f t="shared" si="1120"/>
        <v>0</v>
      </c>
      <c r="K954" s="281">
        <f t="shared" si="1046"/>
        <v>49032291590.220001</v>
      </c>
      <c r="L954" s="292">
        <f t="shared" ref="L954:Q954" si="1121">+L955+L970+L971</f>
        <v>3988252929.8992</v>
      </c>
      <c r="M954" s="292">
        <f t="shared" si="1121"/>
        <v>1435424547.1784</v>
      </c>
      <c r="N954" s="292">
        <f t="shared" si="1121"/>
        <v>2280922055.9661999</v>
      </c>
      <c r="O954" s="292">
        <f t="shared" si="1121"/>
        <v>5926967505.5716</v>
      </c>
      <c r="P954" s="292">
        <f t="shared" si="1121"/>
        <v>960190429.14479995</v>
      </c>
      <c r="Q954" s="292">
        <f t="shared" si="1121"/>
        <v>2805968502.5432</v>
      </c>
      <c r="R954" s="281">
        <f t="shared" si="1100"/>
        <v>17397725970.303402</v>
      </c>
      <c r="S954" s="303">
        <f t="shared" ref="S954:Z954" si="1122">+S955+S970+S971</f>
        <v>4672527353.6308002</v>
      </c>
      <c r="T954" s="303">
        <f t="shared" si="1122"/>
        <v>3952543361.7472</v>
      </c>
      <c r="U954" s="303">
        <f t="shared" si="1122"/>
        <v>6543574820.9420004</v>
      </c>
      <c r="V954" s="303">
        <f t="shared" si="1122"/>
        <v>2409071494.6464</v>
      </c>
      <c r="W954" s="303">
        <f t="shared" si="1122"/>
        <v>6119493074.8568001</v>
      </c>
      <c r="X954" s="303">
        <f t="shared" si="1122"/>
        <v>7903006698.4243994</v>
      </c>
      <c r="Y954" s="303">
        <f t="shared" si="1122"/>
        <v>1713627053.2707992</v>
      </c>
      <c r="Z954" s="292">
        <f t="shared" si="1122"/>
        <v>0</v>
      </c>
      <c r="AA954" s="276">
        <f t="shared" si="1101"/>
        <v>33313843857.518398</v>
      </c>
      <c r="AB954" s="403">
        <f t="shared" si="1089"/>
        <v>50711569827.8218</v>
      </c>
      <c r="AC954" s="326">
        <f t="shared" si="1090"/>
        <v>1.0342484143232813</v>
      </c>
    </row>
    <row r="955" spans="1:29" s="61" customFormat="1" ht="15.75" hidden="1" x14ac:dyDescent="0.2">
      <c r="A955" s="425"/>
      <c r="B955" s="318" t="s">
        <v>1051</v>
      </c>
      <c r="C955" s="319" t="s">
        <v>973</v>
      </c>
      <c r="D955" s="292">
        <f>SUM(D956:D969)</f>
        <v>33841475000</v>
      </c>
      <c r="E955" s="322">
        <f>SUM('ADICIONES  2021'!C955:N955)</f>
        <v>10051000000</v>
      </c>
      <c r="F955" s="292">
        <f t="shared" ref="F955:J955" si="1123">SUM(F956:F969)</f>
        <v>0</v>
      </c>
      <c r="G955" s="292">
        <f t="shared" si="1123"/>
        <v>4429016590.2200003</v>
      </c>
      <c r="H955" s="292">
        <f t="shared" si="1123"/>
        <v>350000000</v>
      </c>
      <c r="I955" s="292">
        <f t="shared" si="1123"/>
        <v>0</v>
      </c>
      <c r="J955" s="292">
        <f t="shared" si="1123"/>
        <v>0</v>
      </c>
      <c r="K955" s="276">
        <f t="shared" si="1046"/>
        <v>47971491590.220001</v>
      </c>
      <c r="L955" s="292">
        <f t="shared" ref="L955:Q955" si="1124">SUM(L956:L969)</f>
        <v>3891772526.6799998</v>
      </c>
      <c r="M955" s="292">
        <f t="shared" si="1124"/>
        <v>1351207076.2408001</v>
      </c>
      <c r="N955" s="292">
        <f t="shared" si="1124"/>
        <v>2214813338.0910001</v>
      </c>
      <c r="O955" s="292">
        <f t="shared" si="1124"/>
        <v>5857273439.5299997</v>
      </c>
      <c r="P955" s="292">
        <f t="shared" si="1124"/>
        <v>888308654.38</v>
      </c>
      <c r="Q955" s="292">
        <f t="shared" si="1124"/>
        <v>2739134612.2199998</v>
      </c>
      <c r="R955" s="276">
        <f t="shared" si="1100"/>
        <v>16942509647.1418</v>
      </c>
      <c r="S955" s="292">
        <f t="shared" ref="S955:Z955" si="1125">SUM(S956:S969)</f>
        <v>4611729996.21</v>
      </c>
      <c r="T955" s="292">
        <f t="shared" si="1125"/>
        <v>3890027000.6399999</v>
      </c>
      <c r="U955" s="292">
        <f t="shared" si="1125"/>
        <v>6463192086.5100002</v>
      </c>
      <c r="V955" s="292">
        <f t="shared" si="1125"/>
        <v>2333447780.0799999</v>
      </c>
      <c r="W955" s="292">
        <f t="shared" si="1125"/>
        <v>6036248556.6999998</v>
      </c>
      <c r="X955" s="292">
        <f t="shared" si="1125"/>
        <v>7819772052.5299997</v>
      </c>
      <c r="Y955" s="292">
        <f t="shared" si="1125"/>
        <v>1553842708.009999</v>
      </c>
      <c r="Z955" s="292">
        <f t="shared" si="1125"/>
        <v>0</v>
      </c>
      <c r="AA955" s="276">
        <f t="shared" si="1101"/>
        <v>32708260180.68</v>
      </c>
      <c r="AB955" s="402">
        <f t="shared" si="1089"/>
        <v>49650769827.8218</v>
      </c>
      <c r="AC955" s="321">
        <f t="shared" si="1090"/>
        <v>1.0350057540829969</v>
      </c>
    </row>
    <row r="956" spans="1:29" ht="38.25" hidden="1" x14ac:dyDescent="0.2">
      <c r="A956" s="424"/>
      <c r="B956" s="323" t="s">
        <v>1052</v>
      </c>
      <c r="C956" s="206" t="s">
        <v>378</v>
      </c>
      <c r="D956" s="303">
        <v>2000000000</v>
      </c>
      <c r="E956" s="325">
        <f>SUM('ADICIONES  2021'!C956:N956)</f>
        <v>0</v>
      </c>
      <c r="F956" s="290"/>
      <c r="G956" s="290"/>
      <c r="H956" s="290"/>
      <c r="I956" s="290"/>
      <c r="J956" s="290"/>
      <c r="K956" s="281">
        <f t="shared" si="1046"/>
        <v>2000000000</v>
      </c>
      <c r="L956" s="290">
        <v>0</v>
      </c>
      <c r="M956" s="290">
        <v>0</v>
      </c>
      <c r="N956" s="290">
        <v>0</v>
      </c>
      <c r="O956" s="290">
        <v>0</v>
      </c>
      <c r="P956" s="290">
        <v>0</v>
      </c>
      <c r="Q956" s="290">
        <v>0</v>
      </c>
      <c r="R956" s="281">
        <f t="shared" si="1100"/>
        <v>0</v>
      </c>
      <c r="S956" s="290">
        <v>7033.94</v>
      </c>
      <c r="T956" s="290"/>
      <c r="U956" s="290">
        <v>0</v>
      </c>
      <c r="V956" s="290"/>
      <c r="W956" s="290">
        <v>4831.1099999999997</v>
      </c>
      <c r="X956" s="290">
        <v>0</v>
      </c>
      <c r="Y956" s="290"/>
      <c r="Z956" s="290"/>
      <c r="AA956" s="281">
        <f t="shared" si="1101"/>
        <v>11865.05</v>
      </c>
      <c r="AB956" s="403">
        <f t="shared" si="1089"/>
        <v>11865.05</v>
      </c>
      <c r="AC956" s="326">
        <f t="shared" si="1090"/>
        <v>5.9325249999999996E-6</v>
      </c>
    </row>
    <row r="957" spans="1:29" ht="38.25" hidden="1" x14ac:dyDescent="0.2">
      <c r="A957" s="424"/>
      <c r="B957" s="323" t="s">
        <v>1052</v>
      </c>
      <c r="C957" s="206" t="s">
        <v>378</v>
      </c>
      <c r="D957" s="303">
        <v>24000000000</v>
      </c>
      <c r="E957" s="325">
        <f>SUM('ADICIONES  2021'!C957:N957)</f>
        <v>0</v>
      </c>
      <c r="F957" s="290"/>
      <c r="G957" s="290"/>
      <c r="H957" s="290"/>
      <c r="I957" s="290"/>
      <c r="J957" s="290"/>
      <c r="K957" s="281">
        <f t="shared" si="1046"/>
        <v>24000000000</v>
      </c>
      <c r="L957" s="290">
        <v>2967361318</v>
      </c>
      <c r="M957" s="290">
        <v>630051962</v>
      </c>
      <c r="N957" s="290">
        <v>1475057266</v>
      </c>
      <c r="O957" s="290">
        <v>5289121912</v>
      </c>
      <c r="P957" s="290">
        <v>250256151</v>
      </c>
      <c r="Q957" s="290">
        <v>2112266333</v>
      </c>
      <c r="R957" s="281">
        <f t="shared" si="1100"/>
        <v>12724114942</v>
      </c>
      <c r="S957" s="290">
        <v>3894276917.27</v>
      </c>
      <c r="T957" s="290">
        <v>3349425642.9400001</v>
      </c>
      <c r="U957" s="290">
        <v>4032182497.79</v>
      </c>
      <c r="V957" s="290"/>
      <c r="W957" s="290">
        <v>5130271354.3400002</v>
      </c>
      <c r="X957" s="290">
        <v>0</v>
      </c>
      <c r="Y957" s="290">
        <v>-5130271354.3400002</v>
      </c>
      <c r="Z957" s="290"/>
      <c r="AA957" s="281">
        <f t="shared" ref="AA957:AA970" si="1126">SUM(S957:Z957)</f>
        <v>11275885058</v>
      </c>
      <c r="AB957" s="403">
        <f t="shared" si="1089"/>
        <v>24000000000</v>
      </c>
      <c r="AC957" s="326">
        <f t="shared" si="1090"/>
        <v>1</v>
      </c>
    </row>
    <row r="958" spans="1:29" ht="38.25" hidden="1" x14ac:dyDescent="0.2">
      <c r="A958" s="424"/>
      <c r="B958" s="323" t="s">
        <v>1052</v>
      </c>
      <c r="C958" s="206" t="s">
        <v>378</v>
      </c>
      <c r="D958" s="303"/>
      <c r="E958" s="325">
        <f>SUM('ADICIONES  2021'!C958:N958)</f>
        <v>6351000000</v>
      </c>
      <c r="F958" s="290"/>
      <c r="G958" s="290"/>
      <c r="H958" s="290"/>
      <c r="I958" s="290"/>
      <c r="J958" s="290"/>
      <c r="K958" s="281">
        <f t="shared" si="1046"/>
        <v>6351000000</v>
      </c>
      <c r="L958" s="290"/>
      <c r="M958" s="290"/>
      <c r="N958" s="290"/>
      <c r="O958" s="290"/>
      <c r="P958" s="290"/>
      <c r="Q958" s="290"/>
      <c r="R958" s="281">
        <f t="shared" si="1100"/>
        <v>0</v>
      </c>
      <c r="S958" s="290"/>
      <c r="T958" s="290"/>
      <c r="U958" s="290"/>
      <c r="V958" s="290"/>
      <c r="W958" s="290"/>
      <c r="X958" s="290">
        <v>3973053591</v>
      </c>
      <c r="Y958" s="290">
        <v>6057212781.5499992</v>
      </c>
      <c r="Z958" s="290"/>
      <c r="AA958" s="281">
        <f t="shared" si="1126"/>
        <v>10030266372.549999</v>
      </c>
      <c r="AB958" s="403">
        <f t="shared" si="1089"/>
        <v>10030266372.549999</v>
      </c>
      <c r="AC958" s="326">
        <f t="shared" si="1090"/>
        <v>1.5793207955518815</v>
      </c>
    </row>
    <row r="959" spans="1:29" ht="38.25" hidden="1" x14ac:dyDescent="0.2">
      <c r="A959" s="424"/>
      <c r="B959" s="323" t="s">
        <v>1052</v>
      </c>
      <c r="C959" s="206" t="s">
        <v>378</v>
      </c>
      <c r="D959" s="303"/>
      <c r="E959" s="325">
        <f>SUM('ADICIONES  2021'!C959:N959)</f>
        <v>2200000000</v>
      </c>
      <c r="F959" s="290"/>
      <c r="G959" s="290"/>
      <c r="H959" s="290"/>
      <c r="I959" s="290"/>
      <c r="J959" s="290"/>
      <c r="K959" s="281">
        <f t="shared" si="1046"/>
        <v>2200000000</v>
      </c>
      <c r="L959" s="290"/>
      <c r="M959" s="290"/>
      <c r="N959" s="290"/>
      <c r="O959" s="290"/>
      <c r="P959" s="290"/>
      <c r="Q959" s="290"/>
      <c r="R959" s="281">
        <f t="shared" si="1100"/>
        <v>0</v>
      </c>
      <c r="S959" s="290"/>
      <c r="T959" s="290"/>
      <c r="U959" s="290">
        <v>1481826294.21</v>
      </c>
      <c r="V959" s="290">
        <v>1645115133</v>
      </c>
      <c r="W959" s="290"/>
      <c r="X959" s="290">
        <v>0</v>
      </c>
      <c r="Y959" s="290">
        <v>-926941427.21000004</v>
      </c>
      <c r="Z959" s="290"/>
      <c r="AA959" s="281">
        <f t="shared" si="1126"/>
        <v>2200000000</v>
      </c>
      <c r="AB959" s="403">
        <f t="shared" si="1089"/>
        <v>2200000000</v>
      </c>
      <c r="AC959" s="326">
        <f t="shared" si="1090"/>
        <v>1</v>
      </c>
    </row>
    <row r="960" spans="1:29" ht="38.25" hidden="1" x14ac:dyDescent="0.2">
      <c r="A960" s="424"/>
      <c r="B960" s="323" t="s">
        <v>1053</v>
      </c>
      <c r="C960" s="206" t="s">
        <v>1823</v>
      </c>
      <c r="D960" s="303"/>
      <c r="E960" s="325">
        <f>SUM('ADICIONES  2021'!C960:N960)</f>
        <v>0</v>
      </c>
      <c r="F960" s="290"/>
      <c r="G960" s="290">
        <v>2500000000</v>
      </c>
      <c r="H960" s="290"/>
      <c r="I960" s="290"/>
      <c r="J960" s="290"/>
      <c r="K960" s="281">
        <f t="shared" si="1046"/>
        <v>2500000000</v>
      </c>
      <c r="L960" s="290"/>
      <c r="M960" s="290"/>
      <c r="N960" s="290"/>
      <c r="O960" s="290"/>
      <c r="P960" s="290">
        <v>0</v>
      </c>
      <c r="Q960" s="290">
        <v>0</v>
      </c>
      <c r="R960" s="281">
        <f t="shared" si="1100"/>
        <v>0</v>
      </c>
      <c r="S960" s="290">
        <v>0</v>
      </c>
      <c r="T960" s="290"/>
      <c r="U960" s="290"/>
      <c r="V960" s="290"/>
      <c r="W960" s="290"/>
      <c r="X960" s="290">
        <v>2500000000</v>
      </c>
      <c r="Y960" s="290"/>
      <c r="Z960" s="290"/>
      <c r="AA960" s="281">
        <f t="shared" si="1126"/>
        <v>2500000000</v>
      </c>
      <c r="AB960" s="403">
        <f t="shared" si="1089"/>
        <v>2500000000</v>
      </c>
      <c r="AC960" s="326">
        <f t="shared" si="1090"/>
        <v>1</v>
      </c>
    </row>
    <row r="961" spans="1:29" ht="38.25" hidden="1" x14ac:dyDescent="0.2">
      <c r="A961" s="424"/>
      <c r="B961" s="323" t="s">
        <v>1053</v>
      </c>
      <c r="C961" s="206" t="s">
        <v>1823</v>
      </c>
      <c r="D961" s="303"/>
      <c r="E961" s="325">
        <f>SUM('ADICIONES  2021'!C961:N961)</f>
        <v>0</v>
      </c>
      <c r="F961" s="290"/>
      <c r="G961" s="290">
        <v>242000000</v>
      </c>
      <c r="H961" s="290"/>
      <c r="I961" s="290"/>
      <c r="J961" s="290"/>
      <c r="K961" s="281">
        <f t="shared" si="1046"/>
        <v>242000000</v>
      </c>
      <c r="L961" s="290"/>
      <c r="M961" s="290"/>
      <c r="N961" s="290"/>
      <c r="O961" s="290"/>
      <c r="P961" s="290"/>
      <c r="Q961" s="290"/>
      <c r="R961" s="281">
        <f t="shared" si="1100"/>
        <v>0</v>
      </c>
      <c r="S961" s="290"/>
      <c r="T961" s="290"/>
      <c r="U961" s="290"/>
      <c r="V961" s="290"/>
      <c r="W961" s="290"/>
      <c r="X961" s="290">
        <v>242000000</v>
      </c>
      <c r="Y961" s="290"/>
      <c r="Z961" s="290"/>
      <c r="AA961" s="281">
        <f t="shared" si="1126"/>
        <v>242000000</v>
      </c>
      <c r="AB961" s="403">
        <f t="shared" si="1089"/>
        <v>242000000</v>
      </c>
      <c r="AC961" s="326">
        <f t="shared" si="1090"/>
        <v>1</v>
      </c>
    </row>
    <row r="962" spans="1:29" ht="38.25" hidden="1" x14ac:dyDescent="0.2">
      <c r="A962" s="424"/>
      <c r="B962" s="323" t="s">
        <v>1053</v>
      </c>
      <c r="C962" s="206" t="s">
        <v>1823</v>
      </c>
      <c r="D962" s="303"/>
      <c r="E962" s="325">
        <f>SUM('ADICIONES  2021'!C962:N962)</f>
        <v>0</v>
      </c>
      <c r="F962" s="290"/>
      <c r="G962" s="290">
        <v>58000000</v>
      </c>
      <c r="H962" s="290"/>
      <c r="I962" s="290"/>
      <c r="J962" s="290"/>
      <c r="K962" s="281">
        <f t="shared" si="1046"/>
        <v>58000000</v>
      </c>
      <c r="L962" s="290"/>
      <c r="M962" s="290"/>
      <c r="N962" s="290"/>
      <c r="O962" s="290"/>
      <c r="P962" s="290"/>
      <c r="Q962" s="290"/>
      <c r="R962" s="281">
        <f t="shared" si="1100"/>
        <v>0</v>
      </c>
      <c r="S962" s="290"/>
      <c r="T962" s="290"/>
      <c r="U962" s="290"/>
      <c r="V962" s="290"/>
      <c r="W962" s="290"/>
      <c r="X962" s="290">
        <v>58000000</v>
      </c>
      <c r="Y962" s="290"/>
      <c r="Z962" s="290"/>
      <c r="AA962" s="281">
        <f t="shared" si="1126"/>
        <v>58000000</v>
      </c>
      <c r="AB962" s="403">
        <f t="shared" si="1089"/>
        <v>58000000</v>
      </c>
      <c r="AC962" s="326">
        <f t="shared" si="1090"/>
        <v>1</v>
      </c>
    </row>
    <row r="963" spans="1:29" ht="38.25" hidden="1" x14ac:dyDescent="0.2">
      <c r="A963" s="424"/>
      <c r="B963" s="323" t="s">
        <v>1053</v>
      </c>
      <c r="C963" s="206" t="s">
        <v>1054</v>
      </c>
      <c r="D963" s="303"/>
      <c r="E963" s="325">
        <f>SUM('ADICIONES  2021'!C963:N963)</f>
        <v>0</v>
      </c>
      <c r="F963" s="290"/>
      <c r="G963" s="290">
        <v>329206267</v>
      </c>
      <c r="H963" s="290"/>
      <c r="I963" s="290"/>
      <c r="J963" s="290"/>
      <c r="K963" s="281">
        <f t="shared" si="1046"/>
        <v>329206267</v>
      </c>
      <c r="L963" s="290"/>
      <c r="M963" s="290"/>
      <c r="N963" s="290"/>
      <c r="O963" s="290"/>
      <c r="P963" s="290"/>
      <c r="Q963" s="290"/>
      <c r="R963" s="281">
        <f t="shared" si="1100"/>
        <v>0</v>
      </c>
      <c r="S963" s="290"/>
      <c r="T963" s="290"/>
      <c r="U963" s="290"/>
      <c r="V963" s="290"/>
      <c r="W963" s="290"/>
      <c r="X963" s="290">
        <v>329206267</v>
      </c>
      <c r="Y963" s="290"/>
      <c r="Z963" s="290"/>
      <c r="AA963" s="281">
        <f t="shared" si="1126"/>
        <v>329206267</v>
      </c>
      <c r="AB963" s="403">
        <f t="shared" si="1089"/>
        <v>329206267</v>
      </c>
      <c r="AC963" s="326">
        <f t="shared" si="1090"/>
        <v>1</v>
      </c>
    </row>
    <row r="964" spans="1:29" ht="38.25" hidden="1" x14ac:dyDescent="0.2">
      <c r="A964" s="424"/>
      <c r="B964" s="323" t="s">
        <v>1053</v>
      </c>
      <c r="C964" s="206" t="s">
        <v>1207</v>
      </c>
      <c r="D964" s="303">
        <v>1341475000</v>
      </c>
      <c r="E964" s="325">
        <f>SUM('ADICIONES  2021'!C964:N964)</f>
        <v>0</v>
      </c>
      <c r="F964" s="290"/>
      <c r="G964" s="290"/>
      <c r="H964" s="290"/>
      <c r="I964" s="290"/>
      <c r="J964" s="290"/>
      <c r="K964" s="281">
        <f t="shared" si="1046"/>
        <v>1341475000</v>
      </c>
      <c r="L964" s="290">
        <f>1211239200*11.665%</f>
        <v>141291052.67999998</v>
      </c>
      <c r="M964" s="290">
        <f>322089552*11.665%</f>
        <v>37571746.240799993</v>
      </c>
      <c r="N964" s="290">
        <f>1741614540*11.665%</f>
        <v>203159336.09099999</v>
      </c>
      <c r="O964" s="290">
        <f>21028200*11.665%</f>
        <v>2452939.5299999998</v>
      </c>
      <c r="P964" s="290">
        <f>468037200*11.665%</f>
        <v>54596539.379999995</v>
      </c>
      <c r="Q964" s="290">
        <f>723406800*11.665%</f>
        <v>84385403.219999999</v>
      </c>
      <c r="R964" s="281">
        <f t="shared" si="1100"/>
        <v>523457017.14179993</v>
      </c>
      <c r="S964" s="290">
        <f>1919940000*11.665%</f>
        <v>223961000.99999997</v>
      </c>
      <c r="T964" s="290">
        <f>284298000*11.665%</f>
        <v>33163361.699999996</v>
      </c>
      <c r="U964" s="290">
        <f>2543729400*11.665%</f>
        <v>296726034.50999999</v>
      </c>
      <c r="V964" s="290">
        <f>638695200*11.665%</f>
        <v>74503795.079999998</v>
      </c>
      <c r="W964" s="290">
        <f>1974165000*11.665%</f>
        <v>230286347.24999997</v>
      </c>
      <c r="X964" s="290">
        <f>359248200*11.665%</f>
        <v>41906302.529999994</v>
      </c>
      <c r="Y964" s="290">
        <v>-82528859.209999993</v>
      </c>
      <c r="Z964" s="290"/>
      <c r="AA964" s="281">
        <f t="shared" si="1126"/>
        <v>818017982.8599999</v>
      </c>
      <c r="AB964" s="403">
        <f t="shared" si="1089"/>
        <v>1341475000.0017998</v>
      </c>
      <c r="AC964" s="326">
        <f t="shared" si="1090"/>
        <v>1.0000000000013416</v>
      </c>
    </row>
    <row r="965" spans="1:29" ht="38.25" hidden="1" x14ac:dyDescent="0.2">
      <c r="A965" s="424"/>
      <c r="B965" s="323" t="s">
        <v>1053</v>
      </c>
      <c r="C965" s="206" t="s">
        <v>1824</v>
      </c>
      <c r="D965" s="303">
        <v>6500000000</v>
      </c>
      <c r="E965" s="325">
        <f>SUM('ADICIONES  2021'!C965:N965)</f>
        <v>0</v>
      </c>
      <c r="F965" s="290"/>
      <c r="G965" s="290"/>
      <c r="H965" s="290">
        <v>350000000</v>
      </c>
      <c r="I965" s="290"/>
      <c r="J965" s="290"/>
      <c r="K965" s="281">
        <f t="shared" si="1046"/>
        <v>6150000000</v>
      </c>
      <c r="L965" s="290">
        <f>15060003000*5.2%</f>
        <v>783120156.00000012</v>
      </c>
      <c r="M965" s="290">
        <f>13145834000*5.2%</f>
        <v>683583368.00000012</v>
      </c>
      <c r="N965" s="290">
        <f>10319168000*5.2%</f>
        <v>536596736.00000006</v>
      </c>
      <c r="O965" s="290">
        <f>10878819000*5.2%</f>
        <v>565698588</v>
      </c>
      <c r="P965" s="290">
        <f>11220307000*5.2%</f>
        <v>583455964</v>
      </c>
      <c r="Q965" s="290">
        <f>10432363000*5.2%</f>
        <v>542482876</v>
      </c>
      <c r="R965" s="281">
        <f t="shared" si="1100"/>
        <v>3694937688</v>
      </c>
      <c r="S965" s="290">
        <f>9490097000*5.2%</f>
        <v>493485044.00000006</v>
      </c>
      <c r="T965" s="290">
        <f>9758423000*5.2%</f>
        <v>507437996.00000006</v>
      </c>
      <c r="U965" s="290">
        <f>12547255000*5.2%</f>
        <v>652457260</v>
      </c>
      <c r="V965" s="290">
        <f>11804401000*5.2%</f>
        <v>613828852</v>
      </c>
      <c r="W965" s="290">
        <f>12993962000*5.2%</f>
        <v>675686024</v>
      </c>
      <c r="X965" s="290">
        <f>12992421000*5.2%</f>
        <v>675605892</v>
      </c>
      <c r="Y965" s="290">
        <v>-1163438756</v>
      </c>
      <c r="Z965" s="290"/>
      <c r="AA965" s="281">
        <f t="shared" si="1126"/>
        <v>2455062312</v>
      </c>
      <c r="AB965" s="403">
        <f t="shared" si="1089"/>
        <v>6150000000</v>
      </c>
      <c r="AC965" s="326">
        <f t="shared" si="1090"/>
        <v>1</v>
      </c>
    </row>
    <row r="966" spans="1:29" ht="38.25" hidden="1" x14ac:dyDescent="0.2">
      <c r="A966" s="424"/>
      <c r="B966" s="323" t="s">
        <v>1053</v>
      </c>
      <c r="C966" s="206" t="s">
        <v>1824</v>
      </c>
      <c r="D966" s="303"/>
      <c r="E966" s="325">
        <f>SUM('ADICIONES  2021'!C966:N966)</f>
        <v>0</v>
      </c>
      <c r="F966" s="290"/>
      <c r="G966" s="290">
        <v>672676484</v>
      </c>
      <c r="H966" s="290"/>
      <c r="I966" s="290"/>
      <c r="J966" s="290"/>
      <c r="K966" s="281">
        <f t="shared" si="1046"/>
        <v>672676484</v>
      </c>
      <c r="L966" s="290"/>
      <c r="M966" s="290"/>
      <c r="N966" s="290"/>
      <c r="O966" s="290"/>
      <c r="P966" s="290"/>
      <c r="Q966" s="290"/>
      <c r="R966" s="281">
        <f t="shared" si="1100"/>
        <v>0</v>
      </c>
      <c r="S966" s="290"/>
      <c r="T966" s="290"/>
      <c r="U966" s="290"/>
      <c r="V966" s="290"/>
      <c r="W966" s="290"/>
      <c r="X966" s="290"/>
      <c r="Y966" s="290">
        <v>672676484</v>
      </c>
      <c r="Z966" s="290"/>
      <c r="AA966" s="281">
        <f t="shared" si="1126"/>
        <v>672676484</v>
      </c>
      <c r="AB966" s="403">
        <f t="shared" si="1089"/>
        <v>672676484</v>
      </c>
      <c r="AC966" s="326">
        <f t="shared" si="1090"/>
        <v>1</v>
      </c>
    </row>
    <row r="967" spans="1:29" ht="38.25" hidden="1" x14ac:dyDescent="0.2">
      <c r="A967" s="424"/>
      <c r="B967" s="323" t="s">
        <v>1053</v>
      </c>
      <c r="C967" s="206" t="s">
        <v>1824</v>
      </c>
      <c r="D967" s="303"/>
      <c r="E967" s="325">
        <f>SUM('ADICIONES  2021'!C967:N967)</f>
        <v>0</v>
      </c>
      <c r="F967" s="290"/>
      <c r="G967" s="290">
        <v>600000000</v>
      </c>
      <c r="H967" s="290"/>
      <c r="I967" s="290"/>
      <c r="J967" s="290"/>
      <c r="K967" s="281">
        <f t="shared" si="1046"/>
        <v>600000000</v>
      </c>
      <c r="L967" s="290"/>
      <c r="M967" s="290"/>
      <c r="N967" s="290"/>
      <c r="O967" s="290"/>
      <c r="P967" s="290"/>
      <c r="Q967" s="290"/>
      <c r="R967" s="281">
        <f t="shared" si="1100"/>
        <v>0</v>
      </c>
      <c r="S967" s="290"/>
      <c r="T967" s="290"/>
      <c r="U967" s="290"/>
      <c r="V967" s="290"/>
      <c r="W967" s="290"/>
      <c r="X967" s="290"/>
      <c r="Y967" s="290">
        <v>600000000</v>
      </c>
      <c r="Z967" s="290"/>
      <c r="AA967" s="281">
        <f t="shared" ref="AA967:AA969" si="1127">SUM(S967:Z967)</f>
        <v>600000000</v>
      </c>
      <c r="AB967" s="403">
        <f t="shared" si="1089"/>
        <v>600000000</v>
      </c>
      <c r="AC967" s="326">
        <f t="shared" si="1090"/>
        <v>1</v>
      </c>
    </row>
    <row r="968" spans="1:29" ht="38.25" hidden="1" x14ac:dyDescent="0.2">
      <c r="A968" s="424"/>
      <c r="B968" s="323" t="s">
        <v>1053</v>
      </c>
      <c r="C968" s="206" t="s">
        <v>1824</v>
      </c>
      <c r="D968" s="303"/>
      <c r="E968" s="325">
        <f>SUM('ADICIONES  2021'!C968:N968)</f>
        <v>0</v>
      </c>
      <c r="F968" s="290"/>
      <c r="G968" s="290">
        <v>27133839.219999999</v>
      </c>
      <c r="H968" s="290"/>
      <c r="I968" s="290"/>
      <c r="J968" s="290"/>
      <c r="K968" s="281">
        <f t="shared" si="1046"/>
        <v>27133839.219999999</v>
      </c>
      <c r="L968" s="290"/>
      <c r="M968" s="290"/>
      <c r="N968" s="290"/>
      <c r="O968" s="290"/>
      <c r="P968" s="290"/>
      <c r="Q968" s="290"/>
      <c r="R968" s="281">
        <f t="shared" si="1100"/>
        <v>0</v>
      </c>
      <c r="S968" s="290"/>
      <c r="T968" s="290"/>
      <c r="U968" s="290"/>
      <c r="V968" s="290"/>
      <c r="W968" s="290"/>
      <c r="X968" s="290"/>
      <c r="Y968" s="290">
        <v>27133839.219999999</v>
      </c>
      <c r="Z968" s="290"/>
      <c r="AA968" s="281">
        <f t="shared" si="1127"/>
        <v>27133839.219999999</v>
      </c>
      <c r="AB968" s="403">
        <f t="shared" si="1089"/>
        <v>27133839.219999999</v>
      </c>
      <c r="AC968" s="326">
        <f t="shared" si="1090"/>
        <v>1</v>
      </c>
    </row>
    <row r="969" spans="1:29" ht="38.25" hidden="1" x14ac:dyDescent="0.2">
      <c r="A969" s="424"/>
      <c r="B969" s="323" t="s">
        <v>1053</v>
      </c>
      <c r="C969" s="206" t="s">
        <v>1824</v>
      </c>
      <c r="D969" s="303"/>
      <c r="E969" s="325">
        <f>SUM('ADICIONES  2021'!C969:N969)</f>
        <v>1500000000</v>
      </c>
      <c r="F969" s="290"/>
      <c r="G969" s="290"/>
      <c r="H969" s="290"/>
      <c r="I969" s="290"/>
      <c r="J969" s="290"/>
      <c r="K969" s="281">
        <f t="shared" si="1046"/>
        <v>1500000000</v>
      </c>
      <c r="L969" s="290"/>
      <c r="M969" s="290"/>
      <c r="N969" s="290"/>
      <c r="O969" s="290"/>
      <c r="P969" s="290"/>
      <c r="Q969" s="290"/>
      <c r="R969" s="281">
        <f t="shared" si="1100"/>
        <v>0</v>
      </c>
      <c r="S969" s="290"/>
      <c r="T969" s="290"/>
      <c r="U969" s="290"/>
      <c r="V969" s="290"/>
      <c r="W969" s="290"/>
      <c r="X969" s="290"/>
      <c r="Y969" s="290">
        <v>1500000000</v>
      </c>
      <c r="Z969" s="290"/>
      <c r="AA969" s="281">
        <f t="shared" si="1127"/>
        <v>1500000000</v>
      </c>
      <c r="AB969" s="403">
        <f t="shared" si="1089"/>
        <v>1500000000</v>
      </c>
      <c r="AC969" s="326">
        <f t="shared" si="1090"/>
        <v>1</v>
      </c>
    </row>
    <row r="970" spans="1:29" ht="25.5" hidden="1" x14ac:dyDescent="0.2">
      <c r="A970" s="424"/>
      <c r="B970" s="323" t="s">
        <v>1055</v>
      </c>
      <c r="C970" s="206" t="s">
        <v>1825</v>
      </c>
      <c r="D970" s="303">
        <v>800800000</v>
      </c>
      <c r="E970" s="325">
        <f>SUM('ADICIONES  2021'!C970:N970)</f>
        <v>0</v>
      </c>
      <c r="F970" s="288"/>
      <c r="G970" s="290"/>
      <c r="H970" s="290"/>
      <c r="I970" s="290"/>
      <c r="J970" s="290"/>
      <c r="K970" s="281">
        <f t="shared" si="1046"/>
        <v>800800000</v>
      </c>
      <c r="L970" s="290">
        <f>15060003000*0.64064%</f>
        <v>96480403.2192</v>
      </c>
      <c r="M970" s="290">
        <f>13145834000*0.64064%</f>
        <v>84217470.937600002</v>
      </c>
      <c r="N970" s="290">
        <f>10319168000*0.64064%</f>
        <v>66108717.875199996</v>
      </c>
      <c r="O970" s="290">
        <f>10878819000*0.64064%</f>
        <v>69694066.041599989</v>
      </c>
      <c r="P970" s="290">
        <f>11220307000*0.64064%</f>
        <v>71881774.764799997</v>
      </c>
      <c r="Q970" s="290">
        <f>10432363000*0.64064%</f>
        <v>66833890.323199995</v>
      </c>
      <c r="R970" s="281">
        <f t="shared" si="1100"/>
        <v>455216323.16159999</v>
      </c>
      <c r="S970" s="290">
        <f>9490097000*0.64064%</f>
        <v>60797357.420799993</v>
      </c>
      <c r="T970" s="290">
        <f>9758423000*0.64064%</f>
        <v>62516361.107199997</v>
      </c>
      <c r="U970" s="290">
        <f>12547255000*0.64064%</f>
        <v>80382734.431999996</v>
      </c>
      <c r="V970" s="290">
        <f>11804401000*0.64064%</f>
        <v>75623714.566399992</v>
      </c>
      <c r="W970" s="290">
        <f>12993962000*0.64064%</f>
        <v>83244518.156800002</v>
      </c>
      <c r="X970" s="290">
        <f>12992421000*0.64064%</f>
        <v>83234645.894400001</v>
      </c>
      <c r="Y970" s="290">
        <v>-100215654.7392</v>
      </c>
      <c r="Z970" s="288"/>
      <c r="AA970" s="281">
        <f t="shared" si="1126"/>
        <v>345583676.83840001</v>
      </c>
      <c r="AB970" s="403">
        <f t="shared" si="1089"/>
        <v>800800000</v>
      </c>
      <c r="AC970" s="326">
        <f t="shared" si="1090"/>
        <v>1</v>
      </c>
    </row>
    <row r="971" spans="1:29" ht="25.5" hidden="1" x14ac:dyDescent="0.2">
      <c r="A971" s="424"/>
      <c r="B971" s="323" t="s">
        <v>1055</v>
      </c>
      <c r="C971" s="206" t="s">
        <v>1900</v>
      </c>
      <c r="D971" s="303"/>
      <c r="E971" s="325">
        <f>SUM('ADICIONES  2021'!C971:N971)</f>
        <v>0</v>
      </c>
      <c r="F971" s="288"/>
      <c r="G971" s="290">
        <v>260000000</v>
      </c>
      <c r="H971" s="290"/>
      <c r="I971" s="290"/>
      <c r="J971" s="290"/>
      <c r="K971" s="281">
        <f t="shared" si="1046"/>
        <v>260000000</v>
      </c>
      <c r="L971" s="290"/>
      <c r="M971" s="290"/>
      <c r="N971" s="290"/>
      <c r="O971" s="290"/>
      <c r="P971" s="290"/>
      <c r="Q971" s="290"/>
      <c r="R971" s="281">
        <f t="shared" si="1100"/>
        <v>0</v>
      </c>
      <c r="S971" s="290"/>
      <c r="T971" s="290"/>
      <c r="U971" s="290"/>
      <c r="V971" s="290"/>
      <c r="W971" s="288"/>
      <c r="X971" s="288"/>
      <c r="Y971" s="290">
        <v>260000000</v>
      </c>
      <c r="Z971" s="288"/>
      <c r="AA971" s="281">
        <f t="shared" ref="AA971" si="1128">SUM(S971:Z971)</f>
        <v>260000000</v>
      </c>
      <c r="AB971" s="403">
        <f t="shared" si="1089"/>
        <v>260000000</v>
      </c>
      <c r="AC971" s="326">
        <f t="shared" si="1090"/>
        <v>1</v>
      </c>
    </row>
    <row r="972" spans="1:29" s="5" customFormat="1" hidden="1" x14ac:dyDescent="0.2">
      <c r="A972" s="96"/>
      <c r="B972" s="318" t="s">
        <v>639</v>
      </c>
      <c r="C972" s="319" t="s">
        <v>1912</v>
      </c>
      <c r="D972" s="292">
        <f>+D973</f>
        <v>0</v>
      </c>
      <c r="E972" s="322">
        <f>SUM('ADICIONES  2021'!C972:N972)</f>
        <v>2083879964</v>
      </c>
      <c r="F972" s="292">
        <f t="shared" ref="F972:J973" si="1129">+F973</f>
        <v>0</v>
      </c>
      <c r="G972" s="292">
        <f t="shared" si="1129"/>
        <v>0</v>
      </c>
      <c r="H972" s="292">
        <f t="shared" si="1129"/>
        <v>0</v>
      </c>
      <c r="I972" s="292">
        <f t="shared" si="1129"/>
        <v>0</v>
      </c>
      <c r="J972" s="292">
        <f t="shared" si="1129"/>
        <v>0</v>
      </c>
      <c r="K972" s="276">
        <f t="shared" si="1046"/>
        <v>2083879964</v>
      </c>
      <c r="L972" s="292">
        <f t="shared" ref="L972:Q973" si="1130">+L973</f>
        <v>0</v>
      </c>
      <c r="M972" s="292">
        <f t="shared" si="1130"/>
        <v>0</v>
      </c>
      <c r="N972" s="292">
        <f t="shared" si="1130"/>
        <v>0</v>
      </c>
      <c r="O972" s="292">
        <f t="shared" si="1130"/>
        <v>0</v>
      </c>
      <c r="P972" s="292">
        <f t="shared" si="1130"/>
        <v>0</v>
      </c>
      <c r="Q972" s="292">
        <f t="shared" si="1130"/>
        <v>0</v>
      </c>
      <c r="R972" s="276">
        <f t="shared" si="1100"/>
        <v>0</v>
      </c>
      <c r="S972" s="292">
        <f t="shared" ref="S972:Z973" si="1131">+S973</f>
        <v>0</v>
      </c>
      <c r="T972" s="292">
        <f t="shared" si="1131"/>
        <v>0</v>
      </c>
      <c r="U972" s="292">
        <f t="shared" si="1131"/>
        <v>0</v>
      </c>
      <c r="V972" s="292">
        <f t="shared" si="1131"/>
        <v>0</v>
      </c>
      <c r="W972" s="292">
        <f t="shared" si="1131"/>
        <v>0</v>
      </c>
      <c r="X972" s="292">
        <f t="shared" si="1131"/>
        <v>2083879964</v>
      </c>
      <c r="Y972" s="292">
        <f t="shared" si="1131"/>
        <v>0</v>
      </c>
      <c r="Z972" s="292">
        <f t="shared" si="1131"/>
        <v>0</v>
      </c>
      <c r="AA972" s="276">
        <f t="shared" ref="AA972:AA979" si="1132">SUM(S972:Z972)</f>
        <v>2083879964</v>
      </c>
      <c r="AB972" s="402">
        <f t="shared" si="1089"/>
        <v>2083879964</v>
      </c>
      <c r="AC972" s="321">
        <f t="shared" si="1090"/>
        <v>1</v>
      </c>
    </row>
    <row r="973" spans="1:29" s="5" customFormat="1" ht="38.25" hidden="1" x14ac:dyDescent="0.2">
      <c r="A973" s="96"/>
      <c r="B973" s="318" t="s">
        <v>1913</v>
      </c>
      <c r="C973" s="319" t="s">
        <v>1914</v>
      </c>
      <c r="D973" s="292">
        <f>+D974</f>
        <v>0</v>
      </c>
      <c r="E973" s="322">
        <f>SUM('ADICIONES  2021'!C973:N973)</f>
        <v>2083879964</v>
      </c>
      <c r="F973" s="292">
        <f t="shared" si="1129"/>
        <v>0</v>
      </c>
      <c r="G973" s="292">
        <f t="shared" si="1129"/>
        <v>0</v>
      </c>
      <c r="H973" s="292">
        <f t="shared" si="1129"/>
        <v>0</v>
      </c>
      <c r="I973" s="292">
        <f t="shared" si="1129"/>
        <v>0</v>
      </c>
      <c r="J973" s="292">
        <f t="shared" si="1129"/>
        <v>0</v>
      </c>
      <c r="K973" s="276">
        <f t="shared" si="1046"/>
        <v>2083879964</v>
      </c>
      <c r="L973" s="292">
        <f t="shared" si="1130"/>
        <v>0</v>
      </c>
      <c r="M973" s="292">
        <f t="shared" si="1130"/>
        <v>0</v>
      </c>
      <c r="N973" s="292">
        <f t="shared" si="1130"/>
        <v>0</v>
      </c>
      <c r="O973" s="292">
        <f t="shared" si="1130"/>
        <v>0</v>
      </c>
      <c r="P973" s="292">
        <f t="shared" si="1130"/>
        <v>0</v>
      </c>
      <c r="Q973" s="292">
        <f t="shared" si="1130"/>
        <v>0</v>
      </c>
      <c r="R973" s="276">
        <f t="shared" si="1100"/>
        <v>0</v>
      </c>
      <c r="S973" s="292">
        <f t="shared" si="1131"/>
        <v>0</v>
      </c>
      <c r="T973" s="292">
        <f t="shared" si="1131"/>
        <v>0</v>
      </c>
      <c r="U973" s="292">
        <f t="shared" si="1131"/>
        <v>0</v>
      </c>
      <c r="V973" s="292">
        <f t="shared" si="1131"/>
        <v>0</v>
      </c>
      <c r="W973" s="292">
        <f t="shared" si="1131"/>
        <v>0</v>
      </c>
      <c r="X973" s="292">
        <f t="shared" si="1131"/>
        <v>2083879964</v>
      </c>
      <c r="Y973" s="292">
        <f t="shared" si="1131"/>
        <v>0</v>
      </c>
      <c r="Z973" s="292">
        <f t="shared" si="1131"/>
        <v>0</v>
      </c>
      <c r="AA973" s="276">
        <f t="shared" si="1132"/>
        <v>2083879964</v>
      </c>
      <c r="AB973" s="402">
        <f t="shared" si="1089"/>
        <v>2083879964</v>
      </c>
      <c r="AC973" s="321">
        <f t="shared" si="1090"/>
        <v>1</v>
      </c>
    </row>
    <row r="974" spans="1:29" ht="38.25" x14ac:dyDescent="0.2">
      <c r="A974" s="427">
        <v>1</v>
      </c>
      <c r="B974" s="323" t="s">
        <v>1915</v>
      </c>
      <c r="C974" s="206" t="s">
        <v>1916</v>
      </c>
      <c r="D974" s="303"/>
      <c r="E974" s="325">
        <f>SUM('ADICIONES  2021'!C974:N974)</f>
        <v>2083879964</v>
      </c>
      <c r="F974" s="288"/>
      <c r="G974" s="290"/>
      <c r="H974" s="290"/>
      <c r="I974" s="290"/>
      <c r="J974" s="290"/>
      <c r="K974" s="281">
        <f t="shared" si="1046"/>
        <v>2083879964</v>
      </c>
      <c r="L974" s="290"/>
      <c r="M974" s="290"/>
      <c r="N974" s="290"/>
      <c r="O974" s="290"/>
      <c r="P974" s="290"/>
      <c r="Q974" s="290"/>
      <c r="R974" s="281">
        <f t="shared" si="1100"/>
        <v>0</v>
      </c>
      <c r="S974" s="290"/>
      <c r="T974" s="290"/>
      <c r="U974" s="290"/>
      <c r="V974" s="290"/>
      <c r="W974" s="291"/>
      <c r="X974" s="290">
        <v>2083879964</v>
      </c>
      <c r="Y974" s="291"/>
      <c r="Z974" s="288"/>
      <c r="AA974" s="281">
        <f t="shared" si="1132"/>
        <v>2083879964</v>
      </c>
      <c r="AB974" s="403">
        <f t="shared" si="1089"/>
        <v>2083879964</v>
      </c>
      <c r="AC974" s="326">
        <f t="shared" si="1090"/>
        <v>1</v>
      </c>
    </row>
    <row r="975" spans="1:29" s="19" customFormat="1" ht="25.5" x14ac:dyDescent="0.2">
      <c r="A975" s="429">
        <v>1</v>
      </c>
      <c r="B975" s="318" t="s">
        <v>1833</v>
      </c>
      <c r="C975" s="206" t="s">
        <v>1834</v>
      </c>
      <c r="D975" s="292">
        <f>+D976</f>
        <v>0</v>
      </c>
      <c r="E975" s="322">
        <f>SUM('ADICIONES  2021'!C975:N975)</f>
        <v>3482090283.4400001</v>
      </c>
      <c r="F975" s="292">
        <f t="shared" ref="F975:J976" si="1133">+F976</f>
        <v>0</v>
      </c>
      <c r="G975" s="292">
        <f t="shared" si="1133"/>
        <v>0</v>
      </c>
      <c r="H975" s="292">
        <f t="shared" si="1133"/>
        <v>0</v>
      </c>
      <c r="I975" s="292">
        <f t="shared" si="1133"/>
        <v>0</v>
      </c>
      <c r="J975" s="292">
        <f t="shared" si="1133"/>
        <v>0</v>
      </c>
      <c r="K975" s="281">
        <f t="shared" si="1046"/>
        <v>3482090283.4400001</v>
      </c>
      <c r="L975" s="292">
        <f t="shared" ref="L975:Q976" si="1134">+L976</f>
        <v>0</v>
      </c>
      <c r="M975" s="292">
        <f t="shared" si="1134"/>
        <v>0</v>
      </c>
      <c r="N975" s="292">
        <f t="shared" si="1134"/>
        <v>0</v>
      </c>
      <c r="O975" s="292">
        <f t="shared" si="1134"/>
        <v>0</v>
      </c>
      <c r="P975" s="292">
        <f t="shared" si="1134"/>
        <v>3452090283.4400001</v>
      </c>
      <c r="Q975" s="292">
        <f t="shared" si="1134"/>
        <v>0</v>
      </c>
      <c r="R975" s="281">
        <f t="shared" si="1100"/>
        <v>3452090283.4400001</v>
      </c>
      <c r="S975" s="303">
        <f t="shared" ref="S975:Z976" si="1135">+S976</f>
        <v>20746478.109999999</v>
      </c>
      <c r="T975" s="303">
        <f t="shared" si="1135"/>
        <v>0</v>
      </c>
      <c r="U975" s="303">
        <f t="shared" si="1135"/>
        <v>0</v>
      </c>
      <c r="V975" s="303">
        <f t="shared" si="1135"/>
        <v>0</v>
      </c>
      <c r="W975" s="303">
        <f t="shared" si="1135"/>
        <v>34594.57</v>
      </c>
      <c r="X975" s="303">
        <f t="shared" si="1135"/>
        <v>0</v>
      </c>
      <c r="Y975" s="303">
        <f t="shared" si="1135"/>
        <v>0</v>
      </c>
      <c r="Z975" s="292">
        <f t="shared" si="1135"/>
        <v>0</v>
      </c>
      <c r="AA975" s="276">
        <f t="shared" si="1132"/>
        <v>20781072.68</v>
      </c>
      <c r="AB975" s="403">
        <f t="shared" si="1089"/>
        <v>3472871356.1199999</v>
      </c>
      <c r="AC975" s="326">
        <v>0</v>
      </c>
    </row>
    <row r="976" spans="1:29" s="61" customFormat="1" ht="25.5" hidden="1" x14ac:dyDescent="0.2">
      <c r="A976" s="425"/>
      <c r="B976" s="318" t="s">
        <v>1835</v>
      </c>
      <c r="C976" s="319" t="s">
        <v>1836</v>
      </c>
      <c r="D976" s="292">
        <f>+D977</f>
        <v>0</v>
      </c>
      <c r="E976" s="322">
        <f>SUM('ADICIONES  2021'!C976:N976)</f>
        <v>3482090283.4400001</v>
      </c>
      <c r="F976" s="292">
        <f t="shared" si="1133"/>
        <v>0</v>
      </c>
      <c r="G976" s="292">
        <f t="shared" si="1133"/>
        <v>0</v>
      </c>
      <c r="H976" s="292">
        <f t="shared" si="1133"/>
        <v>0</v>
      </c>
      <c r="I976" s="292">
        <f t="shared" si="1133"/>
        <v>0</v>
      </c>
      <c r="J976" s="292">
        <f t="shared" si="1133"/>
        <v>0</v>
      </c>
      <c r="K976" s="276">
        <f t="shared" si="1046"/>
        <v>3482090283.4400001</v>
      </c>
      <c r="L976" s="292">
        <f t="shared" si="1134"/>
        <v>0</v>
      </c>
      <c r="M976" s="292">
        <f t="shared" si="1134"/>
        <v>0</v>
      </c>
      <c r="N976" s="292">
        <f t="shared" si="1134"/>
        <v>0</v>
      </c>
      <c r="O976" s="292">
        <f t="shared" si="1134"/>
        <v>0</v>
      </c>
      <c r="P976" s="292">
        <f t="shared" si="1134"/>
        <v>3452090283.4400001</v>
      </c>
      <c r="Q976" s="292">
        <f t="shared" si="1134"/>
        <v>0</v>
      </c>
      <c r="R976" s="276">
        <f t="shared" si="1100"/>
        <v>3452090283.4400001</v>
      </c>
      <c r="S976" s="292">
        <f t="shared" si="1135"/>
        <v>20746478.109999999</v>
      </c>
      <c r="T976" s="292">
        <f t="shared" si="1135"/>
        <v>0</v>
      </c>
      <c r="U976" s="292">
        <f t="shared" si="1135"/>
        <v>0</v>
      </c>
      <c r="V976" s="292">
        <f t="shared" si="1135"/>
        <v>0</v>
      </c>
      <c r="W976" s="292">
        <f t="shared" si="1135"/>
        <v>34594.57</v>
      </c>
      <c r="X976" s="292">
        <f t="shared" si="1135"/>
        <v>0</v>
      </c>
      <c r="Y976" s="292">
        <f t="shared" si="1135"/>
        <v>0</v>
      </c>
      <c r="Z976" s="292">
        <f t="shared" si="1135"/>
        <v>0</v>
      </c>
      <c r="AA976" s="276">
        <f t="shared" si="1132"/>
        <v>20781072.68</v>
      </c>
      <c r="AB976" s="402">
        <f t="shared" si="1089"/>
        <v>3472871356.1199999</v>
      </c>
      <c r="AC976" s="321">
        <v>0</v>
      </c>
    </row>
    <row r="977" spans="1:29" s="61" customFormat="1" ht="25.5" hidden="1" x14ac:dyDescent="0.2">
      <c r="A977" s="425"/>
      <c r="B977" s="318" t="s">
        <v>1837</v>
      </c>
      <c r="C977" s="319" t="s">
        <v>1838</v>
      </c>
      <c r="D977" s="292">
        <f>SUM(D978:D979)</f>
        <v>0</v>
      </c>
      <c r="E977" s="322">
        <f>SUM('ADICIONES  2021'!C977:N977)</f>
        <v>3482090283.4400001</v>
      </c>
      <c r="F977" s="292">
        <f t="shared" ref="F977:J977" si="1136">SUM(F978:F979)</f>
        <v>0</v>
      </c>
      <c r="G977" s="292">
        <f t="shared" si="1136"/>
        <v>0</v>
      </c>
      <c r="H977" s="292">
        <f t="shared" si="1136"/>
        <v>0</v>
      </c>
      <c r="I977" s="292">
        <f t="shared" si="1136"/>
        <v>0</v>
      </c>
      <c r="J977" s="292">
        <f t="shared" si="1136"/>
        <v>0</v>
      </c>
      <c r="K977" s="276">
        <f t="shared" si="1046"/>
        <v>3482090283.4400001</v>
      </c>
      <c r="L977" s="292">
        <f t="shared" ref="L977:Q977" si="1137">SUM(L978:L979)</f>
        <v>0</v>
      </c>
      <c r="M977" s="292">
        <f t="shared" si="1137"/>
        <v>0</v>
      </c>
      <c r="N977" s="292">
        <f t="shared" si="1137"/>
        <v>0</v>
      </c>
      <c r="O977" s="292">
        <f t="shared" si="1137"/>
        <v>0</v>
      </c>
      <c r="P977" s="292">
        <f t="shared" si="1137"/>
        <v>3452090283.4400001</v>
      </c>
      <c r="Q977" s="292">
        <f t="shared" si="1137"/>
        <v>0</v>
      </c>
      <c r="R977" s="276">
        <f t="shared" si="1100"/>
        <v>3452090283.4400001</v>
      </c>
      <c r="S977" s="292">
        <f t="shared" ref="S977:Z977" si="1138">SUM(S978:S979)</f>
        <v>20746478.109999999</v>
      </c>
      <c r="T977" s="292">
        <f t="shared" si="1138"/>
        <v>0</v>
      </c>
      <c r="U977" s="292">
        <f t="shared" si="1138"/>
        <v>0</v>
      </c>
      <c r="V977" s="292">
        <f t="shared" si="1138"/>
        <v>0</v>
      </c>
      <c r="W977" s="292">
        <f t="shared" si="1138"/>
        <v>34594.57</v>
      </c>
      <c r="X977" s="292">
        <f t="shared" si="1138"/>
        <v>0</v>
      </c>
      <c r="Y977" s="292">
        <f t="shared" si="1138"/>
        <v>0</v>
      </c>
      <c r="Z977" s="292">
        <f t="shared" si="1138"/>
        <v>0</v>
      </c>
      <c r="AA977" s="276">
        <f t="shared" si="1132"/>
        <v>20781072.68</v>
      </c>
      <c r="AB977" s="402">
        <f t="shared" si="1089"/>
        <v>3472871356.1199999</v>
      </c>
      <c r="AC977" s="321">
        <v>0</v>
      </c>
    </row>
    <row r="978" spans="1:29" hidden="1" x14ac:dyDescent="0.2">
      <c r="A978" s="424"/>
      <c r="B978" s="323" t="s">
        <v>1839</v>
      </c>
      <c r="C978" s="206" t="s">
        <v>1840</v>
      </c>
      <c r="D978" s="303"/>
      <c r="E978" s="325">
        <f>SUM('ADICIONES  2021'!C978:N978)</f>
        <v>3452090283.4400001</v>
      </c>
      <c r="F978" s="291"/>
      <c r="G978" s="290"/>
      <c r="H978" s="290"/>
      <c r="I978" s="290"/>
      <c r="J978" s="290"/>
      <c r="K978" s="281">
        <f t="shared" si="1046"/>
        <v>3452090283.4400001</v>
      </c>
      <c r="L978" s="290"/>
      <c r="M978" s="290"/>
      <c r="N978" s="290"/>
      <c r="O978" s="290"/>
      <c r="P978" s="290">
        <v>3452090283.4400001</v>
      </c>
      <c r="Q978" s="291"/>
      <c r="R978" s="281">
        <f t="shared" si="1100"/>
        <v>3452090283.4400001</v>
      </c>
      <c r="S978" s="290">
        <v>20746478.109999999</v>
      </c>
      <c r="T978" s="291"/>
      <c r="U978" s="290">
        <v>-20746478.109999999</v>
      </c>
      <c r="V978" s="291"/>
      <c r="W978" s="289">
        <v>0</v>
      </c>
      <c r="X978" s="291"/>
      <c r="Y978" s="291"/>
      <c r="Z978" s="291"/>
      <c r="AA978" s="281">
        <f t="shared" si="1132"/>
        <v>0</v>
      </c>
      <c r="AB978" s="403">
        <f t="shared" si="1089"/>
        <v>3452090283.4400001</v>
      </c>
      <c r="AC978" s="326">
        <v>0</v>
      </c>
    </row>
    <row r="979" spans="1:29" hidden="1" x14ac:dyDescent="0.2">
      <c r="A979" s="424"/>
      <c r="B979" s="323" t="s">
        <v>1839</v>
      </c>
      <c r="C979" s="206" t="s">
        <v>1840</v>
      </c>
      <c r="D979" s="303"/>
      <c r="E979" s="325">
        <f>SUM('ADICIONES  2021'!C979:N979)</f>
        <v>30000000</v>
      </c>
      <c r="F979" s="291"/>
      <c r="G979" s="290"/>
      <c r="H979" s="290"/>
      <c r="I979" s="290"/>
      <c r="J979" s="290"/>
      <c r="K979" s="281">
        <f t="shared" ref="K979:K1066" si="1139">+D979+E979-F979+G979-H979</f>
        <v>30000000</v>
      </c>
      <c r="L979" s="290"/>
      <c r="M979" s="290"/>
      <c r="N979" s="290"/>
      <c r="O979" s="290"/>
      <c r="P979" s="290"/>
      <c r="Q979" s="291"/>
      <c r="R979" s="281">
        <f t="shared" si="1100"/>
        <v>0</v>
      </c>
      <c r="S979" s="290"/>
      <c r="T979" s="291"/>
      <c r="U979" s="290">
        <v>20746478.109999999</v>
      </c>
      <c r="V979" s="291"/>
      <c r="W979" s="290">
        <v>34594.57</v>
      </c>
      <c r="X979" s="291"/>
      <c r="Y979" s="291"/>
      <c r="Z979" s="291"/>
      <c r="AA979" s="281">
        <f t="shared" si="1132"/>
        <v>20781072.68</v>
      </c>
      <c r="AB979" s="403">
        <f t="shared" si="1089"/>
        <v>20781072.68</v>
      </c>
      <c r="AC979" s="326">
        <v>1</v>
      </c>
    </row>
    <row r="980" spans="1:29" s="19" customFormat="1" x14ac:dyDescent="0.2">
      <c r="A980" s="429">
        <v>1</v>
      </c>
      <c r="B980" s="172" t="s">
        <v>659</v>
      </c>
      <c r="C980" s="206" t="s">
        <v>1061</v>
      </c>
      <c r="D980" s="292">
        <f>+D981</f>
        <v>11767762710.66</v>
      </c>
      <c r="E980" s="322">
        <f>SUM('ADICIONES  2021'!C980:N980)</f>
        <v>19117646</v>
      </c>
      <c r="F980" s="289"/>
      <c r="G980" s="289">
        <f t="shared" ref="G980:J980" si="1140">+G981</f>
        <v>0</v>
      </c>
      <c r="H980" s="289">
        <f t="shared" si="1140"/>
        <v>0</v>
      </c>
      <c r="I980" s="289">
        <f t="shared" si="1140"/>
        <v>0</v>
      </c>
      <c r="J980" s="289">
        <f t="shared" si="1140"/>
        <v>0</v>
      </c>
      <c r="K980" s="281">
        <f t="shared" si="1139"/>
        <v>11786880356.66</v>
      </c>
      <c r="L980" s="289">
        <f t="shared" ref="L980:Q980" si="1141">+L981</f>
        <v>1188223792</v>
      </c>
      <c r="M980" s="289">
        <f t="shared" si="1141"/>
        <v>875505974.48000002</v>
      </c>
      <c r="N980" s="289">
        <f t="shared" si="1141"/>
        <v>930737892</v>
      </c>
      <c r="O980" s="289">
        <f t="shared" si="1141"/>
        <v>997180180</v>
      </c>
      <c r="P980" s="289">
        <f t="shared" si="1141"/>
        <v>1010265143</v>
      </c>
      <c r="Q980" s="289">
        <f t="shared" si="1141"/>
        <v>838164260</v>
      </c>
      <c r="R980" s="281">
        <f t="shared" si="1100"/>
        <v>5840077241.4799995</v>
      </c>
      <c r="S980" s="290">
        <f t="shared" ref="S980:Z980" si="1142">+S981</f>
        <v>901384028.29999995</v>
      </c>
      <c r="T980" s="290">
        <f t="shared" si="1142"/>
        <v>961462270</v>
      </c>
      <c r="U980" s="290">
        <f t="shared" si="1142"/>
        <v>881076103</v>
      </c>
      <c r="V980" s="290">
        <f t="shared" si="1142"/>
        <v>906200575</v>
      </c>
      <c r="W980" s="290">
        <f t="shared" si="1142"/>
        <v>1039598983.8100001</v>
      </c>
      <c r="X980" s="290">
        <f t="shared" si="1142"/>
        <v>1311538358</v>
      </c>
      <c r="Y980" s="290">
        <f t="shared" si="1142"/>
        <v>2.3283064365386963E-10</v>
      </c>
      <c r="Z980" s="289">
        <f t="shared" si="1142"/>
        <v>0</v>
      </c>
      <c r="AA980" s="276">
        <f t="shared" si="1101"/>
        <v>6001260318.1100006</v>
      </c>
      <c r="AB980" s="403">
        <f t="shared" si="1089"/>
        <v>11841337559.59</v>
      </c>
      <c r="AC980" s="326">
        <f t="shared" si="1090"/>
        <v>1.0046201540426454</v>
      </c>
    </row>
    <row r="981" spans="1:29" s="61" customFormat="1" ht="25.5" hidden="1" x14ac:dyDescent="0.2">
      <c r="A981" s="425"/>
      <c r="B981" s="318" t="s">
        <v>1062</v>
      </c>
      <c r="C981" s="319" t="s">
        <v>1063</v>
      </c>
      <c r="D981" s="292">
        <f>+D982+D987+D992</f>
        <v>11767762710.66</v>
      </c>
      <c r="E981" s="322">
        <f>SUM('ADICIONES  2021'!C981:N981)</f>
        <v>19117646</v>
      </c>
      <c r="F981" s="289"/>
      <c r="G981" s="289">
        <f t="shared" ref="G981:J981" si="1143">+G982+G987+G992</f>
        <v>0</v>
      </c>
      <c r="H981" s="289">
        <f t="shared" si="1143"/>
        <v>0</v>
      </c>
      <c r="I981" s="289">
        <f t="shared" si="1143"/>
        <v>0</v>
      </c>
      <c r="J981" s="289">
        <f t="shared" si="1143"/>
        <v>0</v>
      </c>
      <c r="K981" s="276">
        <f t="shared" si="1139"/>
        <v>11786880356.66</v>
      </c>
      <c r="L981" s="289">
        <f t="shared" ref="L981:Q981" si="1144">+L982+L987+L992</f>
        <v>1188223792</v>
      </c>
      <c r="M981" s="289">
        <f t="shared" si="1144"/>
        <v>875505974.48000002</v>
      </c>
      <c r="N981" s="289">
        <f t="shared" si="1144"/>
        <v>930737892</v>
      </c>
      <c r="O981" s="289">
        <f t="shared" si="1144"/>
        <v>997180180</v>
      </c>
      <c r="P981" s="289">
        <f t="shared" si="1144"/>
        <v>1010265143</v>
      </c>
      <c r="Q981" s="289">
        <f t="shared" si="1144"/>
        <v>838164260</v>
      </c>
      <c r="R981" s="276">
        <f t="shared" si="1100"/>
        <v>5840077241.4799995</v>
      </c>
      <c r="S981" s="289">
        <f t="shared" ref="S981:Z981" si="1145">+S982+S987+S992</f>
        <v>901384028.29999995</v>
      </c>
      <c r="T981" s="289">
        <f t="shared" si="1145"/>
        <v>961462270</v>
      </c>
      <c r="U981" s="289">
        <f t="shared" si="1145"/>
        <v>881076103</v>
      </c>
      <c r="V981" s="289">
        <f t="shared" si="1145"/>
        <v>906200575</v>
      </c>
      <c r="W981" s="289">
        <f t="shared" si="1145"/>
        <v>1039598983.8100001</v>
      </c>
      <c r="X981" s="289">
        <f t="shared" si="1145"/>
        <v>1311538358</v>
      </c>
      <c r="Y981" s="289">
        <f t="shared" si="1145"/>
        <v>2.3283064365386963E-10</v>
      </c>
      <c r="Z981" s="289">
        <f t="shared" si="1145"/>
        <v>0</v>
      </c>
      <c r="AA981" s="276">
        <f t="shared" si="1101"/>
        <v>6001260318.1100006</v>
      </c>
      <c r="AB981" s="402">
        <f t="shared" si="1089"/>
        <v>11841337559.59</v>
      </c>
      <c r="AC981" s="321">
        <f t="shared" si="1090"/>
        <v>1.0046201540426454</v>
      </c>
    </row>
    <row r="982" spans="1:29" s="61" customFormat="1" ht="25.5" hidden="1" x14ac:dyDescent="0.2">
      <c r="A982" s="425"/>
      <c r="B982" s="318" t="s">
        <v>1064</v>
      </c>
      <c r="C982" s="319" t="s">
        <v>1065</v>
      </c>
      <c r="D982" s="292">
        <f>SUM(D983:D985)</f>
        <v>2950524336.0100002</v>
      </c>
      <c r="E982" s="322">
        <f>SUM('ADICIONES  2021'!C982:N982)</f>
        <v>0</v>
      </c>
      <c r="F982" s="289"/>
      <c r="G982" s="289">
        <f t="shared" ref="G982:J982" si="1146">SUM(G983:G985)</f>
        <v>0</v>
      </c>
      <c r="H982" s="289">
        <f t="shared" si="1146"/>
        <v>0</v>
      </c>
      <c r="I982" s="289">
        <f t="shared" si="1146"/>
        <v>0</v>
      </c>
      <c r="J982" s="289">
        <f t="shared" si="1146"/>
        <v>0</v>
      </c>
      <c r="K982" s="276">
        <f t="shared" si="1139"/>
        <v>2950524336.0100002</v>
      </c>
      <c r="L982" s="289">
        <f t="shared" ref="L982:Q982" si="1147">SUM(L983:L985)</f>
        <v>341848800</v>
      </c>
      <c r="M982" s="289">
        <f t="shared" si="1147"/>
        <v>202479000</v>
      </c>
      <c r="N982" s="289">
        <f t="shared" si="1147"/>
        <v>237078000</v>
      </c>
      <c r="O982" s="289">
        <f t="shared" si="1147"/>
        <v>247500000</v>
      </c>
      <c r="P982" s="289">
        <f t="shared" si="1147"/>
        <v>254242200</v>
      </c>
      <c r="Q982" s="289">
        <f t="shared" si="1147"/>
        <v>167627400</v>
      </c>
      <c r="R982" s="276">
        <f t="shared" si="1100"/>
        <v>1450775400</v>
      </c>
      <c r="S982" s="289">
        <f t="shared" ref="S982:Z982" si="1148">SUM(S983:S985)</f>
        <v>231008777.87</v>
      </c>
      <c r="T982" s="289">
        <f t="shared" si="1148"/>
        <v>329302800</v>
      </c>
      <c r="U982" s="289">
        <f t="shared" si="1148"/>
        <v>256027800</v>
      </c>
      <c r="V982" s="289">
        <f t="shared" si="1148"/>
        <v>262138200</v>
      </c>
      <c r="W982" s="289">
        <f t="shared" si="1148"/>
        <v>335325767.26999998</v>
      </c>
      <c r="X982" s="289">
        <f t="shared" si="1148"/>
        <v>486120600</v>
      </c>
      <c r="Y982" s="289">
        <f t="shared" si="1148"/>
        <v>0</v>
      </c>
      <c r="Z982" s="289">
        <f t="shared" si="1148"/>
        <v>0</v>
      </c>
      <c r="AA982" s="276">
        <f t="shared" si="1101"/>
        <v>1899923945.1399999</v>
      </c>
      <c r="AB982" s="402">
        <f t="shared" si="1089"/>
        <v>3350699345.1399999</v>
      </c>
      <c r="AC982" s="321">
        <f t="shared" si="1090"/>
        <v>1.1356284387307094</v>
      </c>
    </row>
    <row r="983" spans="1:29" ht="14.25" hidden="1" x14ac:dyDescent="0.2">
      <c r="A983" s="424"/>
      <c r="B983" s="323" t="s">
        <v>1066</v>
      </c>
      <c r="C983" s="206" t="s">
        <v>375</v>
      </c>
      <c r="D983" s="303">
        <v>737631084</v>
      </c>
      <c r="E983" s="325">
        <f>SUM('ADICIONES  2021'!C983:N983)</f>
        <v>0</v>
      </c>
      <c r="F983" s="290"/>
      <c r="G983" s="290"/>
      <c r="H983" s="290"/>
      <c r="I983" s="290"/>
      <c r="J983" s="290"/>
      <c r="K983" s="281">
        <f t="shared" si="1139"/>
        <v>737631084</v>
      </c>
      <c r="L983" s="290">
        <v>85462200</v>
      </c>
      <c r="M983" s="290">
        <v>50619750</v>
      </c>
      <c r="N983" s="290">
        <v>59269500</v>
      </c>
      <c r="O983" s="290">
        <v>61875000</v>
      </c>
      <c r="P983" s="290">
        <v>63560550</v>
      </c>
      <c r="Q983" s="290">
        <v>41906850</v>
      </c>
      <c r="R983" s="281">
        <f t="shared" si="1100"/>
        <v>362693850</v>
      </c>
      <c r="S983" s="290">
        <v>57248400</v>
      </c>
      <c r="T983" s="290">
        <v>82325700</v>
      </c>
      <c r="U983" s="290">
        <v>64006950</v>
      </c>
      <c r="V983" s="290">
        <v>65534550</v>
      </c>
      <c r="W983" s="290">
        <v>83619000</v>
      </c>
      <c r="X983" s="290">
        <v>121530150</v>
      </c>
      <c r="Y983" s="290"/>
      <c r="Z983" s="290"/>
      <c r="AA983" s="281">
        <f t="shared" si="1101"/>
        <v>474264750</v>
      </c>
      <c r="AB983" s="403">
        <f t="shared" si="1089"/>
        <v>836958600</v>
      </c>
      <c r="AC983" s="326">
        <f t="shared" si="1090"/>
        <v>1.1346574434761754</v>
      </c>
    </row>
    <row r="984" spans="1:29" ht="14.25" hidden="1" x14ac:dyDescent="0.2">
      <c r="A984" s="424"/>
      <c r="B984" s="323" t="s">
        <v>1067</v>
      </c>
      <c r="C984" s="206" t="s">
        <v>375</v>
      </c>
      <c r="D984" s="303">
        <v>206536703.52000001</v>
      </c>
      <c r="E984" s="325">
        <f>SUM('ADICIONES  2021'!C984:N984)</f>
        <v>0</v>
      </c>
      <c r="F984" s="290"/>
      <c r="G984" s="290"/>
      <c r="H984" s="290"/>
      <c r="I984" s="290"/>
      <c r="J984" s="290"/>
      <c r="K984" s="281">
        <f t="shared" si="1139"/>
        <v>206536703.52000001</v>
      </c>
      <c r="L984" s="290">
        <v>23929416</v>
      </c>
      <c r="M984" s="290">
        <v>14173530</v>
      </c>
      <c r="N984" s="290">
        <v>16595460</v>
      </c>
      <c r="O984" s="290">
        <v>17325000</v>
      </c>
      <c r="P984" s="290">
        <v>17796954</v>
      </c>
      <c r="Q984" s="290">
        <v>11733918</v>
      </c>
      <c r="R984" s="281">
        <f t="shared" si="1100"/>
        <v>101554278</v>
      </c>
      <c r="S984" s="290">
        <v>16029552</v>
      </c>
      <c r="T984" s="290">
        <v>23051196</v>
      </c>
      <c r="U984" s="290">
        <v>17921946</v>
      </c>
      <c r="V984" s="290">
        <v>18349674</v>
      </c>
      <c r="W984" s="290">
        <v>23413320</v>
      </c>
      <c r="X984" s="290">
        <v>34028442</v>
      </c>
      <c r="Y984" s="290"/>
      <c r="Z984" s="290"/>
      <c r="AA984" s="281">
        <f t="shared" si="1101"/>
        <v>132794130</v>
      </c>
      <c r="AB984" s="403">
        <f t="shared" si="1089"/>
        <v>234348408</v>
      </c>
      <c r="AC984" s="326">
        <f t="shared" si="1090"/>
        <v>1.1346574434761754</v>
      </c>
    </row>
    <row r="985" spans="1:29" s="61" customFormat="1" ht="25.5" hidden="1" x14ac:dyDescent="0.2">
      <c r="A985" s="425"/>
      <c r="B985" s="318" t="s">
        <v>1068</v>
      </c>
      <c r="C985" s="319" t="s">
        <v>377</v>
      </c>
      <c r="D985" s="292">
        <f>+D986</f>
        <v>2006356548.49</v>
      </c>
      <c r="E985" s="322">
        <f>SUM('ADICIONES  2021'!C985:N985)</f>
        <v>0</v>
      </c>
      <c r="F985" s="289"/>
      <c r="G985" s="289">
        <f t="shared" ref="G985:J985" si="1149">+G986</f>
        <v>0</v>
      </c>
      <c r="H985" s="289">
        <f t="shared" si="1149"/>
        <v>0</v>
      </c>
      <c r="I985" s="289">
        <f t="shared" si="1149"/>
        <v>0</v>
      </c>
      <c r="J985" s="289">
        <f t="shared" si="1149"/>
        <v>0</v>
      </c>
      <c r="K985" s="276">
        <f t="shared" si="1139"/>
        <v>2006356548.49</v>
      </c>
      <c r="L985" s="289">
        <f t="shared" ref="L985:Q985" si="1150">+L986</f>
        <v>232457184</v>
      </c>
      <c r="M985" s="289">
        <f t="shared" si="1150"/>
        <v>137685720</v>
      </c>
      <c r="N985" s="289">
        <f t="shared" si="1150"/>
        <v>161213040</v>
      </c>
      <c r="O985" s="289">
        <f t="shared" si="1150"/>
        <v>168300000</v>
      </c>
      <c r="P985" s="289">
        <f t="shared" si="1150"/>
        <v>172884696</v>
      </c>
      <c r="Q985" s="289">
        <f t="shared" si="1150"/>
        <v>113986632</v>
      </c>
      <c r="R985" s="276">
        <f t="shared" si="1100"/>
        <v>986527272</v>
      </c>
      <c r="S985" s="289">
        <f t="shared" ref="S985:Z985" si="1151">+S986</f>
        <v>157730825.87</v>
      </c>
      <c r="T985" s="289">
        <f t="shared" si="1151"/>
        <v>223925904</v>
      </c>
      <c r="U985" s="289">
        <f t="shared" si="1151"/>
        <v>174098904</v>
      </c>
      <c r="V985" s="289">
        <f t="shared" si="1151"/>
        <v>178253976</v>
      </c>
      <c r="W985" s="289">
        <f t="shared" si="1151"/>
        <v>228293447.27000001</v>
      </c>
      <c r="X985" s="289">
        <f t="shared" si="1151"/>
        <v>330562008</v>
      </c>
      <c r="Y985" s="289">
        <f t="shared" si="1151"/>
        <v>0</v>
      </c>
      <c r="Z985" s="289">
        <f t="shared" si="1151"/>
        <v>0</v>
      </c>
      <c r="AA985" s="276">
        <f t="shared" si="1101"/>
        <v>1292865065.1399999</v>
      </c>
      <c r="AB985" s="402">
        <f t="shared" si="1089"/>
        <v>2279392337.1399999</v>
      </c>
      <c r="AC985" s="321">
        <f t="shared" si="1090"/>
        <v>1.1360853776740174</v>
      </c>
    </row>
    <row r="986" spans="1:29" ht="14.25" hidden="1" x14ac:dyDescent="0.2">
      <c r="A986" s="424"/>
      <c r="B986" s="323" t="s">
        <v>1069</v>
      </c>
      <c r="C986" s="206" t="s">
        <v>378</v>
      </c>
      <c r="D986" s="303">
        <v>2006356548.49</v>
      </c>
      <c r="E986" s="325">
        <f>SUM('ADICIONES  2021'!C986:N986)</f>
        <v>0</v>
      </c>
      <c r="F986" s="290"/>
      <c r="G986" s="290"/>
      <c r="H986" s="290"/>
      <c r="I986" s="290"/>
      <c r="J986" s="290"/>
      <c r="K986" s="281">
        <f t="shared" si="1139"/>
        <v>2006356548.49</v>
      </c>
      <c r="L986" s="290">
        <v>232457184</v>
      </c>
      <c r="M986" s="290">
        <v>137685720</v>
      </c>
      <c r="N986" s="290">
        <v>161213040</v>
      </c>
      <c r="O986" s="290">
        <v>168300000</v>
      </c>
      <c r="P986" s="290">
        <v>172884696</v>
      </c>
      <c r="Q986" s="290">
        <v>113986632</v>
      </c>
      <c r="R986" s="281">
        <f t="shared" si="1100"/>
        <v>986527272</v>
      </c>
      <c r="S986" s="290">
        <v>157730825.87</v>
      </c>
      <c r="T986" s="290">
        <v>223925904</v>
      </c>
      <c r="U986" s="290">
        <v>174098904</v>
      </c>
      <c r="V986" s="290">
        <v>178253976</v>
      </c>
      <c r="W986" s="290">
        <v>228293447.27000001</v>
      </c>
      <c r="X986" s="290">
        <v>330562008</v>
      </c>
      <c r="Y986" s="290"/>
      <c r="Z986" s="290"/>
      <c r="AA986" s="281">
        <f t="shared" si="1101"/>
        <v>1292865065.1399999</v>
      </c>
      <c r="AB986" s="403">
        <f t="shared" si="1089"/>
        <v>2279392337.1399999</v>
      </c>
      <c r="AC986" s="326">
        <f t="shared" si="1090"/>
        <v>1.1360853776740174</v>
      </c>
    </row>
    <row r="987" spans="1:29" s="61" customFormat="1" ht="25.5" hidden="1" x14ac:dyDescent="0.2">
      <c r="A987" s="425"/>
      <c r="B987" s="318" t="s">
        <v>1070</v>
      </c>
      <c r="C987" s="319" t="s">
        <v>1071</v>
      </c>
      <c r="D987" s="292">
        <f>SUM(D988:D990)</f>
        <v>8618601363.8400002</v>
      </c>
      <c r="E987" s="322">
        <f>SUM('ADICIONES  2021'!C987:N987)</f>
        <v>0</v>
      </c>
      <c r="F987" s="289"/>
      <c r="G987" s="289">
        <f t="shared" ref="G987:J987" si="1152">SUM(G988:G990)</f>
        <v>0</v>
      </c>
      <c r="H987" s="289">
        <f t="shared" si="1152"/>
        <v>0</v>
      </c>
      <c r="I987" s="289">
        <f t="shared" si="1152"/>
        <v>0</v>
      </c>
      <c r="J987" s="289">
        <f t="shared" si="1152"/>
        <v>0</v>
      </c>
      <c r="K987" s="276">
        <f t="shared" si="1139"/>
        <v>8618601363.8400002</v>
      </c>
      <c r="L987" s="289">
        <f t="shared" ref="L987:Q987" si="1153">SUM(L988:L990)</f>
        <v>839952212</v>
      </c>
      <c r="M987" s="289">
        <f t="shared" si="1153"/>
        <v>660962981</v>
      </c>
      <c r="N987" s="289">
        <f t="shared" si="1153"/>
        <v>683245292</v>
      </c>
      <c r="O987" s="289">
        <f t="shared" si="1153"/>
        <v>728057222</v>
      </c>
      <c r="P987" s="289">
        <f t="shared" si="1153"/>
        <v>740807793</v>
      </c>
      <c r="Q987" s="289">
        <f t="shared" si="1153"/>
        <v>657534255</v>
      </c>
      <c r="R987" s="276">
        <f t="shared" si="1100"/>
        <v>4310559755</v>
      </c>
      <c r="S987" s="289">
        <f t="shared" ref="S987:Z987" si="1154">SUM(S988:S990)</f>
        <v>627775227.76999998</v>
      </c>
      <c r="T987" s="289">
        <f t="shared" si="1154"/>
        <v>622288823</v>
      </c>
      <c r="U987" s="289">
        <f t="shared" si="1154"/>
        <v>590745503</v>
      </c>
      <c r="V987" s="289">
        <f t="shared" si="1154"/>
        <v>627358080</v>
      </c>
      <c r="W987" s="289">
        <f t="shared" si="1154"/>
        <v>683810407.69000006</v>
      </c>
      <c r="X987" s="289">
        <f t="shared" si="1154"/>
        <v>726772393</v>
      </c>
      <c r="Y987" s="289">
        <f t="shared" si="1154"/>
        <v>0</v>
      </c>
      <c r="Z987" s="289">
        <f t="shared" si="1154"/>
        <v>0</v>
      </c>
      <c r="AA987" s="276">
        <f t="shared" si="1101"/>
        <v>3878750434.46</v>
      </c>
      <c r="AB987" s="402">
        <f t="shared" si="1089"/>
        <v>8189310189.46</v>
      </c>
      <c r="AC987" s="321">
        <f t="shared" si="1090"/>
        <v>0.95019015774634574</v>
      </c>
    </row>
    <row r="988" spans="1:29" ht="14.25" hidden="1" x14ac:dyDescent="0.2">
      <c r="A988" s="424"/>
      <c r="B988" s="323" t="s">
        <v>1072</v>
      </c>
      <c r="C988" s="206" t="s">
        <v>375</v>
      </c>
      <c r="D988" s="303">
        <v>2154650340.96</v>
      </c>
      <c r="E988" s="325">
        <f>SUM('ADICIONES  2021'!C988:N988)</f>
        <v>0</v>
      </c>
      <c r="F988" s="290"/>
      <c r="G988" s="290"/>
      <c r="H988" s="290"/>
      <c r="I988" s="290"/>
      <c r="J988" s="290"/>
      <c r="K988" s="281">
        <f t="shared" si="1139"/>
        <v>2154650340.96</v>
      </c>
      <c r="L988" s="290">
        <v>209988053</v>
      </c>
      <c r="M988" s="290">
        <v>165240745</v>
      </c>
      <c r="N988" s="290">
        <v>170811323</v>
      </c>
      <c r="O988" s="290">
        <v>182014305</v>
      </c>
      <c r="P988" s="290">
        <v>185201948</v>
      </c>
      <c r="Q988" s="290">
        <v>164383564</v>
      </c>
      <c r="R988" s="281">
        <f t="shared" si="1100"/>
        <v>1077639938</v>
      </c>
      <c r="S988" s="290">
        <v>155224569</v>
      </c>
      <c r="T988" s="290">
        <v>155572206</v>
      </c>
      <c r="U988" s="290">
        <v>147686376</v>
      </c>
      <c r="V988" s="290">
        <v>156839520</v>
      </c>
      <c r="W988" s="290">
        <v>170305163</v>
      </c>
      <c r="X988" s="290">
        <v>181693098</v>
      </c>
      <c r="Y988" s="290"/>
      <c r="Z988" s="290"/>
      <c r="AA988" s="281">
        <f t="shared" si="1101"/>
        <v>967320932</v>
      </c>
      <c r="AB988" s="403">
        <f t="shared" si="1089"/>
        <v>2044960870</v>
      </c>
      <c r="AC988" s="326">
        <f t="shared" si="1090"/>
        <v>0.94909175336953833</v>
      </c>
    </row>
    <row r="989" spans="1:29" ht="14.25" hidden="1" x14ac:dyDescent="0.2">
      <c r="A989" s="424"/>
      <c r="B989" s="323" t="s">
        <v>1073</v>
      </c>
      <c r="C989" s="206" t="s">
        <v>375</v>
      </c>
      <c r="D989" s="303">
        <v>603302095.47000003</v>
      </c>
      <c r="E989" s="325">
        <f>SUM('ADICIONES  2021'!C989:N989)</f>
        <v>0</v>
      </c>
      <c r="F989" s="290"/>
      <c r="G989" s="290"/>
      <c r="H989" s="290"/>
      <c r="I989" s="290"/>
      <c r="J989" s="290"/>
      <c r="K989" s="281">
        <f t="shared" si="1139"/>
        <v>603302095.47000003</v>
      </c>
      <c r="L989" s="290">
        <v>58796655</v>
      </c>
      <c r="M989" s="290">
        <v>46267409</v>
      </c>
      <c r="N989" s="290">
        <v>47827170</v>
      </c>
      <c r="O989" s="290">
        <v>50964006</v>
      </c>
      <c r="P989" s="290">
        <v>51856546</v>
      </c>
      <c r="Q989" s="290">
        <v>46027398</v>
      </c>
      <c r="R989" s="281">
        <f t="shared" si="1100"/>
        <v>301739184</v>
      </c>
      <c r="S989" s="290">
        <v>43462879</v>
      </c>
      <c r="T989" s="290">
        <v>43560218</v>
      </c>
      <c r="U989" s="290">
        <v>41352185</v>
      </c>
      <c r="V989" s="290">
        <v>43915066</v>
      </c>
      <c r="W989" s="290">
        <v>47685446</v>
      </c>
      <c r="X989" s="290">
        <v>50874068</v>
      </c>
      <c r="Y989" s="290"/>
      <c r="Z989" s="290"/>
      <c r="AA989" s="281">
        <f t="shared" si="1101"/>
        <v>270849862</v>
      </c>
      <c r="AB989" s="403">
        <f t="shared" si="1089"/>
        <v>572589046</v>
      </c>
      <c r="AC989" s="326">
        <f t="shared" si="1090"/>
        <v>0.94909175734575701</v>
      </c>
    </row>
    <row r="990" spans="1:29" s="61" customFormat="1" ht="25.5" hidden="1" x14ac:dyDescent="0.2">
      <c r="A990" s="425"/>
      <c r="B990" s="318" t="s">
        <v>1074</v>
      </c>
      <c r="C990" s="319" t="s">
        <v>377</v>
      </c>
      <c r="D990" s="292">
        <f>+D991</f>
        <v>5860648927.4099998</v>
      </c>
      <c r="E990" s="322">
        <f>SUM('ADICIONES  2021'!C990:N990)</f>
        <v>0</v>
      </c>
      <c r="F990" s="289"/>
      <c r="G990" s="289">
        <f t="shared" ref="G990:J990" si="1155">+G991</f>
        <v>0</v>
      </c>
      <c r="H990" s="289">
        <f t="shared" si="1155"/>
        <v>0</v>
      </c>
      <c r="I990" s="289">
        <f t="shared" si="1155"/>
        <v>0</v>
      </c>
      <c r="J990" s="289">
        <f t="shared" si="1155"/>
        <v>0</v>
      </c>
      <c r="K990" s="276">
        <f t="shared" si="1139"/>
        <v>5860648927.4099998</v>
      </c>
      <c r="L990" s="289">
        <f t="shared" ref="L990:Q990" si="1156">+L991</f>
        <v>571167504</v>
      </c>
      <c r="M990" s="289">
        <f t="shared" si="1156"/>
        <v>449454827</v>
      </c>
      <c r="N990" s="289">
        <f t="shared" si="1156"/>
        <v>464606799</v>
      </c>
      <c r="O990" s="289">
        <f t="shared" si="1156"/>
        <v>495078911</v>
      </c>
      <c r="P990" s="289">
        <f t="shared" si="1156"/>
        <v>503749299</v>
      </c>
      <c r="Q990" s="289">
        <f t="shared" si="1156"/>
        <v>447123293</v>
      </c>
      <c r="R990" s="276">
        <f t="shared" si="1100"/>
        <v>2931180633</v>
      </c>
      <c r="S990" s="289">
        <f t="shared" ref="S990:Z990" si="1157">+S991</f>
        <v>429087779.76999998</v>
      </c>
      <c r="T990" s="289">
        <f t="shared" si="1157"/>
        <v>423156399</v>
      </c>
      <c r="U990" s="289">
        <f t="shared" si="1157"/>
        <v>401706942</v>
      </c>
      <c r="V990" s="289">
        <f t="shared" si="1157"/>
        <v>426603494</v>
      </c>
      <c r="W990" s="289">
        <f t="shared" si="1157"/>
        <v>465819798.69</v>
      </c>
      <c r="X990" s="289">
        <f t="shared" si="1157"/>
        <v>494205227</v>
      </c>
      <c r="Y990" s="289">
        <f t="shared" si="1157"/>
        <v>0</v>
      </c>
      <c r="Z990" s="289">
        <f t="shared" si="1157"/>
        <v>0</v>
      </c>
      <c r="AA990" s="276">
        <f t="shared" si="1101"/>
        <v>2640579640.46</v>
      </c>
      <c r="AB990" s="402">
        <f t="shared" si="1089"/>
        <v>5571760273.46</v>
      </c>
      <c r="AC990" s="321">
        <f t="shared" si="1090"/>
        <v>0.95070705351435059</v>
      </c>
    </row>
    <row r="991" spans="1:29" ht="14.25" hidden="1" x14ac:dyDescent="0.2">
      <c r="A991" s="424"/>
      <c r="B991" s="323" t="s">
        <v>1075</v>
      </c>
      <c r="C991" s="206" t="s">
        <v>378</v>
      </c>
      <c r="D991" s="303">
        <v>5860648927.4099998</v>
      </c>
      <c r="E991" s="325">
        <f>SUM('ADICIONES  2021'!C991:N991)</f>
        <v>0</v>
      </c>
      <c r="F991" s="290"/>
      <c r="G991" s="290"/>
      <c r="H991" s="290"/>
      <c r="I991" s="290"/>
      <c r="J991" s="290"/>
      <c r="K991" s="281">
        <f t="shared" si="1139"/>
        <v>5860648927.4099998</v>
      </c>
      <c r="L991" s="290">
        <v>571167504</v>
      </c>
      <c r="M991" s="290">
        <v>449454827</v>
      </c>
      <c r="N991" s="290">
        <v>464606799</v>
      </c>
      <c r="O991" s="290">
        <v>495078911</v>
      </c>
      <c r="P991" s="290">
        <v>503749299</v>
      </c>
      <c r="Q991" s="290">
        <v>447123293</v>
      </c>
      <c r="R991" s="281">
        <f t="shared" si="1100"/>
        <v>2931180633</v>
      </c>
      <c r="S991" s="290">
        <v>429087779.76999998</v>
      </c>
      <c r="T991" s="290">
        <v>423156399</v>
      </c>
      <c r="U991" s="290">
        <v>401706942</v>
      </c>
      <c r="V991" s="290">
        <v>426603494</v>
      </c>
      <c r="W991" s="290">
        <v>465819798.69</v>
      </c>
      <c r="X991" s="290">
        <v>494205227</v>
      </c>
      <c r="Y991" s="290"/>
      <c r="Z991" s="290"/>
      <c r="AA991" s="281">
        <f t="shared" si="1101"/>
        <v>2640579640.46</v>
      </c>
      <c r="AB991" s="403">
        <f t="shared" si="1089"/>
        <v>5571760273.46</v>
      </c>
      <c r="AC991" s="326">
        <f t="shared" si="1090"/>
        <v>0.95070705351435059</v>
      </c>
    </row>
    <row r="992" spans="1:29" s="61" customFormat="1" ht="25.5" hidden="1" x14ac:dyDescent="0.2">
      <c r="A992" s="425"/>
      <c r="B992" s="318" t="s">
        <v>1076</v>
      </c>
      <c r="C992" s="319" t="s">
        <v>1077</v>
      </c>
      <c r="D992" s="292">
        <f>SUM(D993:D997)</f>
        <v>198637010.81</v>
      </c>
      <c r="E992" s="322">
        <f>SUM('ADICIONES  2021'!C992:N992)</f>
        <v>19117646</v>
      </c>
      <c r="F992" s="289"/>
      <c r="G992" s="289">
        <f t="shared" ref="G992:J992" si="1158">SUM(G993:G997)</f>
        <v>0</v>
      </c>
      <c r="H992" s="289">
        <f t="shared" si="1158"/>
        <v>0</v>
      </c>
      <c r="I992" s="289">
        <f t="shared" si="1158"/>
        <v>0</v>
      </c>
      <c r="J992" s="289">
        <f t="shared" si="1158"/>
        <v>0</v>
      </c>
      <c r="K992" s="276">
        <f t="shared" si="1139"/>
        <v>217754656.81</v>
      </c>
      <c r="L992" s="289">
        <f t="shared" ref="L992:Q992" si="1159">SUM(L993:L997)</f>
        <v>6422780</v>
      </c>
      <c r="M992" s="289">
        <f t="shared" si="1159"/>
        <v>12063993.48</v>
      </c>
      <c r="N992" s="289">
        <f t="shared" si="1159"/>
        <v>10414600</v>
      </c>
      <c r="O992" s="289">
        <f t="shared" si="1159"/>
        <v>21622958</v>
      </c>
      <c r="P992" s="289">
        <f t="shared" si="1159"/>
        <v>15215150</v>
      </c>
      <c r="Q992" s="289">
        <f t="shared" si="1159"/>
        <v>13002605</v>
      </c>
      <c r="R992" s="276">
        <f t="shared" si="1100"/>
        <v>78742086.480000004</v>
      </c>
      <c r="S992" s="289">
        <f t="shared" ref="S992:Z992" si="1160">SUM(S993:S997)</f>
        <v>42600022.659999996</v>
      </c>
      <c r="T992" s="289">
        <f t="shared" si="1160"/>
        <v>9870647</v>
      </c>
      <c r="U992" s="289">
        <f t="shared" si="1160"/>
        <v>34302800</v>
      </c>
      <c r="V992" s="289">
        <f t="shared" si="1160"/>
        <v>16704295</v>
      </c>
      <c r="W992" s="289">
        <f t="shared" si="1160"/>
        <v>20462808.850000001</v>
      </c>
      <c r="X992" s="289">
        <f t="shared" si="1160"/>
        <v>98645365</v>
      </c>
      <c r="Y992" s="289">
        <f t="shared" si="1160"/>
        <v>2.3283064365386963E-10</v>
      </c>
      <c r="Z992" s="289">
        <f t="shared" si="1160"/>
        <v>0</v>
      </c>
      <c r="AA992" s="276">
        <f t="shared" si="1101"/>
        <v>222585938.50999999</v>
      </c>
      <c r="AB992" s="402">
        <f t="shared" si="1089"/>
        <v>301328024.99000001</v>
      </c>
      <c r="AC992" s="321">
        <f t="shared" si="1090"/>
        <v>1.3837960087940679</v>
      </c>
    </row>
    <row r="993" spans="1:29" ht="14.25" hidden="1" x14ac:dyDescent="0.2">
      <c r="A993" s="424"/>
      <c r="B993" s="323" t="s">
        <v>1078</v>
      </c>
      <c r="C993" s="206" t="s">
        <v>375</v>
      </c>
      <c r="D993" s="303">
        <v>49659252.700000003</v>
      </c>
      <c r="E993" s="325">
        <f>SUM('ADICIONES  2021'!C993:N993)</f>
        <v>0</v>
      </c>
      <c r="F993" s="290"/>
      <c r="G993" s="290"/>
      <c r="H993" s="290"/>
      <c r="I993" s="290"/>
      <c r="J993" s="290"/>
      <c r="K993" s="281">
        <f t="shared" si="1139"/>
        <v>49659252.700000003</v>
      </c>
      <c r="L993" s="290">
        <v>1605695</v>
      </c>
      <c r="M993" s="290">
        <v>3015998.37</v>
      </c>
      <c r="N993" s="290">
        <v>2603650</v>
      </c>
      <c r="O993" s="290">
        <v>5405739.9400000004</v>
      </c>
      <c r="P993" s="290">
        <v>3803787.5</v>
      </c>
      <c r="Q993" s="290">
        <v>3250651.25</v>
      </c>
      <c r="R993" s="281">
        <f t="shared" si="1100"/>
        <v>19685522.060000002</v>
      </c>
      <c r="S993" s="290">
        <v>10580568</v>
      </c>
      <c r="T993" s="290">
        <v>2467661.71</v>
      </c>
      <c r="U993" s="290">
        <v>8575700</v>
      </c>
      <c r="V993" s="290">
        <v>4176074</v>
      </c>
      <c r="W993" s="290">
        <v>5095433</v>
      </c>
      <c r="X993" s="290">
        <v>20803636.07</v>
      </c>
      <c r="Y993" s="290">
        <v>-921706.07000000775</v>
      </c>
      <c r="Z993" s="290"/>
      <c r="AA993" s="281">
        <f t="shared" ref="AA993:AA997" si="1161">SUM(S993:Z993)</f>
        <v>50777366.709999993</v>
      </c>
      <c r="AB993" s="403">
        <f t="shared" si="1089"/>
        <v>70462888.769999996</v>
      </c>
      <c r="AC993" s="326">
        <f t="shared" si="1090"/>
        <v>1.4189276909920152</v>
      </c>
    </row>
    <row r="994" spans="1:29" ht="14.25" hidden="1" x14ac:dyDescent="0.2">
      <c r="A994" s="424"/>
      <c r="B994" s="323" t="s">
        <v>1078</v>
      </c>
      <c r="C994" s="206" t="s">
        <v>375</v>
      </c>
      <c r="D994" s="303"/>
      <c r="E994" s="325">
        <f>SUM('ADICIONES  2021'!C994:N994)</f>
        <v>4779411</v>
      </c>
      <c r="F994" s="290"/>
      <c r="G994" s="290"/>
      <c r="H994" s="290"/>
      <c r="I994" s="290"/>
      <c r="J994" s="290"/>
      <c r="K994" s="281">
        <f t="shared" si="1139"/>
        <v>4779411</v>
      </c>
      <c r="L994" s="290"/>
      <c r="M994" s="290"/>
      <c r="N994" s="290"/>
      <c r="O994" s="290"/>
      <c r="P994" s="290"/>
      <c r="Q994" s="290"/>
      <c r="R994" s="281">
        <f t="shared" si="1100"/>
        <v>0</v>
      </c>
      <c r="S994" s="290"/>
      <c r="T994" s="290"/>
      <c r="U994" s="290"/>
      <c r="V994" s="290"/>
      <c r="W994" s="290"/>
      <c r="X994" s="290">
        <v>3857704.93</v>
      </c>
      <c r="Y994" s="290">
        <v>921706.06999999983</v>
      </c>
      <c r="Z994" s="290"/>
      <c r="AA994" s="281">
        <f t="shared" si="1161"/>
        <v>4779411</v>
      </c>
      <c r="AB994" s="403">
        <f t="shared" si="1089"/>
        <v>4779411</v>
      </c>
      <c r="AC994" s="326">
        <f t="shared" si="1090"/>
        <v>1</v>
      </c>
    </row>
    <row r="995" spans="1:29" ht="14.25" hidden="1" x14ac:dyDescent="0.2">
      <c r="A995" s="424"/>
      <c r="B995" s="323" t="s">
        <v>1079</v>
      </c>
      <c r="C995" s="206" t="s">
        <v>375</v>
      </c>
      <c r="D995" s="303">
        <v>13904590.76</v>
      </c>
      <c r="E995" s="325">
        <f>SUM('ADICIONES  2021'!C995:N995)</f>
        <v>0</v>
      </c>
      <c r="F995" s="290"/>
      <c r="G995" s="290"/>
      <c r="H995" s="290"/>
      <c r="I995" s="290"/>
      <c r="J995" s="290"/>
      <c r="K995" s="281">
        <f t="shared" si="1139"/>
        <v>13904590.76</v>
      </c>
      <c r="L995" s="290">
        <v>449595</v>
      </c>
      <c r="M995" s="290">
        <v>844479.11</v>
      </c>
      <c r="N995" s="290">
        <v>729022</v>
      </c>
      <c r="O995" s="290">
        <v>1513607.06</v>
      </c>
      <c r="P995" s="290">
        <v>1065060.5</v>
      </c>
      <c r="Q995" s="290">
        <v>910182.75</v>
      </c>
      <c r="R995" s="281">
        <f t="shared" si="1100"/>
        <v>5511946.4199999999</v>
      </c>
      <c r="S995" s="290">
        <v>2962559</v>
      </c>
      <c r="T995" s="290">
        <v>690945.29</v>
      </c>
      <c r="U995" s="290">
        <v>2401196</v>
      </c>
      <c r="V995" s="290">
        <v>1169300</v>
      </c>
      <c r="W995" s="290">
        <v>1426721</v>
      </c>
      <c r="X995" s="290">
        <v>5825017.9500000002</v>
      </c>
      <c r="Y995" s="290">
        <v>-258076.94999999553</v>
      </c>
      <c r="Z995" s="290"/>
      <c r="AA995" s="281">
        <f t="shared" si="1161"/>
        <v>14217662.290000003</v>
      </c>
      <c r="AB995" s="403">
        <f t="shared" si="1089"/>
        <v>19729608.710000001</v>
      </c>
      <c r="AC995" s="326">
        <f t="shared" si="1090"/>
        <v>1.418927680112464</v>
      </c>
    </row>
    <row r="996" spans="1:29" ht="14.25" hidden="1" x14ac:dyDescent="0.2">
      <c r="A996" s="424"/>
      <c r="B996" s="323" t="s">
        <v>1079</v>
      </c>
      <c r="C996" s="206" t="s">
        <v>375</v>
      </c>
      <c r="D996" s="303"/>
      <c r="E996" s="325">
        <f>SUM('ADICIONES  2021'!C996:N996)</f>
        <v>1338235</v>
      </c>
      <c r="F996" s="290"/>
      <c r="G996" s="290"/>
      <c r="H996" s="290"/>
      <c r="I996" s="290"/>
      <c r="J996" s="290"/>
      <c r="K996" s="281">
        <f t="shared" si="1139"/>
        <v>1338235</v>
      </c>
      <c r="L996" s="290"/>
      <c r="M996" s="290"/>
      <c r="N996" s="290"/>
      <c r="O996" s="290"/>
      <c r="P996" s="290"/>
      <c r="Q996" s="290"/>
      <c r="R996" s="281">
        <f t="shared" si="1100"/>
        <v>0</v>
      </c>
      <c r="S996" s="290"/>
      <c r="T996" s="290"/>
      <c r="U996" s="290"/>
      <c r="V996" s="290"/>
      <c r="W996" s="290"/>
      <c r="X996" s="290">
        <v>1080158.05</v>
      </c>
      <c r="Y996" s="290">
        <v>258076.94999999995</v>
      </c>
      <c r="Z996" s="290"/>
      <c r="AA996" s="281">
        <f t="shared" si="1161"/>
        <v>1338235</v>
      </c>
      <c r="AB996" s="403">
        <f t="shared" si="1089"/>
        <v>1338235</v>
      </c>
      <c r="AC996" s="326">
        <f t="shared" si="1090"/>
        <v>1</v>
      </c>
    </row>
    <row r="997" spans="1:29" s="61" customFormat="1" ht="25.5" hidden="1" x14ac:dyDescent="0.2">
      <c r="A997" s="425"/>
      <c r="B997" s="318" t="s">
        <v>1080</v>
      </c>
      <c r="C997" s="319" t="s">
        <v>377</v>
      </c>
      <c r="D997" s="292">
        <f>+D998+D999</f>
        <v>135073167.34999999</v>
      </c>
      <c r="E997" s="322">
        <f>SUM('ADICIONES  2021'!C997:N997)</f>
        <v>13000000</v>
      </c>
      <c r="F997" s="292">
        <f t="shared" ref="F997:J997" si="1162">+F998+F999</f>
        <v>0</v>
      </c>
      <c r="G997" s="292">
        <f t="shared" si="1162"/>
        <v>0</v>
      </c>
      <c r="H997" s="292">
        <f t="shared" si="1162"/>
        <v>0</v>
      </c>
      <c r="I997" s="292">
        <f t="shared" si="1162"/>
        <v>0</v>
      </c>
      <c r="J997" s="292">
        <f t="shared" si="1162"/>
        <v>0</v>
      </c>
      <c r="K997" s="276">
        <f t="shared" si="1139"/>
        <v>148073167.34999999</v>
      </c>
      <c r="L997" s="292">
        <f t="shared" ref="L997:Q997" si="1163">+L998+L999</f>
        <v>4367490</v>
      </c>
      <c r="M997" s="292">
        <f t="shared" si="1163"/>
        <v>8203516</v>
      </c>
      <c r="N997" s="292">
        <f t="shared" si="1163"/>
        <v>7081928</v>
      </c>
      <c r="O997" s="292">
        <f t="shared" si="1163"/>
        <v>14703611</v>
      </c>
      <c r="P997" s="292">
        <f t="shared" si="1163"/>
        <v>10346302</v>
      </c>
      <c r="Q997" s="292">
        <f t="shared" si="1163"/>
        <v>8841771</v>
      </c>
      <c r="R997" s="276">
        <f t="shared" si="1100"/>
        <v>53544618</v>
      </c>
      <c r="S997" s="292">
        <f t="shared" ref="S997:Z997" si="1164">+S998+S999</f>
        <v>29056895.66</v>
      </c>
      <c r="T997" s="292">
        <f t="shared" si="1164"/>
        <v>6712040</v>
      </c>
      <c r="U997" s="292">
        <f t="shared" si="1164"/>
        <v>23325904</v>
      </c>
      <c r="V997" s="292">
        <f t="shared" si="1164"/>
        <v>11358921</v>
      </c>
      <c r="W997" s="292">
        <f t="shared" si="1164"/>
        <v>13940654.85</v>
      </c>
      <c r="X997" s="292">
        <f t="shared" si="1164"/>
        <v>67078848</v>
      </c>
      <c r="Y997" s="292">
        <f t="shared" si="1164"/>
        <v>3.7252902984619141E-9</v>
      </c>
      <c r="Z997" s="292">
        <f t="shared" si="1164"/>
        <v>0</v>
      </c>
      <c r="AA997" s="276">
        <f t="shared" si="1161"/>
        <v>151473263.50999999</v>
      </c>
      <c r="AB997" s="402">
        <f t="shared" si="1089"/>
        <v>205017881.50999999</v>
      </c>
      <c r="AC997" s="321">
        <f t="shared" si="1090"/>
        <v>1.384571460036375</v>
      </c>
    </row>
    <row r="998" spans="1:29" ht="14.25" hidden="1" x14ac:dyDescent="0.2">
      <c r="A998" s="424"/>
      <c r="B998" s="323" t="s">
        <v>1081</v>
      </c>
      <c r="C998" s="206" t="s">
        <v>378</v>
      </c>
      <c r="D998" s="303">
        <v>135073167.34999999</v>
      </c>
      <c r="E998" s="325">
        <f>SUM('ADICIONES  2021'!C998:N998)</f>
        <v>0</v>
      </c>
      <c r="F998" s="290"/>
      <c r="G998" s="290"/>
      <c r="H998" s="290"/>
      <c r="I998" s="290"/>
      <c r="J998" s="290"/>
      <c r="K998" s="281">
        <f t="shared" si="1139"/>
        <v>135073167.34999999</v>
      </c>
      <c r="L998" s="290">
        <v>4367490</v>
      </c>
      <c r="M998" s="290">
        <v>8203516</v>
      </c>
      <c r="N998" s="290">
        <v>7081928</v>
      </c>
      <c r="O998" s="290">
        <v>14703611</v>
      </c>
      <c r="P998" s="290">
        <v>10346302</v>
      </c>
      <c r="Q998" s="290">
        <v>8841771</v>
      </c>
      <c r="R998" s="281">
        <f t="shared" si="1100"/>
        <v>53544618</v>
      </c>
      <c r="S998" s="290">
        <v>29056895.66</v>
      </c>
      <c r="T998" s="290">
        <v>6712040</v>
      </c>
      <c r="U998" s="290">
        <v>23325904</v>
      </c>
      <c r="V998" s="290">
        <v>11358921</v>
      </c>
      <c r="W998" s="290">
        <v>13940654.85</v>
      </c>
      <c r="X998" s="290">
        <v>56944714.159999996</v>
      </c>
      <c r="Y998" s="290">
        <v>-2865866.1599999964</v>
      </c>
      <c r="Z998" s="290"/>
      <c r="AA998" s="281">
        <f t="shared" si="1101"/>
        <v>138473263.50999999</v>
      </c>
      <c r="AB998" s="403">
        <f t="shared" si="1089"/>
        <v>192017881.50999999</v>
      </c>
      <c r="AC998" s="326">
        <f t="shared" si="1090"/>
        <v>1.4215842071167659</v>
      </c>
    </row>
    <row r="999" spans="1:29" ht="14.25" hidden="1" x14ac:dyDescent="0.2">
      <c r="A999" s="424"/>
      <c r="B999" s="323" t="s">
        <v>1081</v>
      </c>
      <c r="C999" s="206" t="s">
        <v>378</v>
      </c>
      <c r="D999" s="303"/>
      <c r="E999" s="325">
        <f>SUM('ADICIONES  2021'!C999:N999)</f>
        <v>13000000</v>
      </c>
      <c r="F999" s="290"/>
      <c r="G999" s="290"/>
      <c r="H999" s="290"/>
      <c r="I999" s="290"/>
      <c r="J999" s="290"/>
      <c r="K999" s="281">
        <f t="shared" si="1139"/>
        <v>13000000</v>
      </c>
      <c r="L999" s="290"/>
      <c r="M999" s="290"/>
      <c r="N999" s="290"/>
      <c r="O999" s="290"/>
      <c r="P999" s="290"/>
      <c r="Q999" s="290"/>
      <c r="R999" s="281">
        <f t="shared" si="1100"/>
        <v>0</v>
      </c>
      <c r="S999" s="290"/>
      <c r="T999" s="290"/>
      <c r="U999" s="290"/>
      <c r="V999" s="290"/>
      <c r="W999" s="290"/>
      <c r="X999" s="290">
        <v>10134133.84</v>
      </c>
      <c r="Y999" s="290">
        <v>2865866.16</v>
      </c>
      <c r="Z999" s="290"/>
      <c r="AA999" s="281">
        <f t="shared" ref="AA999" si="1165">SUM(S999:Z999)</f>
        <v>13000000</v>
      </c>
      <c r="AB999" s="403">
        <f t="shared" si="1089"/>
        <v>13000000</v>
      </c>
      <c r="AC999" s="326">
        <f t="shared" si="1090"/>
        <v>1</v>
      </c>
    </row>
    <row r="1000" spans="1:29" s="138" customFormat="1" ht="19.5" x14ac:dyDescent="0.2">
      <c r="A1000" s="137">
        <v>1</v>
      </c>
      <c r="B1000" s="343" t="s">
        <v>697</v>
      </c>
      <c r="C1000" s="344" t="s">
        <v>1082</v>
      </c>
      <c r="D1000" s="293">
        <f>+D1001+D1015+D1027+D1010+D1078</f>
        <v>2493812498.7199998</v>
      </c>
      <c r="E1000" s="320">
        <f>SUM('ADICIONES  2021'!C1000:N1000)</f>
        <v>32314683676.32</v>
      </c>
      <c r="F1000" s="293">
        <f t="shared" ref="F1000:J1000" si="1166">+F1001+F1015+F1027+F1010+F1078</f>
        <v>29906238.68</v>
      </c>
      <c r="G1000" s="293">
        <f t="shared" si="1166"/>
        <v>0</v>
      </c>
      <c r="H1000" s="293">
        <f t="shared" si="1166"/>
        <v>0</v>
      </c>
      <c r="I1000" s="293">
        <f t="shared" si="1166"/>
        <v>0</v>
      </c>
      <c r="J1000" s="293">
        <f t="shared" si="1166"/>
        <v>0</v>
      </c>
      <c r="K1000" s="285">
        <f t="shared" si="1139"/>
        <v>34778589936.360001</v>
      </c>
      <c r="L1000" s="293">
        <f t="shared" ref="L1000:Q1000" si="1167">+L1001+L1015+L1027+L1010+L1078</f>
        <v>224739699.27000001</v>
      </c>
      <c r="M1000" s="293">
        <f t="shared" si="1167"/>
        <v>203500624.38</v>
      </c>
      <c r="N1000" s="293">
        <f t="shared" si="1167"/>
        <v>440453209.22000003</v>
      </c>
      <c r="O1000" s="293">
        <f t="shared" si="1167"/>
        <v>159052299.30000001</v>
      </c>
      <c r="P1000" s="293">
        <f t="shared" si="1167"/>
        <v>21031715987.380001</v>
      </c>
      <c r="Q1000" s="293">
        <f t="shared" si="1167"/>
        <v>136531178.78999999</v>
      </c>
      <c r="R1000" s="285">
        <f t="shared" si="1100"/>
        <v>22195992998.340004</v>
      </c>
      <c r="S1000" s="293">
        <f t="shared" ref="S1000:Z1000" si="1168">+S1001+S1015+S1027+S1010+S1078</f>
        <v>157007195.66</v>
      </c>
      <c r="T1000" s="293">
        <f t="shared" si="1168"/>
        <v>148371682.42000002</v>
      </c>
      <c r="U1000" s="293">
        <f t="shared" si="1168"/>
        <v>179691297.13</v>
      </c>
      <c r="V1000" s="293">
        <f t="shared" si="1168"/>
        <v>287136340.31999999</v>
      </c>
      <c r="W1000" s="293">
        <f t="shared" si="1168"/>
        <v>240645073.31</v>
      </c>
      <c r="X1000" s="293">
        <f t="shared" si="1168"/>
        <v>311553905.62</v>
      </c>
      <c r="Y1000" s="293">
        <f t="shared" si="1168"/>
        <v>4.4703483581542969E-8</v>
      </c>
      <c r="Z1000" s="293">
        <f t="shared" si="1168"/>
        <v>0</v>
      </c>
      <c r="AA1000" s="285">
        <f t="shared" si="1101"/>
        <v>1324405494.46</v>
      </c>
      <c r="AB1000" s="407">
        <f t="shared" si="1089"/>
        <v>23520398492.800003</v>
      </c>
      <c r="AC1000" s="354">
        <f t="shared" si="1090"/>
        <v>0.67628959471442263</v>
      </c>
    </row>
    <row r="1001" spans="1:29" s="19" customFormat="1" x14ac:dyDescent="0.2">
      <c r="A1001" s="429">
        <v>1</v>
      </c>
      <c r="B1001" s="323" t="s">
        <v>1083</v>
      </c>
      <c r="C1001" s="206" t="s">
        <v>1084</v>
      </c>
      <c r="D1001" s="292">
        <f>+D1002</f>
        <v>1685667209.54</v>
      </c>
      <c r="E1001" s="322">
        <f>SUM('ADICIONES  2021'!C1001:N1001)</f>
        <v>0</v>
      </c>
      <c r="F1001" s="289"/>
      <c r="G1001" s="289">
        <f t="shared" ref="G1001:J1001" si="1169">+G1002</f>
        <v>0</v>
      </c>
      <c r="H1001" s="289">
        <f t="shared" si="1169"/>
        <v>0</v>
      </c>
      <c r="I1001" s="289">
        <f t="shared" si="1169"/>
        <v>0</v>
      </c>
      <c r="J1001" s="289">
        <f t="shared" si="1169"/>
        <v>0</v>
      </c>
      <c r="K1001" s="281">
        <f t="shared" si="1139"/>
        <v>1685667209.54</v>
      </c>
      <c r="L1001" s="289">
        <f t="shared" ref="L1001:Q1001" si="1170">+L1002</f>
        <v>56312530.270000003</v>
      </c>
      <c r="M1001" s="289">
        <f t="shared" si="1170"/>
        <v>37317906.380000003</v>
      </c>
      <c r="N1001" s="289">
        <f t="shared" si="1170"/>
        <v>45177503.219999999</v>
      </c>
      <c r="O1001" s="289">
        <f t="shared" si="1170"/>
        <v>41121837.299999997</v>
      </c>
      <c r="P1001" s="289">
        <f t="shared" si="1170"/>
        <v>49957920.059999995</v>
      </c>
      <c r="Q1001" s="289">
        <f t="shared" si="1170"/>
        <v>53418107.720000006</v>
      </c>
      <c r="R1001" s="281">
        <f t="shared" si="1100"/>
        <v>283305804.95000005</v>
      </c>
      <c r="S1001" s="290">
        <f t="shared" ref="S1001:Z1001" si="1171">+S1002</f>
        <v>50107493.560000002</v>
      </c>
      <c r="T1001" s="290">
        <f t="shared" si="1171"/>
        <v>41309737.420000002</v>
      </c>
      <c r="U1001" s="290">
        <f t="shared" si="1171"/>
        <v>31064562.130000003</v>
      </c>
      <c r="V1001" s="290">
        <f t="shared" si="1171"/>
        <v>56305217.32</v>
      </c>
      <c r="W1001" s="290">
        <f t="shared" si="1171"/>
        <v>61403715.150000006</v>
      </c>
      <c r="X1001" s="290">
        <f t="shared" si="1171"/>
        <v>116589504.3</v>
      </c>
      <c r="Y1001" s="290">
        <f t="shared" si="1171"/>
        <v>0</v>
      </c>
      <c r="Z1001" s="289">
        <f t="shared" si="1171"/>
        <v>0</v>
      </c>
      <c r="AA1001" s="276">
        <f t="shared" si="1101"/>
        <v>356780229.88</v>
      </c>
      <c r="AB1001" s="403">
        <f t="shared" si="1089"/>
        <v>640086034.83000004</v>
      </c>
      <c r="AC1001" s="326">
        <f t="shared" si="1090"/>
        <v>0.3797226589017369</v>
      </c>
    </row>
    <row r="1002" spans="1:29" s="61" customFormat="1" ht="15.75" hidden="1" x14ac:dyDescent="0.2">
      <c r="A1002" s="425"/>
      <c r="B1002" s="318" t="s">
        <v>709</v>
      </c>
      <c r="C1002" s="319" t="s">
        <v>1085</v>
      </c>
      <c r="D1002" s="292">
        <f>+D1003+D1006</f>
        <v>1685667209.54</v>
      </c>
      <c r="E1002" s="322">
        <f>SUM('ADICIONES  2021'!C1002:N1002)</f>
        <v>0</v>
      </c>
      <c r="F1002" s="289"/>
      <c r="G1002" s="289">
        <f t="shared" ref="G1002:J1002" si="1172">+G1003+G1006</f>
        <v>0</v>
      </c>
      <c r="H1002" s="289">
        <f t="shared" si="1172"/>
        <v>0</v>
      </c>
      <c r="I1002" s="289">
        <f t="shared" si="1172"/>
        <v>0</v>
      </c>
      <c r="J1002" s="289">
        <f t="shared" si="1172"/>
        <v>0</v>
      </c>
      <c r="K1002" s="276">
        <f t="shared" si="1139"/>
        <v>1685667209.54</v>
      </c>
      <c r="L1002" s="289">
        <f t="shared" ref="L1002:Q1002" si="1173">+L1003+L1006</f>
        <v>56312530.270000003</v>
      </c>
      <c r="M1002" s="289">
        <f t="shared" si="1173"/>
        <v>37317906.380000003</v>
      </c>
      <c r="N1002" s="289">
        <f t="shared" si="1173"/>
        <v>45177503.219999999</v>
      </c>
      <c r="O1002" s="289">
        <f t="shared" si="1173"/>
        <v>41121837.299999997</v>
      </c>
      <c r="P1002" s="289">
        <f t="shared" si="1173"/>
        <v>49957920.059999995</v>
      </c>
      <c r="Q1002" s="289">
        <f t="shared" si="1173"/>
        <v>53418107.720000006</v>
      </c>
      <c r="R1002" s="276">
        <f t="shared" si="1100"/>
        <v>283305804.95000005</v>
      </c>
      <c r="S1002" s="289">
        <f t="shared" ref="S1002:Z1002" si="1174">+S1003+S1006</f>
        <v>50107493.560000002</v>
      </c>
      <c r="T1002" s="289">
        <f t="shared" si="1174"/>
        <v>41309737.420000002</v>
      </c>
      <c r="U1002" s="289">
        <f t="shared" si="1174"/>
        <v>31064562.130000003</v>
      </c>
      <c r="V1002" s="289">
        <f t="shared" si="1174"/>
        <v>56305217.32</v>
      </c>
      <c r="W1002" s="289">
        <f t="shared" si="1174"/>
        <v>61403715.150000006</v>
      </c>
      <c r="X1002" s="289">
        <f t="shared" si="1174"/>
        <v>116589504.3</v>
      </c>
      <c r="Y1002" s="289">
        <f t="shared" si="1174"/>
        <v>0</v>
      </c>
      <c r="Z1002" s="289">
        <f t="shared" si="1174"/>
        <v>0</v>
      </c>
      <c r="AA1002" s="276">
        <f t="shared" si="1101"/>
        <v>356780229.88</v>
      </c>
      <c r="AB1002" s="402">
        <f t="shared" si="1089"/>
        <v>640086034.83000004</v>
      </c>
      <c r="AC1002" s="321">
        <f t="shared" si="1090"/>
        <v>0.3797226589017369</v>
      </c>
    </row>
    <row r="1003" spans="1:29" s="61" customFormat="1" ht="25.5" hidden="1" x14ac:dyDescent="0.2">
      <c r="A1003" s="425"/>
      <c r="B1003" s="318" t="s">
        <v>711</v>
      </c>
      <c r="C1003" s="319" t="s">
        <v>1086</v>
      </c>
      <c r="D1003" s="292">
        <f>SUM(D1004:D1005)</f>
        <v>183049846.41000003</v>
      </c>
      <c r="E1003" s="322">
        <f>SUM('ADICIONES  2021'!C1003:N1003)</f>
        <v>0</v>
      </c>
      <c r="F1003" s="289"/>
      <c r="G1003" s="289">
        <f t="shared" ref="G1003:J1003" si="1175">SUM(G1004:G1005)</f>
        <v>0</v>
      </c>
      <c r="H1003" s="289">
        <f t="shared" si="1175"/>
        <v>0</v>
      </c>
      <c r="I1003" s="289">
        <f t="shared" si="1175"/>
        <v>0</v>
      </c>
      <c r="J1003" s="289">
        <f t="shared" si="1175"/>
        <v>0</v>
      </c>
      <c r="K1003" s="276">
        <f t="shared" si="1139"/>
        <v>183049846.41000003</v>
      </c>
      <c r="L1003" s="289">
        <f t="shared" ref="L1003:Q1003" si="1176">SUM(L1004:L1005)</f>
        <v>6829845.0599999996</v>
      </c>
      <c r="M1003" s="289">
        <f t="shared" si="1176"/>
        <v>5955263.1699999999</v>
      </c>
      <c r="N1003" s="289">
        <f t="shared" si="1176"/>
        <v>7584087.0099999998</v>
      </c>
      <c r="O1003" s="289">
        <f t="shared" si="1176"/>
        <v>7598143.8200000003</v>
      </c>
      <c r="P1003" s="289">
        <f t="shared" si="1176"/>
        <v>7259464.1900000004</v>
      </c>
      <c r="Q1003" s="289">
        <f t="shared" si="1176"/>
        <v>5632605.29</v>
      </c>
      <c r="R1003" s="276">
        <f t="shared" si="1100"/>
        <v>40859408.539999999</v>
      </c>
      <c r="S1003" s="289">
        <f t="shared" ref="S1003:Z1003" si="1177">SUM(S1004:S1005)</f>
        <v>6708670.3499999996</v>
      </c>
      <c r="T1003" s="289">
        <f t="shared" si="1177"/>
        <v>6849008.3499999996</v>
      </c>
      <c r="U1003" s="289">
        <f t="shared" si="1177"/>
        <v>6725200.4700000007</v>
      </c>
      <c r="V1003" s="289">
        <f t="shared" si="1177"/>
        <v>7261897.7800000003</v>
      </c>
      <c r="W1003" s="289">
        <f t="shared" si="1177"/>
        <v>9779466.4499999993</v>
      </c>
      <c r="X1003" s="289">
        <f t="shared" si="1177"/>
        <v>8649779.629999999</v>
      </c>
      <c r="Y1003" s="289">
        <f t="shared" si="1177"/>
        <v>0</v>
      </c>
      <c r="Z1003" s="289">
        <f t="shared" si="1177"/>
        <v>0</v>
      </c>
      <c r="AA1003" s="276">
        <f t="shared" si="1101"/>
        <v>45974023.030000001</v>
      </c>
      <c r="AB1003" s="402">
        <f t="shared" si="1089"/>
        <v>86833431.569999993</v>
      </c>
      <c r="AC1003" s="321">
        <f t="shared" si="1090"/>
        <v>0.47437041479678771</v>
      </c>
    </row>
    <row r="1004" spans="1:29" ht="25.5" hidden="1" x14ac:dyDescent="0.2">
      <c r="A1004" s="424"/>
      <c r="B1004" s="323" t="s">
        <v>1087</v>
      </c>
      <c r="C1004" s="206" t="s">
        <v>1088</v>
      </c>
      <c r="D1004" s="303">
        <v>144875151.55000001</v>
      </c>
      <c r="E1004" s="325">
        <f>SUM('ADICIONES  2021'!C1004:N1004)</f>
        <v>0</v>
      </c>
      <c r="F1004" s="290"/>
      <c r="G1004" s="290"/>
      <c r="H1004" s="290"/>
      <c r="I1004" s="290"/>
      <c r="J1004" s="290"/>
      <c r="K1004" s="281">
        <f t="shared" si="1139"/>
        <v>144875151.55000001</v>
      </c>
      <c r="L1004" s="290">
        <v>4323277.0599999996</v>
      </c>
      <c r="M1004" s="290">
        <v>3755364.17</v>
      </c>
      <c r="N1004" s="290">
        <v>5072835.01</v>
      </c>
      <c r="O1004" s="290">
        <v>5274570.82</v>
      </c>
      <c r="P1004" s="290">
        <v>4682118.1900000004</v>
      </c>
      <c r="Q1004" s="290">
        <v>3291854.29</v>
      </c>
      <c r="R1004" s="281">
        <f t="shared" si="1100"/>
        <v>26400019.539999999</v>
      </c>
      <c r="S1004" s="290">
        <v>4214700.3499999996</v>
      </c>
      <c r="T1004" s="290">
        <v>4172855.35</v>
      </c>
      <c r="U1004" s="290">
        <v>4146502.47</v>
      </c>
      <c r="V1004" s="290">
        <v>4610307.78</v>
      </c>
      <c r="W1004" s="290">
        <v>7079062.4500000002</v>
      </c>
      <c r="X1004" s="290">
        <v>5688696.6299999999</v>
      </c>
      <c r="Y1004" s="290"/>
      <c r="Z1004" s="290"/>
      <c r="AA1004" s="281">
        <f t="shared" ref="AA1004" si="1178">SUM(S1004:Z1004)</f>
        <v>29912125.029999997</v>
      </c>
      <c r="AB1004" s="403">
        <f t="shared" si="1089"/>
        <v>56312144.569999993</v>
      </c>
      <c r="AC1004" s="326">
        <f t="shared" si="1090"/>
        <v>0.38869429275844641</v>
      </c>
    </row>
    <row r="1005" spans="1:29" ht="25.5" hidden="1" x14ac:dyDescent="0.2">
      <c r="A1005" s="424"/>
      <c r="B1005" s="323" t="s">
        <v>1087</v>
      </c>
      <c r="C1005" s="206" t="s">
        <v>1088</v>
      </c>
      <c r="D1005" s="303">
        <v>38174694.859999999</v>
      </c>
      <c r="E1005" s="325">
        <f>SUM('ADICIONES  2021'!C1005:N1005)</f>
        <v>0</v>
      </c>
      <c r="F1005" s="290"/>
      <c r="G1005" s="290"/>
      <c r="H1005" s="290"/>
      <c r="I1005" s="290"/>
      <c r="J1005" s="290"/>
      <c r="K1005" s="281">
        <f t="shared" si="1139"/>
        <v>38174694.859999999</v>
      </c>
      <c r="L1005" s="290">
        <v>2506568</v>
      </c>
      <c r="M1005" s="290">
        <v>2199899</v>
      </c>
      <c r="N1005" s="290">
        <v>2511252</v>
      </c>
      <c r="O1005" s="290">
        <v>2323573</v>
      </c>
      <c r="P1005" s="290">
        <v>2577346</v>
      </c>
      <c r="Q1005" s="290">
        <v>2340751</v>
      </c>
      <c r="R1005" s="281">
        <f t="shared" si="1100"/>
        <v>14459389</v>
      </c>
      <c r="S1005" s="290">
        <v>2493970</v>
      </c>
      <c r="T1005" s="290">
        <v>2676153</v>
      </c>
      <c r="U1005" s="290">
        <v>2578698</v>
      </c>
      <c r="V1005" s="290">
        <v>2651590</v>
      </c>
      <c r="W1005" s="290">
        <v>2700404</v>
      </c>
      <c r="X1005" s="290">
        <v>2961083</v>
      </c>
      <c r="Y1005" s="290"/>
      <c r="Z1005" s="290"/>
      <c r="AA1005" s="281">
        <f t="shared" si="1101"/>
        <v>16061898</v>
      </c>
      <c r="AB1005" s="403">
        <f t="shared" si="1089"/>
        <v>30521287</v>
      </c>
      <c r="AC1005" s="326">
        <f t="shared" si="1090"/>
        <v>0.79951620076944341</v>
      </c>
    </row>
    <row r="1006" spans="1:29" s="61" customFormat="1" ht="25.5" hidden="1" x14ac:dyDescent="0.2">
      <c r="A1006" s="425"/>
      <c r="B1006" s="318" t="s">
        <v>712</v>
      </c>
      <c r="C1006" s="319" t="s">
        <v>377</v>
      </c>
      <c r="D1006" s="292">
        <f>SUM(D1007:D1009)</f>
        <v>1502617363.1299999</v>
      </c>
      <c r="E1006" s="322">
        <f>SUM('ADICIONES  2021'!C1006:N1006)</f>
        <v>0</v>
      </c>
      <c r="F1006" s="289"/>
      <c r="G1006" s="289">
        <f t="shared" ref="G1006:J1006" si="1179">SUM(G1007:G1009)</f>
        <v>0</v>
      </c>
      <c r="H1006" s="289">
        <f t="shared" si="1179"/>
        <v>0</v>
      </c>
      <c r="I1006" s="289">
        <f t="shared" si="1179"/>
        <v>0</v>
      </c>
      <c r="J1006" s="289">
        <f t="shared" si="1179"/>
        <v>0</v>
      </c>
      <c r="K1006" s="276">
        <f t="shared" si="1139"/>
        <v>1502617363.1299999</v>
      </c>
      <c r="L1006" s="289">
        <f t="shared" ref="L1006:Q1006" si="1180">SUM(L1007:L1009)</f>
        <v>49482685.210000001</v>
      </c>
      <c r="M1006" s="289">
        <f t="shared" si="1180"/>
        <v>31362643.210000001</v>
      </c>
      <c r="N1006" s="289">
        <f t="shared" si="1180"/>
        <v>37593416.210000001</v>
      </c>
      <c r="O1006" s="289">
        <f t="shared" si="1180"/>
        <v>33523693.48</v>
      </c>
      <c r="P1006" s="289">
        <f t="shared" si="1180"/>
        <v>42698455.869999997</v>
      </c>
      <c r="Q1006" s="289">
        <f t="shared" si="1180"/>
        <v>47785502.430000007</v>
      </c>
      <c r="R1006" s="276">
        <f t="shared" si="1100"/>
        <v>242446396.41</v>
      </c>
      <c r="S1006" s="289">
        <f t="shared" ref="S1006:Z1006" si="1181">SUM(S1007:S1009)</f>
        <v>43398823.210000001</v>
      </c>
      <c r="T1006" s="289">
        <f t="shared" si="1181"/>
        <v>34460729.07</v>
      </c>
      <c r="U1006" s="289">
        <f t="shared" si="1181"/>
        <v>24339361.66</v>
      </c>
      <c r="V1006" s="289">
        <f t="shared" si="1181"/>
        <v>49043319.539999999</v>
      </c>
      <c r="W1006" s="289">
        <f t="shared" si="1181"/>
        <v>51624248.700000003</v>
      </c>
      <c r="X1006" s="289">
        <f t="shared" si="1181"/>
        <v>107939724.67</v>
      </c>
      <c r="Y1006" s="289">
        <f t="shared" si="1181"/>
        <v>0</v>
      </c>
      <c r="Z1006" s="289">
        <f t="shared" si="1181"/>
        <v>0</v>
      </c>
      <c r="AA1006" s="276">
        <f t="shared" si="1101"/>
        <v>310806206.85000002</v>
      </c>
      <c r="AB1006" s="402">
        <f t="shared" si="1089"/>
        <v>553252603.25999999</v>
      </c>
      <c r="AC1006" s="321">
        <f t="shared" si="1090"/>
        <v>0.36819260633828771</v>
      </c>
    </row>
    <row r="1007" spans="1:29" ht="25.5" hidden="1" x14ac:dyDescent="0.2">
      <c r="A1007" s="424"/>
      <c r="B1007" s="323" t="s">
        <v>1089</v>
      </c>
      <c r="C1007" s="206" t="s">
        <v>1090</v>
      </c>
      <c r="D1007" s="303">
        <v>633812294.71000004</v>
      </c>
      <c r="E1007" s="325">
        <f>SUM('ADICIONES  2021'!C1007:N1007)</f>
        <v>0</v>
      </c>
      <c r="F1007" s="290"/>
      <c r="G1007" s="290"/>
      <c r="H1007" s="290"/>
      <c r="I1007" s="290"/>
      <c r="J1007" s="290"/>
      <c r="K1007" s="281">
        <f t="shared" si="1139"/>
        <v>633812294.71000004</v>
      </c>
      <c r="L1007" s="290">
        <v>25563094.710000001</v>
      </c>
      <c r="M1007" s="290">
        <v>12874376.550000001</v>
      </c>
      <c r="N1007" s="290">
        <v>14411557.800000001</v>
      </c>
      <c r="O1007" s="290">
        <v>12111956.460000001</v>
      </c>
      <c r="P1007" s="290">
        <v>15502177.789999999</v>
      </c>
      <c r="Q1007" s="290">
        <v>14591829.59</v>
      </c>
      <c r="R1007" s="281">
        <f t="shared" si="1100"/>
        <v>95054992.900000006</v>
      </c>
      <c r="S1007" s="290">
        <v>15685812.49</v>
      </c>
      <c r="T1007" s="290">
        <v>13633974.07</v>
      </c>
      <c r="U1007" s="290">
        <v>14946061.050000001</v>
      </c>
      <c r="V1007" s="290">
        <v>23798542.280000001</v>
      </c>
      <c r="W1007" s="290">
        <v>27637951.760000002</v>
      </c>
      <c r="X1007" s="290">
        <v>85929133.620000005</v>
      </c>
      <c r="Y1007" s="290"/>
      <c r="Z1007" s="290"/>
      <c r="AA1007" s="281">
        <f t="shared" si="1101"/>
        <v>181631475.27000001</v>
      </c>
      <c r="AB1007" s="403">
        <f t="shared" si="1089"/>
        <v>276686468.17000002</v>
      </c>
      <c r="AC1007" s="326">
        <f t="shared" si="1090"/>
        <v>0.4365432328771684</v>
      </c>
    </row>
    <row r="1008" spans="1:29" ht="25.5" hidden="1" x14ac:dyDescent="0.2">
      <c r="A1008" s="424"/>
      <c r="B1008" s="323" t="s">
        <v>1091</v>
      </c>
      <c r="C1008" s="206" t="s">
        <v>1092</v>
      </c>
      <c r="D1008" s="303">
        <v>576116165.13999999</v>
      </c>
      <c r="E1008" s="325">
        <f>SUM('ADICIONES  2021'!C1008:N1008)</f>
        <v>0</v>
      </c>
      <c r="F1008" s="290"/>
      <c r="G1008" s="290"/>
      <c r="H1008" s="290"/>
      <c r="I1008" s="290"/>
      <c r="J1008" s="290"/>
      <c r="K1008" s="281">
        <f t="shared" si="1139"/>
        <v>576116165.13999999</v>
      </c>
      <c r="L1008" s="290">
        <v>13697602</v>
      </c>
      <c r="M1008" s="290">
        <v>11695730</v>
      </c>
      <c r="N1008" s="290">
        <v>13880148</v>
      </c>
      <c r="O1008" s="290">
        <v>13386520</v>
      </c>
      <c r="P1008" s="290">
        <v>18100060</v>
      </c>
      <c r="Q1008" s="290">
        <v>23858155</v>
      </c>
      <c r="R1008" s="281">
        <f t="shared" si="1100"/>
        <v>94618215</v>
      </c>
      <c r="S1008" s="290">
        <v>18540175</v>
      </c>
      <c r="T1008" s="290">
        <v>11373829</v>
      </c>
      <c r="U1008" s="290">
        <v>0</v>
      </c>
      <c r="V1008" s="290">
        <v>15234500</v>
      </c>
      <c r="W1008" s="290">
        <v>9537142</v>
      </c>
      <c r="X1008" s="290">
        <v>7291657</v>
      </c>
      <c r="Y1008" s="290"/>
      <c r="Z1008" s="290"/>
      <c r="AA1008" s="281">
        <f t="shared" si="1101"/>
        <v>61977303</v>
      </c>
      <c r="AB1008" s="403">
        <f t="shared" si="1089"/>
        <v>156595518</v>
      </c>
      <c r="AC1008" s="326">
        <f t="shared" si="1090"/>
        <v>0.27181240082361907</v>
      </c>
    </row>
    <row r="1009" spans="1:29" ht="25.5" hidden="1" x14ac:dyDescent="0.2">
      <c r="A1009" s="424"/>
      <c r="B1009" s="323" t="s">
        <v>1093</v>
      </c>
      <c r="C1009" s="206" t="s">
        <v>1094</v>
      </c>
      <c r="D1009" s="303">
        <v>292688903.27999997</v>
      </c>
      <c r="E1009" s="325">
        <f>SUM('ADICIONES  2021'!C1009:N1009)</f>
        <v>0</v>
      </c>
      <c r="F1009" s="290"/>
      <c r="G1009" s="290"/>
      <c r="H1009" s="290"/>
      <c r="I1009" s="290"/>
      <c r="J1009" s="290"/>
      <c r="K1009" s="281">
        <f t="shared" si="1139"/>
        <v>292688903.27999997</v>
      </c>
      <c r="L1009" s="290">
        <v>10221988.5</v>
      </c>
      <c r="M1009" s="290">
        <v>6792536.6600000001</v>
      </c>
      <c r="N1009" s="290">
        <v>9301710.4100000001</v>
      </c>
      <c r="O1009" s="290">
        <v>8025217.0199999996</v>
      </c>
      <c r="P1009" s="290">
        <v>9096218.0800000001</v>
      </c>
      <c r="Q1009" s="290">
        <v>9335517.8399999999</v>
      </c>
      <c r="R1009" s="281">
        <f t="shared" si="1100"/>
        <v>52773188.510000005</v>
      </c>
      <c r="S1009" s="290">
        <v>9172835.7200000007</v>
      </c>
      <c r="T1009" s="290">
        <v>9452926</v>
      </c>
      <c r="U1009" s="290">
        <v>9393300.6099999994</v>
      </c>
      <c r="V1009" s="290">
        <v>10010277.26</v>
      </c>
      <c r="W1009" s="290">
        <v>14449154.939999999</v>
      </c>
      <c r="X1009" s="290">
        <v>14718934.050000001</v>
      </c>
      <c r="Y1009" s="290"/>
      <c r="Z1009" s="290"/>
      <c r="AA1009" s="281">
        <f t="shared" si="1101"/>
        <v>67197428.579999998</v>
      </c>
      <c r="AB1009" s="403">
        <f t="shared" si="1089"/>
        <v>119970617.09</v>
      </c>
      <c r="AC1009" s="326">
        <f t="shared" si="1090"/>
        <v>0.40989123860029114</v>
      </c>
    </row>
    <row r="1010" spans="1:29" s="19" customFormat="1" x14ac:dyDescent="0.2">
      <c r="A1010" s="429">
        <v>1</v>
      </c>
      <c r="B1010" s="323" t="s">
        <v>1221</v>
      </c>
      <c r="C1010" s="206" t="s">
        <v>1227</v>
      </c>
      <c r="D1010" s="292">
        <f>+D1011</f>
        <v>0</v>
      </c>
      <c r="E1010" s="322">
        <f>SUM('ADICIONES  2021'!C1010:N1010)</f>
        <v>10394589074</v>
      </c>
      <c r="F1010" s="289">
        <f t="shared" ref="F1010:J1011" si="1182">+F1011</f>
        <v>0</v>
      </c>
      <c r="G1010" s="289">
        <f t="shared" si="1182"/>
        <v>0</v>
      </c>
      <c r="H1010" s="289">
        <f t="shared" si="1182"/>
        <v>0</v>
      </c>
      <c r="I1010" s="289">
        <f t="shared" si="1182"/>
        <v>0</v>
      </c>
      <c r="J1010" s="289">
        <f t="shared" si="1182"/>
        <v>0</v>
      </c>
      <c r="K1010" s="281">
        <f t="shared" si="1139"/>
        <v>10394589074</v>
      </c>
      <c r="L1010" s="289">
        <f t="shared" ref="L1010:Q1011" si="1183">+L1011</f>
        <v>0</v>
      </c>
      <c r="M1010" s="289">
        <f t="shared" si="1183"/>
        <v>0</v>
      </c>
      <c r="N1010" s="289">
        <f t="shared" si="1183"/>
        <v>0</v>
      </c>
      <c r="O1010" s="289">
        <f t="shared" si="1183"/>
        <v>0</v>
      </c>
      <c r="P1010" s="289">
        <f t="shared" si="1183"/>
        <v>0</v>
      </c>
      <c r="Q1010" s="289">
        <f t="shared" si="1183"/>
        <v>0</v>
      </c>
      <c r="R1010" s="281">
        <f t="shared" si="1100"/>
        <v>0</v>
      </c>
      <c r="S1010" s="290">
        <f t="shared" ref="S1010:Z1011" si="1184">+S1011</f>
        <v>0</v>
      </c>
      <c r="T1010" s="290">
        <f t="shared" si="1184"/>
        <v>0</v>
      </c>
      <c r="U1010" s="290">
        <f t="shared" si="1184"/>
        <v>0</v>
      </c>
      <c r="V1010" s="290">
        <f t="shared" si="1184"/>
        <v>0</v>
      </c>
      <c r="W1010" s="290">
        <f t="shared" si="1184"/>
        <v>0</v>
      </c>
      <c r="X1010" s="290">
        <f t="shared" si="1184"/>
        <v>0</v>
      </c>
      <c r="Y1010" s="290">
        <f t="shared" si="1184"/>
        <v>0</v>
      </c>
      <c r="Z1010" s="289">
        <f t="shared" si="1184"/>
        <v>0</v>
      </c>
      <c r="AA1010" s="276">
        <f t="shared" ref="AA1010:AA1014" si="1185">SUM(S1010:Z1010)</f>
        <v>0</v>
      </c>
      <c r="AB1010" s="403">
        <f t="shared" si="1089"/>
        <v>0</v>
      </c>
      <c r="AC1010" s="326">
        <f t="shared" si="1090"/>
        <v>0</v>
      </c>
    </row>
    <row r="1011" spans="1:29" s="61" customFormat="1" ht="15.75" hidden="1" x14ac:dyDescent="0.2">
      <c r="A1011" s="425"/>
      <c r="B1011" s="318" t="s">
        <v>1223</v>
      </c>
      <c r="C1011" s="319" t="s">
        <v>1224</v>
      </c>
      <c r="D1011" s="292">
        <f>+D1012</f>
        <v>0</v>
      </c>
      <c r="E1011" s="322">
        <f>SUM('ADICIONES  2021'!C1011:N1011)</f>
        <v>10394589074</v>
      </c>
      <c r="F1011" s="289">
        <f t="shared" si="1182"/>
        <v>0</v>
      </c>
      <c r="G1011" s="289">
        <f t="shared" si="1182"/>
        <v>0</v>
      </c>
      <c r="H1011" s="289">
        <f t="shared" si="1182"/>
        <v>0</v>
      </c>
      <c r="I1011" s="289">
        <f t="shared" si="1182"/>
        <v>0</v>
      </c>
      <c r="J1011" s="289">
        <f t="shared" si="1182"/>
        <v>0</v>
      </c>
      <c r="K1011" s="276">
        <f t="shared" si="1139"/>
        <v>10394589074</v>
      </c>
      <c r="L1011" s="289">
        <f t="shared" si="1183"/>
        <v>0</v>
      </c>
      <c r="M1011" s="289">
        <f t="shared" si="1183"/>
        <v>0</v>
      </c>
      <c r="N1011" s="289">
        <f t="shared" si="1183"/>
        <v>0</v>
      </c>
      <c r="O1011" s="289">
        <f t="shared" si="1183"/>
        <v>0</v>
      </c>
      <c r="P1011" s="289">
        <f t="shared" si="1183"/>
        <v>0</v>
      </c>
      <c r="Q1011" s="289">
        <f t="shared" si="1183"/>
        <v>0</v>
      </c>
      <c r="R1011" s="276">
        <f t="shared" si="1100"/>
        <v>0</v>
      </c>
      <c r="S1011" s="289">
        <f t="shared" si="1184"/>
        <v>0</v>
      </c>
      <c r="T1011" s="289">
        <f t="shared" si="1184"/>
        <v>0</v>
      </c>
      <c r="U1011" s="289">
        <f t="shared" si="1184"/>
        <v>0</v>
      </c>
      <c r="V1011" s="289">
        <f t="shared" si="1184"/>
        <v>0</v>
      </c>
      <c r="W1011" s="289">
        <f t="shared" si="1184"/>
        <v>0</v>
      </c>
      <c r="X1011" s="289">
        <f t="shared" si="1184"/>
        <v>0</v>
      </c>
      <c r="Y1011" s="289">
        <f t="shared" si="1184"/>
        <v>0</v>
      </c>
      <c r="Z1011" s="289">
        <f t="shared" si="1184"/>
        <v>0</v>
      </c>
      <c r="AA1011" s="276">
        <f t="shared" si="1185"/>
        <v>0</v>
      </c>
      <c r="AB1011" s="402">
        <f t="shared" si="1089"/>
        <v>0</v>
      </c>
      <c r="AC1011" s="321">
        <f t="shared" si="1090"/>
        <v>0</v>
      </c>
    </row>
    <row r="1012" spans="1:29" s="61" customFormat="1" ht="15.75" hidden="1" x14ac:dyDescent="0.2">
      <c r="A1012" s="425"/>
      <c r="B1012" s="318" t="s">
        <v>1225</v>
      </c>
      <c r="C1012" s="319" t="s">
        <v>1228</v>
      </c>
      <c r="D1012" s="292">
        <f>+D1013+D1014</f>
        <v>0</v>
      </c>
      <c r="E1012" s="322">
        <f>SUM('ADICIONES  2021'!C1012:N1012)</f>
        <v>10394589074</v>
      </c>
      <c r="F1012" s="292">
        <f t="shared" ref="F1012:J1012" si="1186">+F1013+F1014</f>
        <v>0</v>
      </c>
      <c r="G1012" s="292">
        <f t="shared" si="1186"/>
        <v>0</v>
      </c>
      <c r="H1012" s="292">
        <f t="shared" si="1186"/>
        <v>0</v>
      </c>
      <c r="I1012" s="292">
        <f t="shared" si="1186"/>
        <v>0</v>
      </c>
      <c r="J1012" s="292">
        <f t="shared" si="1186"/>
        <v>0</v>
      </c>
      <c r="K1012" s="276">
        <f t="shared" si="1139"/>
        <v>10394589074</v>
      </c>
      <c r="L1012" s="292">
        <f t="shared" ref="L1012:Q1012" si="1187">+L1013+L1014</f>
        <v>0</v>
      </c>
      <c r="M1012" s="292">
        <f t="shared" si="1187"/>
        <v>0</v>
      </c>
      <c r="N1012" s="292">
        <f t="shared" si="1187"/>
        <v>0</v>
      </c>
      <c r="O1012" s="292">
        <f t="shared" si="1187"/>
        <v>0</v>
      </c>
      <c r="P1012" s="292">
        <f t="shared" si="1187"/>
        <v>0</v>
      </c>
      <c r="Q1012" s="292">
        <f t="shared" si="1187"/>
        <v>0</v>
      </c>
      <c r="R1012" s="276">
        <f t="shared" si="1100"/>
        <v>0</v>
      </c>
      <c r="S1012" s="292">
        <f t="shared" ref="S1012:Y1012" si="1188">+S1013+S1014</f>
        <v>0</v>
      </c>
      <c r="T1012" s="292">
        <f t="shared" si="1188"/>
        <v>0</v>
      </c>
      <c r="U1012" s="292">
        <f t="shared" si="1188"/>
        <v>0</v>
      </c>
      <c r="V1012" s="292">
        <f t="shared" si="1188"/>
        <v>0</v>
      </c>
      <c r="W1012" s="292">
        <f t="shared" si="1188"/>
        <v>0</v>
      </c>
      <c r="X1012" s="292">
        <f t="shared" si="1188"/>
        <v>0</v>
      </c>
      <c r="Y1012" s="292">
        <f t="shared" si="1188"/>
        <v>0</v>
      </c>
      <c r="Z1012" s="292">
        <f>+Z1013+Z1014</f>
        <v>0</v>
      </c>
      <c r="AA1012" s="276">
        <f t="shared" si="1185"/>
        <v>0</v>
      </c>
      <c r="AB1012" s="402">
        <f t="shared" si="1089"/>
        <v>0</v>
      </c>
      <c r="AC1012" s="321">
        <f t="shared" si="1090"/>
        <v>0</v>
      </c>
    </row>
    <row r="1013" spans="1:29" ht="25.5" hidden="1" x14ac:dyDescent="0.2">
      <c r="A1013" s="424"/>
      <c r="B1013" s="323" t="s">
        <v>1219</v>
      </c>
      <c r="C1013" s="206" t="s">
        <v>1220</v>
      </c>
      <c r="D1013" s="303"/>
      <c r="E1013" s="325">
        <f>SUM('ADICIONES  2021'!C1013:N1013)</f>
        <v>8465753196</v>
      </c>
      <c r="F1013" s="290"/>
      <c r="G1013" s="290"/>
      <c r="H1013" s="290"/>
      <c r="I1013" s="290"/>
      <c r="J1013" s="290"/>
      <c r="K1013" s="281">
        <f t="shared" si="1139"/>
        <v>8465753196</v>
      </c>
      <c r="L1013" s="290"/>
      <c r="M1013" s="290"/>
      <c r="N1013" s="290"/>
      <c r="O1013" s="290">
        <v>0</v>
      </c>
      <c r="P1013" s="290"/>
      <c r="Q1013" s="290"/>
      <c r="R1013" s="281">
        <f t="shared" si="1100"/>
        <v>0</v>
      </c>
      <c r="S1013" s="290">
        <v>0</v>
      </c>
      <c r="T1013" s="290"/>
      <c r="U1013" s="290"/>
      <c r="V1013" s="290"/>
      <c r="W1013" s="290">
        <v>0</v>
      </c>
      <c r="X1013" s="290"/>
      <c r="Y1013" s="290"/>
      <c r="Z1013" s="290"/>
      <c r="AA1013" s="281">
        <f t="shared" si="1185"/>
        <v>0</v>
      </c>
      <c r="AB1013" s="403">
        <f t="shared" si="1089"/>
        <v>0</v>
      </c>
      <c r="AC1013" s="326">
        <f t="shared" si="1090"/>
        <v>0</v>
      </c>
    </row>
    <row r="1014" spans="1:29" ht="25.5" hidden="1" x14ac:dyDescent="0.2">
      <c r="A1014" s="424"/>
      <c r="B1014" s="323" t="s">
        <v>1821</v>
      </c>
      <c r="C1014" s="206" t="s">
        <v>1822</v>
      </c>
      <c r="D1014" s="303"/>
      <c r="E1014" s="325">
        <f>SUM('ADICIONES  2021'!C1014:N1014)</f>
        <v>1928835878</v>
      </c>
      <c r="F1014" s="290"/>
      <c r="G1014" s="290"/>
      <c r="H1014" s="290"/>
      <c r="I1014" s="290"/>
      <c r="J1014" s="290"/>
      <c r="K1014" s="281">
        <f t="shared" si="1139"/>
        <v>1928835878</v>
      </c>
      <c r="L1014" s="290"/>
      <c r="M1014" s="290"/>
      <c r="N1014" s="290"/>
      <c r="O1014" s="290"/>
      <c r="P1014" s="290"/>
      <c r="Q1014" s="290"/>
      <c r="R1014" s="281">
        <f t="shared" si="1100"/>
        <v>0</v>
      </c>
      <c r="S1014" s="290">
        <v>0</v>
      </c>
      <c r="T1014" s="290"/>
      <c r="U1014" s="290"/>
      <c r="V1014" s="290"/>
      <c r="W1014" s="290">
        <v>0</v>
      </c>
      <c r="X1014" s="290"/>
      <c r="Y1014" s="290"/>
      <c r="Z1014" s="290"/>
      <c r="AA1014" s="281">
        <f t="shared" si="1185"/>
        <v>0</v>
      </c>
      <c r="AB1014" s="403">
        <f t="shared" si="1089"/>
        <v>0</v>
      </c>
      <c r="AC1014" s="326">
        <f t="shared" si="1090"/>
        <v>0</v>
      </c>
    </row>
    <row r="1015" spans="1:29" s="61" customFormat="1" ht="15.75" x14ac:dyDescent="0.2">
      <c r="A1015" s="428">
        <v>1</v>
      </c>
      <c r="B1015" s="318" t="s">
        <v>812</v>
      </c>
      <c r="C1015" s="319" t="s">
        <v>1095</v>
      </c>
      <c r="D1015" s="292">
        <f>+D1016</f>
        <v>808145289.17999995</v>
      </c>
      <c r="E1015" s="322">
        <f>SUM('ADICIONES  2021'!C1015:N1015)</f>
        <v>691000000</v>
      </c>
      <c r="F1015" s="289"/>
      <c r="G1015" s="289">
        <f t="shared" ref="G1015:J1015" si="1189">+G1016</f>
        <v>0</v>
      </c>
      <c r="H1015" s="289">
        <f t="shared" si="1189"/>
        <v>0</v>
      </c>
      <c r="I1015" s="289">
        <f t="shared" si="1189"/>
        <v>0</v>
      </c>
      <c r="J1015" s="289">
        <f t="shared" si="1189"/>
        <v>0</v>
      </c>
      <c r="K1015" s="276">
        <f t="shared" si="1139"/>
        <v>1499145289.1799998</v>
      </c>
      <c r="L1015" s="289">
        <f t="shared" ref="L1015:Q1015" si="1190">+L1016</f>
        <v>168427169</v>
      </c>
      <c r="M1015" s="289">
        <f t="shared" si="1190"/>
        <v>166182718</v>
      </c>
      <c r="N1015" s="289">
        <f t="shared" si="1190"/>
        <v>107275706</v>
      </c>
      <c r="O1015" s="289">
        <f t="shared" si="1190"/>
        <v>117193142</v>
      </c>
      <c r="P1015" s="289">
        <f t="shared" si="1190"/>
        <v>40663465</v>
      </c>
      <c r="Q1015" s="289">
        <f t="shared" si="1190"/>
        <v>82656651.069999993</v>
      </c>
      <c r="R1015" s="276">
        <f t="shared" si="1100"/>
        <v>682398851.06999993</v>
      </c>
      <c r="S1015" s="289">
        <f t="shared" ref="S1015:Z1015" si="1191">+S1016</f>
        <v>106899702.09999999</v>
      </c>
      <c r="T1015" s="289">
        <f t="shared" si="1191"/>
        <v>107061945</v>
      </c>
      <c r="U1015" s="289">
        <f t="shared" si="1191"/>
        <v>148626735</v>
      </c>
      <c r="V1015" s="289">
        <f t="shared" si="1191"/>
        <v>230831123</v>
      </c>
      <c r="W1015" s="289">
        <f t="shared" si="1191"/>
        <v>141356660.16</v>
      </c>
      <c r="X1015" s="289">
        <f t="shared" si="1191"/>
        <v>123315799</v>
      </c>
      <c r="Y1015" s="289">
        <f t="shared" si="1191"/>
        <v>4.4703483581542969E-8</v>
      </c>
      <c r="Z1015" s="289">
        <f t="shared" si="1191"/>
        <v>0</v>
      </c>
      <c r="AA1015" s="276">
        <f t="shared" si="1101"/>
        <v>858091964.25999999</v>
      </c>
      <c r="AB1015" s="402">
        <f t="shared" si="1089"/>
        <v>1540490815.3299999</v>
      </c>
      <c r="AC1015" s="321">
        <f t="shared" si="1090"/>
        <v>1.0275793990405127</v>
      </c>
    </row>
    <row r="1016" spans="1:29" s="19" customFormat="1" x14ac:dyDescent="0.2">
      <c r="A1016" s="429">
        <v>1</v>
      </c>
      <c r="B1016" s="323" t="s">
        <v>1096</v>
      </c>
      <c r="C1016" s="206" t="s">
        <v>1097</v>
      </c>
      <c r="D1016" s="292">
        <f>+D1017+D1022</f>
        <v>808145289.17999995</v>
      </c>
      <c r="E1016" s="322">
        <f>SUM('ADICIONES  2021'!C1016:N1016)</f>
        <v>691000000</v>
      </c>
      <c r="F1016" s="289"/>
      <c r="G1016" s="289">
        <f t="shared" ref="G1016:J1016" si="1192">+G1017+G1022</f>
        <v>0</v>
      </c>
      <c r="H1016" s="289">
        <f t="shared" si="1192"/>
        <v>0</v>
      </c>
      <c r="I1016" s="289">
        <f t="shared" si="1192"/>
        <v>0</v>
      </c>
      <c r="J1016" s="289">
        <f t="shared" si="1192"/>
        <v>0</v>
      </c>
      <c r="K1016" s="281">
        <f t="shared" si="1139"/>
        <v>1499145289.1799998</v>
      </c>
      <c r="L1016" s="289">
        <f t="shared" ref="L1016:Q1016" si="1193">+L1017+L1022</f>
        <v>168427169</v>
      </c>
      <c r="M1016" s="289">
        <f t="shared" si="1193"/>
        <v>166182718</v>
      </c>
      <c r="N1016" s="289">
        <f t="shared" si="1193"/>
        <v>107275706</v>
      </c>
      <c r="O1016" s="289">
        <f t="shared" si="1193"/>
        <v>117193142</v>
      </c>
      <c r="P1016" s="289">
        <f t="shared" si="1193"/>
        <v>40663465</v>
      </c>
      <c r="Q1016" s="289">
        <f t="shared" si="1193"/>
        <v>82656651.069999993</v>
      </c>
      <c r="R1016" s="281">
        <f t="shared" si="1100"/>
        <v>682398851.06999993</v>
      </c>
      <c r="S1016" s="290">
        <f t="shared" ref="S1016:Z1016" si="1194">+S1017+S1022</f>
        <v>106899702.09999999</v>
      </c>
      <c r="T1016" s="290">
        <f t="shared" si="1194"/>
        <v>107061945</v>
      </c>
      <c r="U1016" s="290">
        <f t="shared" si="1194"/>
        <v>148626735</v>
      </c>
      <c r="V1016" s="290">
        <f t="shared" si="1194"/>
        <v>230831123</v>
      </c>
      <c r="W1016" s="290">
        <f t="shared" si="1194"/>
        <v>141356660.16</v>
      </c>
      <c r="X1016" s="290">
        <f t="shared" si="1194"/>
        <v>123315799</v>
      </c>
      <c r="Y1016" s="290">
        <f t="shared" si="1194"/>
        <v>4.4703483581542969E-8</v>
      </c>
      <c r="Z1016" s="289">
        <f t="shared" si="1194"/>
        <v>0</v>
      </c>
      <c r="AA1016" s="276">
        <f t="shared" ref="AA1016" si="1195">SUM(S1016:Z1016)</f>
        <v>858091964.25999999</v>
      </c>
      <c r="AB1016" s="403">
        <f t="shared" si="1089"/>
        <v>1540490815.3299999</v>
      </c>
      <c r="AC1016" s="326">
        <f t="shared" si="1090"/>
        <v>1.0275793990405127</v>
      </c>
    </row>
    <row r="1017" spans="1:29" s="61" customFormat="1" ht="15.75" hidden="1" x14ac:dyDescent="0.2">
      <c r="A1017" s="425"/>
      <c r="B1017" s="318" t="s">
        <v>1098</v>
      </c>
      <c r="C1017" s="319" t="s">
        <v>1099</v>
      </c>
      <c r="D1017" s="292">
        <f>+D1018</f>
        <v>567248394.77999997</v>
      </c>
      <c r="E1017" s="322">
        <f>SUM('ADICIONES  2021'!C1017:N1017)</f>
        <v>304000000</v>
      </c>
      <c r="F1017" s="289"/>
      <c r="G1017" s="289">
        <f t="shared" ref="G1017:J1017" si="1196">+G1018</f>
        <v>0</v>
      </c>
      <c r="H1017" s="289">
        <f t="shared" si="1196"/>
        <v>0</v>
      </c>
      <c r="I1017" s="289">
        <f t="shared" si="1196"/>
        <v>0</v>
      </c>
      <c r="J1017" s="289">
        <f t="shared" si="1196"/>
        <v>0</v>
      </c>
      <c r="K1017" s="276">
        <f t="shared" si="1139"/>
        <v>871248394.77999997</v>
      </c>
      <c r="L1017" s="289">
        <f t="shared" ref="L1017:Q1017" si="1197">+L1018</f>
        <v>99831514</v>
      </c>
      <c r="M1017" s="289">
        <f t="shared" si="1197"/>
        <v>107661872</v>
      </c>
      <c r="N1017" s="289">
        <f t="shared" si="1197"/>
        <v>77081769</v>
      </c>
      <c r="O1017" s="289">
        <f t="shared" si="1197"/>
        <v>81220882</v>
      </c>
      <c r="P1017" s="289">
        <f t="shared" si="1197"/>
        <v>0</v>
      </c>
      <c r="Q1017" s="289">
        <f t="shared" si="1197"/>
        <v>49165591.07</v>
      </c>
      <c r="R1017" s="276">
        <f t="shared" si="1100"/>
        <v>414961628.06999999</v>
      </c>
      <c r="S1017" s="289">
        <f t="shared" ref="S1017:Z1017" si="1198">+S1018</f>
        <v>74059641.099999994</v>
      </c>
      <c r="T1017" s="289">
        <f t="shared" si="1198"/>
        <v>71724822</v>
      </c>
      <c r="U1017" s="289">
        <f t="shared" si="1198"/>
        <v>116616697</v>
      </c>
      <c r="V1017" s="289">
        <f t="shared" si="1198"/>
        <v>74776537</v>
      </c>
      <c r="W1017" s="289">
        <f t="shared" si="1198"/>
        <v>110135459.16</v>
      </c>
      <c r="X1017" s="289">
        <f t="shared" si="1198"/>
        <v>123315799</v>
      </c>
      <c r="Y1017" s="289">
        <f t="shared" si="1198"/>
        <v>4.4703483581542969E-8</v>
      </c>
      <c r="Z1017" s="289">
        <f t="shared" si="1198"/>
        <v>0</v>
      </c>
      <c r="AA1017" s="276">
        <f t="shared" si="1101"/>
        <v>570628955.25999999</v>
      </c>
      <c r="AB1017" s="402">
        <f t="shared" si="1089"/>
        <v>985590583.32999992</v>
      </c>
      <c r="AC1017" s="321">
        <f t="shared" si="1090"/>
        <v>1.1312394826034344</v>
      </c>
    </row>
    <row r="1018" spans="1:29" s="61" customFormat="1" ht="25.5" hidden="1" x14ac:dyDescent="0.2">
      <c r="A1018" s="425"/>
      <c r="B1018" s="318" t="s">
        <v>1100</v>
      </c>
      <c r="C1018" s="319" t="s">
        <v>1101</v>
      </c>
      <c r="D1018" s="292">
        <f>SUM(D1019:D1021)</f>
        <v>567248394.77999997</v>
      </c>
      <c r="E1018" s="322">
        <f>SUM('ADICIONES  2021'!C1018:N1018)</f>
        <v>304000000</v>
      </c>
      <c r="F1018" s="292">
        <f t="shared" ref="F1018:J1018" si="1199">SUM(F1019:F1021)</f>
        <v>0</v>
      </c>
      <c r="G1018" s="292">
        <f t="shared" si="1199"/>
        <v>0</v>
      </c>
      <c r="H1018" s="292">
        <f t="shared" si="1199"/>
        <v>0</v>
      </c>
      <c r="I1018" s="292">
        <f t="shared" si="1199"/>
        <v>0</v>
      </c>
      <c r="J1018" s="292">
        <f t="shared" si="1199"/>
        <v>0</v>
      </c>
      <c r="K1018" s="276">
        <f t="shared" si="1139"/>
        <v>871248394.77999997</v>
      </c>
      <c r="L1018" s="292">
        <f t="shared" ref="L1018:Q1018" si="1200">SUM(L1019:L1021)</f>
        <v>99831514</v>
      </c>
      <c r="M1018" s="292">
        <f t="shared" si="1200"/>
        <v>107661872</v>
      </c>
      <c r="N1018" s="292">
        <f t="shared" si="1200"/>
        <v>77081769</v>
      </c>
      <c r="O1018" s="292">
        <f t="shared" si="1200"/>
        <v>81220882</v>
      </c>
      <c r="P1018" s="292">
        <f t="shared" si="1200"/>
        <v>0</v>
      </c>
      <c r="Q1018" s="292">
        <f t="shared" si="1200"/>
        <v>49165591.07</v>
      </c>
      <c r="R1018" s="276">
        <f t="shared" si="1100"/>
        <v>414961628.06999999</v>
      </c>
      <c r="S1018" s="292">
        <f t="shared" ref="S1018:Z1018" si="1201">SUM(S1019:S1021)</f>
        <v>74059641.099999994</v>
      </c>
      <c r="T1018" s="292">
        <f t="shared" si="1201"/>
        <v>71724822</v>
      </c>
      <c r="U1018" s="292">
        <f t="shared" si="1201"/>
        <v>116616697</v>
      </c>
      <c r="V1018" s="292">
        <f t="shared" si="1201"/>
        <v>74776537</v>
      </c>
      <c r="W1018" s="292">
        <f t="shared" si="1201"/>
        <v>110135459.16</v>
      </c>
      <c r="X1018" s="292">
        <f t="shared" si="1201"/>
        <v>123315799</v>
      </c>
      <c r="Y1018" s="292">
        <f t="shared" si="1201"/>
        <v>4.4703483581542969E-8</v>
      </c>
      <c r="Z1018" s="292">
        <f t="shared" si="1201"/>
        <v>0</v>
      </c>
      <c r="AA1018" s="276">
        <f t="shared" si="1101"/>
        <v>570628955.25999999</v>
      </c>
      <c r="AB1018" s="402">
        <f t="shared" si="1089"/>
        <v>985590583.32999992</v>
      </c>
      <c r="AC1018" s="321">
        <f t="shared" si="1090"/>
        <v>1.1312394826034344</v>
      </c>
    </row>
    <row r="1019" spans="1:29" ht="14.25" hidden="1" x14ac:dyDescent="0.2">
      <c r="A1019" s="424"/>
      <c r="B1019" s="323" t="s">
        <v>1102</v>
      </c>
      <c r="C1019" s="206" t="s">
        <v>378</v>
      </c>
      <c r="D1019" s="303">
        <v>567248394.77999997</v>
      </c>
      <c r="E1019" s="325">
        <f>SUM('ADICIONES  2021'!C1019:N1019)</f>
        <v>0</v>
      </c>
      <c r="F1019" s="290"/>
      <c r="G1019" s="290"/>
      <c r="H1019" s="290"/>
      <c r="I1019" s="290"/>
      <c r="J1019" s="290"/>
      <c r="K1019" s="281">
        <f t="shared" si="1139"/>
        <v>567248394.77999997</v>
      </c>
      <c r="L1019" s="290">
        <v>99831514</v>
      </c>
      <c r="M1019" s="290">
        <v>107661872</v>
      </c>
      <c r="N1019" s="290">
        <v>77081769</v>
      </c>
      <c r="O1019" s="290">
        <v>81220882</v>
      </c>
      <c r="P1019" s="290"/>
      <c r="Q1019" s="290">
        <v>49165591.07</v>
      </c>
      <c r="R1019" s="281">
        <f t="shared" si="1100"/>
        <v>414961628.06999999</v>
      </c>
      <c r="S1019" s="290">
        <v>74059641.099999994</v>
      </c>
      <c r="T1019" s="290">
        <v>71724822</v>
      </c>
      <c r="U1019" s="290">
        <v>6502303.6100000003</v>
      </c>
      <c r="V1019" s="290">
        <v>74776537</v>
      </c>
      <c r="W1019" s="290">
        <v>413093.16</v>
      </c>
      <c r="X1019" s="290">
        <v>114342188.55</v>
      </c>
      <c r="Y1019" s="290">
        <v>-75189630.159999967</v>
      </c>
      <c r="Z1019" s="290"/>
      <c r="AA1019" s="281">
        <f t="shared" si="1101"/>
        <v>266628955.26000005</v>
      </c>
      <c r="AB1019" s="403">
        <f t="shared" si="1089"/>
        <v>681590583.33000004</v>
      </c>
      <c r="AC1019" s="326">
        <f t="shared" si="1090"/>
        <v>1.201573401709398</v>
      </c>
    </row>
    <row r="1020" spans="1:29" ht="14.25" hidden="1" x14ac:dyDescent="0.2">
      <c r="A1020" s="424"/>
      <c r="B1020" s="323" t="s">
        <v>1102</v>
      </c>
      <c r="C1020" s="206" t="s">
        <v>378</v>
      </c>
      <c r="D1020" s="303"/>
      <c r="E1020" s="325">
        <f>SUM('ADICIONES  2021'!C1020:N1020)</f>
        <v>110000000</v>
      </c>
      <c r="F1020" s="290"/>
      <c r="G1020" s="290"/>
      <c r="H1020" s="290"/>
      <c r="I1020" s="290"/>
      <c r="J1020" s="290"/>
      <c r="K1020" s="281">
        <f t="shared" si="1139"/>
        <v>110000000</v>
      </c>
      <c r="L1020" s="290"/>
      <c r="M1020" s="290"/>
      <c r="N1020" s="290"/>
      <c r="O1020" s="290"/>
      <c r="P1020" s="290"/>
      <c r="Q1020" s="290"/>
      <c r="R1020" s="281">
        <f t="shared" si="1100"/>
        <v>0</v>
      </c>
      <c r="S1020" s="290"/>
      <c r="T1020" s="290"/>
      <c r="U1020" s="290"/>
      <c r="V1020" s="290"/>
      <c r="W1020" s="290">
        <v>0</v>
      </c>
      <c r="X1020" s="290">
        <v>8973610.4499999993</v>
      </c>
      <c r="Y1020" s="290">
        <v>101026389.55</v>
      </c>
      <c r="Z1020" s="290"/>
      <c r="AA1020" s="281">
        <f t="shared" ref="AA1020:AA1021" si="1202">SUM(S1020:Z1020)</f>
        <v>110000000</v>
      </c>
      <c r="AB1020" s="403">
        <f t="shared" si="1089"/>
        <v>110000000</v>
      </c>
      <c r="AC1020" s="326">
        <f t="shared" si="1090"/>
        <v>1</v>
      </c>
    </row>
    <row r="1021" spans="1:29" ht="14.25" hidden="1" x14ac:dyDescent="0.2">
      <c r="A1021" s="424"/>
      <c r="B1021" s="323" t="s">
        <v>1102</v>
      </c>
      <c r="C1021" s="206" t="s">
        <v>378</v>
      </c>
      <c r="D1021" s="303"/>
      <c r="E1021" s="325">
        <f>SUM('ADICIONES  2021'!C1021:N1021)</f>
        <v>194000000</v>
      </c>
      <c r="F1021" s="290"/>
      <c r="G1021" s="290"/>
      <c r="H1021" s="290"/>
      <c r="I1021" s="290"/>
      <c r="J1021" s="290"/>
      <c r="K1021" s="281">
        <f t="shared" si="1139"/>
        <v>194000000</v>
      </c>
      <c r="L1021" s="290"/>
      <c r="M1021" s="290"/>
      <c r="N1021" s="290"/>
      <c r="O1021" s="290"/>
      <c r="P1021" s="290"/>
      <c r="Q1021" s="290"/>
      <c r="R1021" s="281">
        <f t="shared" si="1100"/>
        <v>0</v>
      </c>
      <c r="S1021" s="290"/>
      <c r="T1021" s="290"/>
      <c r="U1021" s="290">
        <v>110114393.39</v>
      </c>
      <c r="V1021" s="290">
        <v>0</v>
      </c>
      <c r="W1021" s="290">
        <v>109722366</v>
      </c>
      <c r="X1021" s="290">
        <v>0</v>
      </c>
      <c r="Y1021" s="290">
        <v>-25836759.389999986</v>
      </c>
      <c r="Z1021" s="290"/>
      <c r="AA1021" s="281">
        <f t="shared" si="1202"/>
        <v>194000000</v>
      </c>
      <c r="AB1021" s="403">
        <f t="shared" si="1089"/>
        <v>194000000</v>
      </c>
      <c r="AC1021" s="326">
        <f t="shared" si="1090"/>
        <v>1</v>
      </c>
    </row>
    <row r="1022" spans="1:29" s="61" customFormat="1" ht="15.75" hidden="1" x14ac:dyDescent="0.2">
      <c r="A1022" s="425"/>
      <c r="B1022" s="318" t="s">
        <v>1103</v>
      </c>
      <c r="C1022" s="319" t="s">
        <v>1104</v>
      </c>
      <c r="D1022" s="292">
        <f>+D1023</f>
        <v>240896894.40000001</v>
      </c>
      <c r="E1022" s="322">
        <f>SUM('ADICIONES  2021'!C1022:N1022)</f>
        <v>387000000</v>
      </c>
      <c r="F1022" s="289"/>
      <c r="G1022" s="289">
        <f t="shared" ref="G1022:J1022" si="1203">+G1023</f>
        <v>0</v>
      </c>
      <c r="H1022" s="289">
        <f t="shared" si="1203"/>
        <v>0</v>
      </c>
      <c r="I1022" s="289">
        <f t="shared" si="1203"/>
        <v>0</v>
      </c>
      <c r="J1022" s="289">
        <f t="shared" si="1203"/>
        <v>0</v>
      </c>
      <c r="K1022" s="276">
        <f t="shared" si="1139"/>
        <v>627896894.39999998</v>
      </c>
      <c r="L1022" s="289">
        <f t="shared" ref="L1022:Q1022" si="1204">+L1023</f>
        <v>68595655</v>
      </c>
      <c r="M1022" s="289">
        <f t="shared" si="1204"/>
        <v>58520846</v>
      </c>
      <c r="N1022" s="289">
        <f t="shared" si="1204"/>
        <v>30193937</v>
      </c>
      <c r="O1022" s="289">
        <f t="shared" si="1204"/>
        <v>35972260</v>
      </c>
      <c r="P1022" s="289">
        <f t="shared" si="1204"/>
        <v>40663465</v>
      </c>
      <c r="Q1022" s="289">
        <f t="shared" si="1204"/>
        <v>33491060</v>
      </c>
      <c r="R1022" s="276">
        <f t="shared" si="1100"/>
        <v>267437223</v>
      </c>
      <c r="S1022" s="289">
        <f t="shared" ref="S1022:Z1022" si="1205">+S1023</f>
        <v>32840061</v>
      </c>
      <c r="T1022" s="289">
        <f t="shared" si="1205"/>
        <v>35337123</v>
      </c>
      <c r="U1022" s="289">
        <f t="shared" si="1205"/>
        <v>32010038</v>
      </c>
      <c r="V1022" s="289">
        <f t="shared" si="1205"/>
        <v>156054586</v>
      </c>
      <c r="W1022" s="289">
        <f t="shared" si="1205"/>
        <v>31221201</v>
      </c>
      <c r="X1022" s="289">
        <f t="shared" si="1205"/>
        <v>0</v>
      </c>
      <c r="Y1022" s="289">
        <f t="shared" si="1205"/>
        <v>0</v>
      </c>
      <c r="Z1022" s="289">
        <f t="shared" si="1205"/>
        <v>0</v>
      </c>
      <c r="AA1022" s="276">
        <f t="shared" si="1101"/>
        <v>287463009</v>
      </c>
      <c r="AB1022" s="402">
        <f t="shared" si="1089"/>
        <v>554900232</v>
      </c>
      <c r="AC1022" s="321">
        <f t="shared" si="1090"/>
        <v>0.88374418945047739</v>
      </c>
    </row>
    <row r="1023" spans="1:29" s="61" customFormat="1" ht="25.5" hidden="1" x14ac:dyDescent="0.2">
      <c r="A1023" s="425"/>
      <c r="B1023" s="318" t="s">
        <v>1105</v>
      </c>
      <c r="C1023" s="319" t="s">
        <v>1106</v>
      </c>
      <c r="D1023" s="292">
        <f>SUM(D1024:D1026)</f>
        <v>240896894.40000001</v>
      </c>
      <c r="E1023" s="322">
        <f>SUM('ADICIONES  2021'!C1023:N1023)</f>
        <v>387000000</v>
      </c>
      <c r="F1023" s="292">
        <f t="shared" ref="F1023:J1023" si="1206">SUM(F1024:F1026)</f>
        <v>0</v>
      </c>
      <c r="G1023" s="292">
        <f t="shared" si="1206"/>
        <v>0</v>
      </c>
      <c r="H1023" s="292">
        <f t="shared" si="1206"/>
        <v>0</v>
      </c>
      <c r="I1023" s="292">
        <f t="shared" si="1206"/>
        <v>0</v>
      </c>
      <c r="J1023" s="292">
        <f t="shared" si="1206"/>
        <v>0</v>
      </c>
      <c r="K1023" s="276">
        <f t="shared" si="1139"/>
        <v>627896894.39999998</v>
      </c>
      <c r="L1023" s="292">
        <f t="shared" ref="L1023:Q1023" si="1207">SUM(L1024:L1026)</f>
        <v>68595655</v>
      </c>
      <c r="M1023" s="292">
        <f t="shared" si="1207"/>
        <v>58520846</v>
      </c>
      <c r="N1023" s="292">
        <f t="shared" si="1207"/>
        <v>30193937</v>
      </c>
      <c r="O1023" s="292">
        <f t="shared" si="1207"/>
        <v>35972260</v>
      </c>
      <c r="P1023" s="292">
        <f t="shared" si="1207"/>
        <v>40663465</v>
      </c>
      <c r="Q1023" s="292">
        <f t="shared" si="1207"/>
        <v>33491060</v>
      </c>
      <c r="R1023" s="276">
        <f t="shared" si="1100"/>
        <v>267437223</v>
      </c>
      <c r="S1023" s="292">
        <f t="shared" ref="S1023:Z1023" si="1208">SUM(S1024:S1026)</f>
        <v>32840061</v>
      </c>
      <c r="T1023" s="292">
        <f t="shared" si="1208"/>
        <v>35337123</v>
      </c>
      <c r="U1023" s="292">
        <f t="shared" si="1208"/>
        <v>32010038</v>
      </c>
      <c r="V1023" s="292">
        <f t="shared" si="1208"/>
        <v>156054586</v>
      </c>
      <c r="W1023" s="292">
        <f t="shared" si="1208"/>
        <v>31221201</v>
      </c>
      <c r="X1023" s="292">
        <f t="shared" si="1208"/>
        <v>0</v>
      </c>
      <c r="Y1023" s="292">
        <f t="shared" si="1208"/>
        <v>0</v>
      </c>
      <c r="Z1023" s="292">
        <f t="shared" si="1208"/>
        <v>0</v>
      </c>
      <c r="AA1023" s="276">
        <f t="shared" si="1101"/>
        <v>287463009</v>
      </c>
      <c r="AB1023" s="402">
        <f t="shared" si="1089"/>
        <v>554900232</v>
      </c>
      <c r="AC1023" s="321">
        <f t="shared" si="1090"/>
        <v>0.88374418945047739</v>
      </c>
    </row>
    <row r="1024" spans="1:29" ht="14.25" hidden="1" x14ac:dyDescent="0.2">
      <c r="A1024" s="424"/>
      <c r="B1024" s="323" t="s">
        <v>1107</v>
      </c>
      <c r="C1024" s="206" t="s">
        <v>1108</v>
      </c>
      <c r="D1024" s="303">
        <v>240896894.40000001</v>
      </c>
      <c r="E1024" s="325">
        <f>SUM('ADICIONES  2021'!C1024:N1024)</f>
        <v>0</v>
      </c>
      <c r="F1024" s="290"/>
      <c r="G1024" s="290"/>
      <c r="H1024" s="290"/>
      <c r="I1024" s="290"/>
      <c r="J1024" s="290"/>
      <c r="K1024" s="281">
        <f t="shared" si="1139"/>
        <v>240896894.40000001</v>
      </c>
      <c r="L1024" s="290">
        <v>68595655</v>
      </c>
      <c r="M1024" s="290">
        <v>58520846</v>
      </c>
      <c r="N1024" s="290">
        <v>30193937</v>
      </c>
      <c r="O1024" s="290">
        <v>35972260</v>
      </c>
      <c r="P1024" s="290">
        <v>40663465</v>
      </c>
      <c r="Q1024" s="290">
        <v>33491060</v>
      </c>
      <c r="R1024" s="281">
        <f t="shared" si="1100"/>
        <v>267437223</v>
      </c>
      <c r="S1024" s="290">
        <v>32840061</v>
      </c>
      <c r="T1024" s="290">
        <v>35337123</v>
      </c>
      <c r="U1024" s="290">
        <v>-94717512.599999994</v>
      </c>
      <c r="V1024" s="290">
        <v>0</v>
      </c>
      <c r="W1024" s="290">
        <v>31221201</v>
      </c>
      <c r="X1024" s="290"/>
      <c r="Y1024" s="290">
        <v>-31221200.99999997</v>
      </c>
      <c r="Z1024" s="290"/>
      <c r="AA1024" s="281">
        <f t="shared" si="1101"/>
        <v>-26540328.599999964</v>
      </c>
      <c r="AB1024" s="403">
        <f t="shared" si="1089"/>
        <v>240896894.40000004</v>
      </c>
      <c r="AC1024" s="326">
        <f t="shared" si="1090"/>
        <v>1.0000000000000002</v>
      </c>
    </row>
    <row r="1025" spans="1:29" ht="14.25" hidden="1" x14ac:dyDescent="0.2">
      <c r="A1025" s="424"/>
      <c r="B1025" s="323" t="s">
        <v>1107</v>
      </c>
      <c r="C1025" s="206" t="s">
        <v>1108</v>
      </c>
      <c r="D1025" s="303"/>
      <c r="E1025" s="325">
        <f>SUM('ADICIONES  2021'!C1025:N1025)</f>
        <v>249000000</v>
      </c>
      <c r="F1025" s="290"/>
      <c r="G1025" s="290"/>
      <c r="H1025" s="290"/>
      <c r="I1025" s="290"/>
      <c r="J1025" s="290"/>
      <c r="K1025" s="281">
        <f t="shared" si="1139"/>
        <v>249000000</v>
      </c>
      <c r="L1025" s="290"/>
      <c r="M1025" s="290"/>
      <c r="N1025" s="290"/>
      <c r="O1025" s="290"/>
      <c r="P1025" s="290"/>
      <c r="Q1025" s="290"/>
      <c r="R1025" s="281">
        <f t="shared" si="1100"/>
        <v>0</v>
      </c>
      <c r="S1025" s="290"/>
      <c r="T1025" s="290"/>
      <c r="U1025" s="290"/>
      <c r="V1025" s="290"/>
      <c r="W1025" s="290"/>
      <c r="X1025" s="290"/>
      <c r="Y1025" s="290">
        <v>176003337.59999999</v>
      </c>
      <c r="Z1025" s="290"/>
      <c r="AA1025" s="281">
        <f t="shared" ref="AA1025:AA1088" si="1209">SUM(S1025:Z1025)</f>
        <v>176003337.59999999</v>
      </c>
      <c r="AB1025" s="403">
        <f t="shared" si="1089"/>
        <v>176003337.59999999</v>
      </c>
      <c r="AC1025" s="326">
        <f t="shared" si="1090"/>
        <v>0.70684071325301201</v>
      </c>
    </row>
    <row r="1026" spans="1:29" ht="14.25" hidden="1" x14ac:dyDescent="0.2">
      <c r="A1026" s="424"/>
      <c r="B1026" s="323" t="s">
        <v>1107</v>
      </c>
      <c r="C1026" s="206" t="s">
        <v>1108</v>
      </c>
      <c r="D1026" s="303"/>
      <c r="E1026" s="325">
        <f>SUM('ADICIONES  2021'!C1026:N1026)</f>
        <v>138000000</v>
      </c>
      <c r="F1026" s="290"/>
      <c r="G1026" s="290"/>
      <c r="H1026" s="290"/>
      <c r="I1026" s="290"/>
      <c r="J1026" s="290"/>
      <c r="K1026" s="281">
        <f t="shared" si="1139"/>
        <v>138000000</v>
      </c>
      <c r="L1026" s="290"/>
      <c r="M1026" s="290"/>
      <c r="N1026" s="290"/>
      <c r="O1026" s="290"/>
      <c r="P1026" s="290"/>
      <c r="Q1026" s="290"/>
      <c r="R1026" s="281">
        <f t="shared" si="1100"/>
        <v>0</v>
      </c>
      <c r="S1026" s="290"/>
      <c r="T1026" s="290"/>
      <c r="U1026" s="290">
        <v>126727550.59999999</v>
      </c>
      <c r="V1026" s="290">
        <v>156054586</v>
      </c>
      <c r="W1026" s="290"/>
      <c r="X1026" s="290"/>
      <c r="Y1026" s="290">
        <v>-144782136.60000002</v>
      </c>
      <c r="Z1026" s="290"/>
      <c r="AA1026" s="281">
        <f t="shared" si="1209"/>
        <v>138000000</v>
      </c>
      <c r="AB1026" s="403">
        <f t="shared" si="1089"/>
        <v>138000000</v>
      </c>
      <c r="AC1026" s="326">
        <f t="shared" si="1090"/>
        <v>1</v>
      </c>
    </row>
    <row r="1027" spans="1:29" s="19" customFormat="1" x14ac:dyDescent="0.2">
      <c r="A1027" s="429">
        <v>1</v>
      </c>
      <c r="B1027" s="323" t="s">
        <v>821</v>
      </c>
      <c r="C1027" s="206" t="s">
        <v>1202</v>
      </c>
      <c r="D1027" s="292">
        <f>+D1028</f>
        <v>0</v>
      </c>
      <c r="E1027" s="322">
        <f>SUM('ADICIONES  2021'!C1027:N1027)</f>
        <v>21229094602.32</v>
      </c>
      <c r="F1027" s="292">
        <f t="shared" ref="F1027:J1028" si="1210">+F1028</f>
        <v>29906238.68</v>
      </c>
      <c r="G1027" s="292">
        <f t="shared" si="1210"/>
        <v>0</v>
      </c>
      <c r="H1027" s="292">
        <f t="shared" si="1210"/>
        <v>0</v>
      </c>
      <c r="I1027" s="292">
        <f t="shared" si="1210"/>
        <v>0</v>
      </c>
      <c r="J1027" s="292">
        <f t="shared" si="1210"/>
        <v>0</v>
      </c>
      <c r="K1027" s="281">
        <f t="shared" si="1139"/>
        <v>21199188363.639999</v>
      </c>
      <c r="L1027" s="292">
        <f t="shared" ref="L1027:Q1028" si="1211">+L1028</f>
        <v>0</v>
      </c>
      <c r="M1027" s="292">
        <f t="shared" si="1211"/>
        <v>0</v>
      </c>
      <c r="N1027" s="292">
        <f t="shared" si="1211"/>
        <v>288000000</v>
      </c>
      <c r="O1027" s="292">
        <f t="shared" si="1211"/>
        <v>0</v>
      </c>
      <c r="P1027" s="292">
        <f t="shared" si="1211"/>
        <v>20941094602.32</v>
      </c>
      <c r="Q1027" s="292">
        <f t="shared" si="1211"/>
        <v>0</v>
      </c>
      <c r="R1027" s="281">
        <f t="shared" si="1100"/>
        <v>21229094602.32</v>
      </c>
      <c r="S1027" s="303">
        <f t="shared" ref="S1027:Z1028" si="1212">+S1028</f>
        <v>0</v>
      </c>
      <c r="T1027" s="303">
        <f t="shared" si="1212"/>
        <v>0</v>
      </c>
      <c r="U1027" s="303">
        <f t="shared" si="1212"/>
        <v>0</v>
      </c>
      <c r="V1027" s="303">
        <f t="shared" si="1212"/>
        <v>0</v>
      </c>
      <c r="W1027" s="303">
        <f t="shared" si="1212"/>
        <v>0</v>
      </c>
      <c r="X1027" s="303">
        <f t="shared" si="1212"/>
        <v>-29906238.68</v>
      </c>
      <c r="Y1027" s="303">
        <f t="shared" si="1212"/>
        <v>0</v>
      </c>
      <c r="Z1027" s="292">
        <f t="shared" si="1212"/>
        <v>0</v>
      </c>
      <c r="AA1027" s="276">
        <f t="shared" si="1209"/>
        <v>-29906238.68</v>
      </c>
      <c r="AB1027" s="403">
        <f t="shared" si="1089"/>
        <v>21199188363.639999</v>
      </c>
      <c r="AC1027" s="326">
        <f t="shared" si="1090"/>
        <v>1</v>
      </c>
    </row>
    <row r="1028" spans="1:29" s="61" customFormat="1" ht="15.75" hidden="1" x14ac:dyDescent="0.2">
      <c r="A1028" s="425"/>
      <c r="B1028" s="318" t="s">
        <v>822</v>
      </c>
      <c r="C1028" s="319" t="s">
        <v>1203</v>
      </c>
      <c r="D1028" s="292">
        <f>+D1029</f>
        <v>0</v>
      </c>
      <c r="E1028" s="322">
        <f>SUM('ADICIONES  2021'!C1028:N1028)</f>
        <v>21229094602.32</v>
      </c>
      <c r="F1028" s="292">
        <f t="shared" si="1210"/>
        <v>29906238.68</v>
      </c>
      <c r="G1028" s="292">
        <f t="shared" si="1210"/>
        <v>0</v>
      </c>
      <c r="H1028" s="292">
        <f t="shared" si="1210"/>
        <v>0</v>
      </c>
      <c r="I1028" s="292">
        <f t="shared" si="1210"/>
        <v>0</v>
      </c>
      <c r="J1028" s="292">
        <f t="shared" si="1210"/>
        <v>0</v>
      </c>
      <c r="K1028" s="276">
        <f t="shared" si="1139"/>
        <v>21199188363.639999</v>
      </c>
      <c r="L1028" s="292">
        <f t="shared" si="1211"/>
        <v>0</v>
      </c>
      <c r="M1028" s="292">
        <f t="shared" si="1211"/>
        <v>0</v>
      </c>
      <c r="N1028" s="292">
        <f t="shared" si="1211"/>
        <v>288000000</v>
      </c>
      <c r="O1028" s="292">
        <f t="shared" si="1211"/>
        <v>0</v>
      </c>
      <c r="P1028" s="292">
        <f t="shared" si="1211"/>
        <v>20941094602.32</v>
      </c>
      <c r="Q1028" s="292">
        <f t="shared" si="1211"/>
        <v>0</v>
      </c>
      <c r="R1028" s="276">
        <f t="shared" si="1100"/>
        <v>21229094602.32</v>
      </c>
      <c r="S1028" s="292">
        <f t="shared" si="1212"/>
        <v>0</v>
      </c>
      <c r="T1028" s="292">
        <f t="shared" si="1212"/>
        <v>0</v>
      </c>
      <c r="U1028" s="292">
        <f t="shared" si="1212"/>
        <v>0</v>
      </c>
      <c r="V1028" s="292">
        <f t="shared" si="1212"/>
        <v>0</v>
      </c>
      <c r="W1028" s="292">
        <f t="shared" si="1212"/>
        <v>0</v>
      </c>
      <c r="X1028" s="292">
        <f t="shared" si="1212"/>
        <v>-29906238.68</v>
      </c>
      <c r="Y1028" s="292">
        <f t="shared" si="1212"/>
        <v>0</v>
      </c>
      <c r="Z1028" s="292">
        <f t="shared" si="1212"/>
        <v>0</v>
      </c>
      <c r="AA1028" s="276">
        <f t="shared" si="1209"/>
        <v>-29906238.68</v>
      </c>
      <c r="AB1028" s="402">
        <f t="shared" si="1089"/>
        <v>21199188363.639999</v>
      </c>
      <c r="AC1028" s="321">
        <f t="shared" si="1090"/>
        <v>1</v>
      </c>
    </row>
    <row r="1029" spans="1:29" s="61" customFormat="1" ht="15.75" hidden="1" x14ac:dyDescent="0.2">
      <c r="A1029" s="425"/>
      <c r="B1029" s="318" t="s">
        <v>1122</v>
      </c>
      <c r="C1029" s="319" t="s">
        <v>1204</v>
      </c>
      <c r="D1029" s="292">
        <f>SUM(D1030:D1077)</f>
        <v>0</v>
      </c>
      <c r="E1029" s="322">
        <f>SUM('ADICIONES  2021'!C1029:N1029)</f>
        <v>21229094602.32</v>
      </c>
      <c r="F1029" s="292">
        <f t="shared" ref="F1029:J1029" si="1213">SUM(F1030:F1077)</f>
        <v>29906238.68</v>
      </c>
      <c r="G1029" s="292">
        <f t="shared" si="1213"/>
        <v>0</v>
      </c>
      <c r="H1029" s="292">
        <f t="shared" si="1213"/>
        <v>0</v>
      </c>
      <c r="I1029" s="292">
        <f t="shared" si="1213"/>
        <v>0</v>
      </c>
      <c r="J1029" s="292">
        <f t="shared" si="1213"/>
        <v>0</v>
      </c>
      <c r="K1029" s="276">
        <f t="shared" si="1139"/>
        <v>21199188363.639999</v>
      </c>
      <c r="L1029" s="292">
        <f t="shared" ref="L1029:Q1029" si="1214">SUM(L1030:L1077)</f>
        <v>0</v>
      </c>
      <c r="M1029" s="292">
        <f t="shared" si="1214"/>
        <v>0</v>
      </c>
      <c r="N1029" s="292">
        <f t="shared" si="1214"/>
        <v>288000000</v>
      </c>
      <c r="O1029" s="292">
        <f t="shared" si="1214"/>
        <v>0</v>
      </c>
      <c r="P1029" s="292">
        <f t="shared" si="1214"/>
        <v>20941094602.32</v>
      </c>
      <c r="Q1029" s="292">
        <f t="shared" si="1214"/>
        <v>0</v>
      </c>
      <c r="R1029" s="276">
        <f t="shared" si="1100"/>
        <v>21229094602.32</v>
      </c>
      <c r="S1029" s="292">
        <f t="shared" ref="S1029:Z1029" si="1215">SUM(S1030:S1077)</f>
        <v>0</v>
      </c>
      <c r="T1029" s="292">
        <f t="shared" si="1215"/>
        <v>0</v>
      </c>
      <c r="U1029" s="292">
        <f t="shared" si="1215"/>
        <v>0</v>
      </c>
      <c r="V1029" s="292">
        <f t="shared" si="1215"/>
        <v>0</v>
      </c>
      <c r="W1029" s="292">
        <f t="shared" si="1215"/>
        <v>0</v>
      </c>
      <c r="X1029" s="292">
        <f t="shared" si="1215"/>
        <v>-29906238.68</v>
      </c>
      <c r="Y1029" s="292">
        <f t="shared" si="1215"/>
        <v>0</v>
      </c>
      <c r="Z1029" s="292">
        <f t="shared" si="1215"/>
        <v>0</v>
      </c>
      <c r="AA1029" s="276">
        <f t="shared" si="1209"/>
        <v>-29906238.68</v>
      </c>
      <c r="AB1029" s="402">
        <f t="shared" si="1089"/>
        <v>21199188363.639999</v>
      </c>
      <c r="AC1029" s="321">
        <f t="shared" si="1090"/>
        <v>1</v>
      </c>
    </row>
    <row r="1030" spans="1:29" s="61" customFormat="1" ht="15.75" hidden="1" x14ac:dyDescent="0.2">
      <c r="A1030" s="425"/>
      <c r="B1030" s="323" t="s">
        <v>1205</v>
      </c>
      <c r="C1030" s="206" t="s">
        <v>1804</v>
      </c>
      <c r="D1030" s="292"/>
      <c r="E1030" s="325">
        <f>SUM('ADICIONES  2021'!C1030:N1030)</f>
        <v>2077475000</v>
      </c>
      <c r="F1030" s="289"/>
      <c r="G1030" s="289"/>
      <c r="H1030" s="289"/>
      <c r="I1030" s="289"/>
      <c r="J1030" s="289"/>
      <c r="K1030" s="281">
        <f t="shared" si="1139"/>
        <v>2077475000</v>
      </c>
      <c r="L1030" s="289"/>
      <c r="M1030" s="289"/>
      <c r="N1030" s="289"/>
      <c r="O1030" s="289"/>
      <c r="P1030" s="290">
        <v>2077475000</v>
      </c>
      <c r="Q1030" s="289"/>
      <c r="R1030" s="281">
        <f t="shared" si="1100"/>
        <v>2077475000</v>
      </c>
      <c r="S1030" s="289"/>
      <c r="T1030" s="289"/>
      <c r="U1030" s="289"/>
      <c r="V1030" s="289"/>
      <c r="W1030" s="289"/>
      <c r="X1030" s="289">
        <v>0</v>
      </c>
      <c r="Y1030" s="289"/>
      <c r="Z1030" s="289"/>
      <c r="AA1030" s="281">
        <f t="shared" si="1209"/>
        <v>0</v>
      </c>
      <c r="AB1030" s="403">
        <f t="shared" ref="AB1030:AB1094" si="1216">+R1030+AA1030</f>
        <v>2077475000</v>
      </c>
      <c r="AC1030" s="326">
        <f t="shared" ref="AC1030:AC1032" si="1217">+AB1030/K1030</f>
        <v>1</v>
      </c>
    </row>
    <row r="1031" spans="1:29" s="61" customFormat="1" ht="15.75" hidden="1" x14ac:dyDescent="0.2">
      <c r="A1031" s="425"/>
      <c r="B1031" s="323" t="s">
        <v>1205</v>
      </c>
      <c r="C1031" s="206" t="s">
        <v>1804</v>
      </c>
      <c r="D1031" s="292"/>
      <c r="E1031" s="325">
        <f>SUM('ADICIONES  2021'!C1031:N1031)</f>
        <v>31470991.93</v>
      </c>
      <c r="F1031" s="289"/>
      <c r="G1031" s="289"/>
      <c r="H1031" s="289"/>
      <c r="I1031" s="289"/>
      <c r="J1031" s="289"/>
      <c r="K1031" s="281">
        <f t="shared" si="1139"/>
        <v>31470991.93</v>
      </c>
      <c r="L1031" s="289"/>
      <c r="M1031" s="289"/>
      <c r="N1031" s="289"/>
      <c r="O1031" s="289"/>
      <c r="P1031" s="290">
        <v>31470991.93</v>
      </c>
      <c r="Q1031" s="289"/>
      <c r="R1031" s="281">
        <f t="shared" si="1100"/>
        <v>31470991.93</v>
      </c>
      <c r="S1031" s="289"/>
      <c r="T1031" s="289"/>
      <c r="U1031" s="289"/>
      <c r="V1031" s="289"/>
      <c r="W1031" s="289"/>
      <c r="X1031" s="289">
        <v>0</v>
      </c>
      <c r="Y1031" s="289"/>
      <c r="Z1031" s="289"/>
      <c r="AA1031" s="281">
        <f t="shared" si="1209"/>
        <v>0</v>
      </c>
      <c r="AB1031" s="403">
        <f t="shared" si="1216"/>
        <v>31470991.93</v>
      </c>
      <c r="AC1031" s="326">
        <f t="shared" si="1217"/>
        <v>1</v>
      </c>
    </row>
    <row r="1032" spans="1:29" s="61" customFormat="1" ht="15.75" hidden="1" x14ac:dyDescent="0.2">
      <c r="A1032" s="425"/>
      <c r="B1032" s="323" t="s">
        <v>1205</v>
      </c>
      <c r="C1032" s="206" t="s">
        <v>1206</v>
      </c>
      <c r="D1032" s="292"/>
      <c r="E1032" s="325">
        <f>SUM('ADICIONES  2021'!C1032:N1032)</f>
        <v>1759084388.54</v>
      </c>
      <c r="F1032" s="289"/>
      <c r="G1032" s="289"/>
      <c r="H1032" s="289"/>
      <c r="I1032" s="289"/>
      <c r="J1032" s="289"/>
      <c r="K1032" s="281">
        <f t="shared" si="1139"/>
        <v>1759084388.54</v>
      </c>
      <c r="L1032" s="289"/>
      <c r="M1032" s="289"/>
      <c r="N1032" s="289"/>
      <c r="O1032" s="289"/>
      <c r="P1032" s="290">
        <v>1759084388.54</v>
      </c>
      <c r="Q1032" s="289"/>
      <c r="R1032" s="281">
        <f t="shared" si="1100"/>
        <v>1759084388.54</v>
      </c>
      <c r="S1032" s="289"/>
      <c r="T1032" s="289"/>
      <c r="U1032" s="289"/>
      <c r="V1032" s="289"/>
      <c r="W1032" s="289"/>
      <c r="X1032" s="289">
        <v>0</v>
      </c>
      <c r="Y1032" s="289"/>
      <c r="Z1032" s="289"/>
      <c r="AA1032" s="281">
        <f t="shared" si="1209"/>
        <v>0</v>
      </c>
      <c r="AB1032" s="403">
        <f t="shared" si="1216"/>
        <v>1759084388.54</v>
      </c>
      <c r="AC1032" s="326">
        <f t="shared" si="1217"/>
        <v>1</v>
      </c>
    </row>
    <row r="1033" spans="1:29" ht="14.25" hidden="1" x14ac:dyDescent="0.2">
      <c r="A1033" s="424"/>
      <c r="B1033" s="323" t="s">
        <v>1205</v>
      </c>
      <c r="C1033" s="206" t="s">
        <v>1206</v>
      </c>
      <c r="D1033" s="303"/>
      <c r="E1033" s="325">
        <f>SUM('ADICIONES  2021'!C1033:N1033)</f>
        <v>288000000</v>
      </c>
      <c r="F1033" s="290"/>
      <c r="G1033" s="290"/>
      <c r="H1033" s="290"/>
      <c r="I1033" s="290"/>
      <c r="J1033" s="290"/>
      <c r="K1033" s="281">
        <f t="shared" si="1139"/>
        <v>288000000</v>
      </c>
      <c r="L1033" s="290"/>
      <c r="M1033" s="290"/>
      <c r="N1033" s="290">
        <v>288000000</v>
      </c>
      <c r="O1033" s="290"/>
      <c r="P1033" s="290">
        <v>0</v>
      </c>
      <c r="Q1033" s="290"/>
      <c r="R1033" s="281">
        <f t="shared" si="1100"/>
        <v>288000000</v>
      </c>
      <c r="S1033" s="290"/>
      <c r="T1033" s="290"/>
      <c r="U1033" s="290"/>
      <c r="V1033" s="290"/>
      <c r="W1033" s="290"/>
      <c r="X1033" s="290">
        <v>0</v>
      </c>
      <c r="Y1033" s="290"/>
      <c r="Z1033" s="290"/>
      <c r="AA1033" s="281">
        <f t="shared" si="1209"/>
        <v>0</v>
      </c>
      <c r="AB1033" s="403">
        <f t="shared" si="1216"/>
        <v>288000000</v>
      </c>
      <c r="AC1033" s="326">
        <f>+AB1033/K1033</f>
        <v>1</v>
      </c>
    </row>
    <row r="1034" spans="1:29" ht="14.25" hidden="1" x14ac:dyDescent="0.2">
      <c r="A1034" s="424"/>
      <c r="B1034" s="323" t="s">
        <v>1205</v>
      </c>
      <c r="C1034" s="206" t="s">
        <v>1804</v>
      </c>
      <c r="D1034" s="290"/>
      <c r="E1034" s="325">
        <f>SUM('ADICIONES  2021'!C1034:N1034)</f>
        <v>92490395.019999996</v>
      </c>
      <c r="F1034" s="290"/>
      <c r="G1034" s="290"/>
      <c r="H1034" s="290"/>
      <c r="I1034" s="290"/>
      <c r="J1034" s="290"/>
      <c r="K1034" s="281">
        <f t="shared" si="1139"/>
        <v>92490395.019999996</v>
      </c>
      <c r="L1034" s="290"/>
      <c r="M1034" s="290"/>
      <c r="N1034" s="290"/>
      <c r="O1034" s="290"/>
      <c r="P1034" s="290">
        <v>92490395.019999996</v>
      </c>
      <c r="Q1034" s="290"/>
      <c r="R1034" s="281">
        <f t="shared" si="1100"/>
        <v>92490395.019999996</v>
      </c>
      <c r="S1034" s="290"/>
      <c r="T1034" s="290"/>
      <c r="U1034" s="290"/>
      <c r="V1034" s="290"/>
      <c r="W1034" s="290"/>
      <c r="X1034" s="290">
        <v>0</v>
      </c>
      <c r="Y1034" s="290"/>
      <c r="Z1034" s="290"/>
      <c r="AA1034" s="281">
        <f t="shared" si="1209"/>
        <v>0</v>
      </c>
      <c r="AB1034" s="403">
        <f t="shared" si="1216"/>
        <v>92490395.019999996</v>
      </c>
      <c r="AC1034" s="326">
        <f t="shared" ref="AC1034:AC1098" si="1218">+AB1034/K1034</f>
        <v>1</v>
      </c>
    </row>
    <row r="1035" spans="1:29" ht="14.25" hidden="1" x14ac:dyDescent="0.2">
      <c r="A1035" s="424"/>
      <c r="B1035" s="323" t="s">
        <v>1205</v>
      </c>
      <c r="C1035" s="206" t="s">
        <v>1804</v>
      </c>
      <c r="D1035" s="290"/>
      <c r="E1035" s="325">
        <f>SUM('ADICIONES  2021'!C1035:N1035)</f>
        <v>598205.68000000005</v>
      </c>
      <c r="F1035" s="325">
        <v>598205.68000000005</v>
      </c>
      <c r="G1035" s="290"/>
      <c r="H1035" s="290"/>
      <c r="I1035" s="290"/>
      <c r="J1035" s="290"/>
      <c r="K1035" s="281">
        <f t="shared" si="1139"/>
        <v>0</v>
      </c>
      <c r="L1035" s="290"/>
      <c r="M1035" s="290"/>
      <c r="N1035" s="290"/>
      <c r="O1035" s="290"/>
      <c r="P1035" s="290">
        <v>598205.68000000005</v>
      </c>
      <c r="Q1035" s="290"/>
      <c r="R1035" s="281">
        <f t="shared" ref="R1035:R1099" si="1219">SUM(L1035:Q1035)</f>
        <v>598205.68000000005</v>
      </c>
      <c r="S1035" s="290"/>
      <c r="T1035" s="290"/>
      <c r="U1035" s="290"/>
      <c r="V1035" s="290"/>
      <c r="W1035" s="290"/>
      <c r="X1035" s="290">
        <v>-598205.68000000005</v>
      </c>
      <c r="Y1035" s="290"/>
      <c r="Z1035" s="290"/>
      <c r="AA1035" s="281">
        <f t="shared" si="1209"/>
        <v>-598205.68000000005</v>
      </c>
      <c r="AB1035" s="403">
        <f t="shared" si="1216"/>
        <v>0</v>
      </c>
      <c r="AC1035" s="326" t="e">
        <f t="shared" si="1218"/>
        <v>#DIV/0!</v>
      </c>
    </row>
    <row r="1036" spans="1:29" ht="14.25" hidden="1" x14ac:dyDescent="0.2">
      <c r="A1036" s="424"/>
      <c r="B1036" s="323" t="s">
        <v>1205</v>
      </c>
      <c r="C1036" s="206" t="s">
        <v>1804</v>
      </c>
      <c r="D1036" s="290"/>
      <c r="E1036" s="325">
        <f>SUM('ADICIONES  2021'!C1036:N1036)</f>
        <v>29308033</v>
      </c>
      <c r="F1036" s="290">
        <v>29308033</v>
      </c>
      <c r="G1036" s="290"/>
      <c r="H1036" s="290"/>
      <c r="I1036" s="290"/>
      <c r="J1036" s="290"/>
      <c r="K1036" s="281">
        <f t="shared" si="1139"/>
        <v>0</v>
      </c>
      <c r="L1036" s="290"/>
      <c r="M1036" s="290"/>
      <c r="N1036" s="290"/>
      <c r="O1036" s="290"/>
      <c r="P1036" s="290">
        <v>29308033</v>
      </c>
      <c r="Q1036" s="290"/>
      <c r="R1036" s="281">
        <f t="shared" si="1219"/>
        <v>29308033</v>
      </c>
      <c r="S1036" s="290"/>
      <c r="T1036" s="290"/>
      <c r="U1036" s="290"/>
      <c r="V1036" s="290"/>
      <c r="W1036" s="290"/>
      <c r="X1036" s="290">
        <v>-29308033</v>
      </c>
      <c r="Y1036" s="290"/>
      <c r="Z1036" s="290"/>
      <c r="AA1036" s="281">
        <f t="shared" si="1209"/>
        <v>-29308033</v>
      </c>
      <c r="AB1036" s="403">
        <f t="shared" si="1216"/>
        <v>0</v>
      </c>
      <c r="AC1036" s="326" t="e">
        <f t="shared" si="1218"/>
        <v>#DIV/0!</v>
      </c>
    </row>
    <row r="1037" spans="1:29" ht="14.25" hidden="1" x14ac:dyDescent="0.2">
      <c r="A1037" s="424"/>
      <c r="B1037" s="323" t="s">
        <v>1205</v>
      </c>
      <c r="C1037" s="206" t="s">
        <v>1804</v>
      </c>
      <c r="D1037" s="290"/>
      <c r="E1037" s="325">
        <f>SUM('ADICIONES  2021'!C1037:N1037)</f>
        <v>153078510.40000001</v>
      </c>
      <c r="F1037" s="290"/>
      <c r="G1037" s="290"/>
      <c r="H1037" s="290"/>
      <c r="I1037" s="290"/>
      <c r="J1037" s="290"/>
      <c r="K1037" s="281">
        <f t="shared" si="1139"/>
        <v>153078510.40000001</v>
      </c>
      <c r="L1037" s="290"/>
      <c r="M1037" s="290"/>
      <c r="N1037" s="290"/>
      <c r="O1037" s="290"/>
      <c r="P1037" s="290">
        <v>153078510.40000001</v>
      </c>
      <c r="Q1037" s="290"/>
      <c r="R1037" s="281">
        <f t="shared" si="1219"/>
        <v>153078510.40000001</v>
      </c>
      <c r="S1037" s="290"/>
      <c r="T1037" s="290"/>
      <c r="U1037" s="290"/>
      <c r="V1037" s="290"/>
      <c r="W1037" s="290"/>
      <c r="X1037" s="290"/>
      <c r="Y1037" s="290"/>
      <c r="Z1037" s="290"/>
      <c r="AA1037" s="281">
        <f t="shared" si="1209"/>
        <v>0</v>
      </c>
      <c r="AB1037" s="403">
        <f t="shared" si="1216"/>
        <v>153078510.40000001</v>
      </c>
      <c r="AC1037" s="326">
        <f t="shared" si="1218"/>
        <v>1</v>
      </c>
    </row>
    <row r="1038" spans="1:29" ht="25.5" hidden="1" x14ac:dyDescent="0.2">
      <c r="A1038" s="424"/>
      <c r="B1038" s="323" t="s">
        <v>1805</v>
      </c>
      <c r="C1038" s="206" t="s">
        <v>1806</v>
      </c>
      <c r="D1038" s="290"/>
      <c r="E1038" s="325">
        <f>SUM('ADICIONES  2021'!C1038:N1038)</f>
        <v>415910804.39999998</v>
      </c>
      <c r="F1038" s="290"/>
      <c r="G1038" s="290"/>
      <c r="H1038" s="290"/>
      <c r="I1038" s="290"/>
      <c r="J1038" s="290"/>
      <c r="K1038" s="281">
        <f t="shared" si="1139"/>
        <v>415910804.39999998</v>
      </c>
      <c r="L1038" s="290"/>
      <c r="M1038" s="290"/>
      <c r="N1038" s="290"/>
      <c r="O1038" s="290"/>
      <c r="P1038" s="290">
        <v>415910804.39999998</v>
      </c>
      <c r="Q1038" s="290"/>
      <c r="R1038" s="281">
        <f t="shared" si="1219"/>
        <v>415910804.39999998</v>
      </c>
      <c r="S1038" s="290"/>
      <c r="T1038" s="290"/>
      <c r="U1038" s="290"/>
      <c r="V1038" s="290"/>
      <c r="W1038" s="290"/>
      <c r="X1038" s="290"/>
      <c r="Y1038" s="290"/>
      <c r="Z1038" s="290"/>
      <c r="AA1038" s="281">
        <f t="shared" si="1209"/>
        <v>0</v>
      </c>
      <c r="AB1038" s="403">
        <f t="shared" si="1216"/>
        <v>415910804.39999998</v>
      </c>
      <c r="AC1038" s="326">
        <f t="shared" si="1218"/>
        <v>1</v>
      </c>
    </row>
    <row r="1039" spans="1:29" ht="25.5" hidden="1" x14ac:dyDescent="0.2">
      <c r="A1039" s="424"/>
      <c r="B1039" s="323" t="s">
        <v>1805</v>
      </c>
      <c r="C1039" s="206" t="s">
        <v>1806</v>
      </c>
      <c r="D1039" s="290"/>
      <c r="E1039" s="325">
        <f>SUM('ADICIONES  2021'!C1039:N1039)</f>
        <v>500000</v>
      </c>
      <c r="F1039" s="290"/>
      <c r="G1039" s="290"/>
      <c r="H1039" s="290"/>
      <c r="I1039" s="290"/>
      <c r="J1039" s="290"/>
      <c r="K1039" s="281">
        <f t="shared" si="1139"/>
        <v>500000</v>
      </c>
      <c r="L1039" s="290"/>
      <c r="M1039" s="290"/>
      <c r="N1039" s="290"/>
      <c r="O1039" s="290"/>
      <c r="P1039" s="290">
        <v>500000</v>
      </c>
      <c r="Q1039" s="290"/>
      <c r="R1039" s="281">
        <f t="shared" si="1219"/>
        <v>500000</v>
      </c>
      <c r="S1039" s="290"/>
      <c r="T1039" s="290"/>
      <c r="U1039" s="290"/>
      <c r="V1039" s="290"/>
      <c r="W1039" s="290"/>
      <c r="X1039" s="290"/>
      <c r="Y1039" s="290"/>
      <c r="Z1039" s="290"/>
      <c r="AA1039" s="281">
        <f t="shared" si="1209"/>
        <v>0</v>
      </c>
      <c r="AB1039" s="403">
        <f t="shared" si="1216"/>
        <v>500000</v>
      </c>
      <c r="AC1039" s="326">
        <f t="shared" si="1218"/>
        <v>1</v>
      </c>
    </row>
    <row r="1040" spans="1:29" ht="25.5" hidden="1" x14ac:dyDescent="0.2">
      <c r="A1040" s="424"/>
      <c r="B1040" s="323" t="s">
        <v>1805</v>
      </c>
      <c r="C1040" s="206" t="s">
        <v>1806</v>
      </c>
      <c r="D1040" s="290"/>
      <c r="E1040" s="325">
        <f>SUM('ADICIONES  2021'!C1040:N1040)</f>
        <v>1050628298</v>
      </c>
      <c r="F1040" s="290"/>
      <c r="G1040" s="290"/>
      <c r="H1040" s="290"/>
      <c r="I1040" s="290"/>
      <c r="J1040" s="290"/>
      <c r="K1040" s="281">
        <f t="shared" si="1139"/>
        <v>1050628298</v>
      </c>
      <c r="L1040" s="290"/>
      <c r="M1040" s="290"/>
      <c r="N1040" s="290"/>
      <c r="O1040" s="290"/>
      <c r="P1040" s="290">
        <v>1050628298</v>
      </c>
      <c r="Q1040" s="290"/>
      <c r="R1040" s="281">
        <f t="shared" si="1219"/>
        <v>1050628298</v>
      </c>
      <c r="S1040" s="290"/>
      <c r="T1040" s="290"/>
      <c r="U1040" s="290"/>
      <c r="V1040" s="290"/>
      <c r="W1040" s="290"/>
      <c r="X1040" s="290"/>
      <c r="Y1040" s="290"/>
      <c r="Z1040" s="290"/>
      <c r="AA1040" s="281">
        <f t="shared" si="1209"/>
        <v>0</v>
      </c>
      <c r="AB1040" s="403">
        <f t="shared" si="1216"/>
        <v>1050628298</v>
      </c>
      <c r="AC1040" s="326">
        <f t="shared" si="1218"/>
        <v>1</v>
      </c>
    </row>
    <row r="1041" spans="1:29" ht="25.5" hidden="1" x14ac:dyDescent="0.2">
      <c r="A1041" s="424"/>
      <c r="B1041" s="323" t="s">
        <v>1805</v>
      </c>
      <c r="C1041" s="206" t="s">
        <v>1806</v>
      </c>
      <c r="D1041" s="290"/>
      <c r="E1041" s="325">
        <f>SUM('ADICIONES  2021'!C1041:N1041)</f>
        <v>326231624</v>
      </c>
      <c r="F1041" s="290"/>
      <c r="G1041" s="290"/>
      <c r="H1041" s="290"/>
      <c r="I1041" s="290"/>
      <c r="J1041" s="290"/>
      <c r="K1041" s="281">
        <f t="shared" si="1139"/>
        <v>326231624</v>
      </c>
      <c r="L1041" s="290"/>
      <c r="M1041" s="290"/>
      <c r="N1041" s="290"/>
      <c r="O1041" s="290"/>
      <c r="P1041" s="290">
        <v>326231624</v>
      </c>
      <c r="Q1041" s="290"/>
      <c r="R1041" s="281">
        <f t="shared" si="1219"/>
        <v>326231624</v>
      </c>
      <c r="S1041" s="290"/>
      <c r="T1041" s="290"/>
      <c r="U1041" s="290"/>
      <c r="V1041" s="290"/>
      <c r="W1041" s="290"/>
      <c r="X1041" s="290"/>
      <c r="Y1041" s="290"/>
      <c r="Z1041" s="290"/>
      <c r="AA1041" s="281">
        <f t="shared" si="1209"/>
        <v>0</v>
      </c>
      <c r="AB1041" s="403">
        <f t="shared" si="1216"/>
        <v>326231624</v>
      </c>
      <c r="AC1041" s="326">
        <f t="shared" si="1218"/>
        <v>1</v>
      </c>
    </row>
    <row r="1042" spans="1:29" ht="25.5" hidden="1" x14ac:dyDescent="0.2">
      <c r="A1042" s="424"/>
      <c r="B1042" s="323" t="s">
        <v>1805</v>
      </c>
      <c r="C1042" s="206" t="s">
        <v>1806</v>
      </c>
      <c r="D1042" s="290"/>
      <c r="E1042" s="325">
        <f>SUM('ADICIONES  2021'!C1042:N1042)</f>
        <v>217087307.66999999</v>
      </c>
      <c r="F1042" s="290"/>
      <c r="G1042" s="290"/>
      <c r="H1042" s="290"/>
      <c r="I1042" s="290"/>
      <c r="J1042" s="290"/>
      <c r="K1042" s="281">
        <f t="shared" si="1139"/>
        <v>217087307.66999999</v>
      </c>
      <c r="L1042" s="290"/>
      <c r="M1042" s="290"/>
      <c r="N1042" s="290"/>
      <c r="O1042" s="290"/>
      <c r="P1042" s="290">
        <v>217087307.66999999</v>
      </c>
      <c r="Q1042" s="290"/>
      <c r="R1042" s="281">
        <f t="shared" si="1219"/>
        <v>217087307.66999999</v>
      </c>
      <c r="S1042" s="290"/>
      <c r="T1042" s="290"/>
      <c r="U1042" s="290"/>
      <c r="V1042" s="290"/>
      <c r="W1042" s="290"/>
      <c r="X1042" s="290"/>
      <c r="Y1042" s="290"/>
      <c r="Z1042" s="290"/>
      <c r="AA1042" s="281">
        <f t="shared" si="1209"/>
        <v>0</v>
      </c>
      <c r="AB1042" s="403">
        <f t="shared" si="1216"/>
        <v>217087307.66999999</v>
      </c>
      <c r="AC1042" s="326">
        <f t="shared" si="1218"/>
        <v>1</v>
      </c>
    </row>
    <row r="1043" spans="1:29" ht="25.5" hidden="1" x14ac:dyDescent="0.2">
      <c r="A1043" s="424"/>
      <c r="B1043" s="323" t="s">
        <v>1805</v>
      </c>
      <c r="C1043" s="206" t="s">
        <v>1806</v>
      </c>
      <c r="D1043" s="290"/>
      <c r="E1043" s="325">
        <f>SUM('ADICIONES  2021'!C1043:N1043)</f>
        <v>300000000</v>
      </c>
      <c r="F1043" s="290"/>
      <c r="G1043" s="290"/>
      <c r="H1043" s="290"/>
      <c r="I1043" s="290"/>
      <c r="J1043" s="290"/>
      <c r="K1043" s="281">
        <f t="shared" si="1139"/>
        <v>300000000</v>
      </c>
      <c r="L1043" s="290"/>
      <c r="M1043" s="290"/>
      <c r="N1043" s="290"/>
      <c r="O1043" s="290"/>
      <c r="P1043" s="290">
        <v>300000000</v>
      </c>
      <c r="Q1043" s="290"/>
      <c r="R1043" s="281">
        <f t="shared" si="1219"/>
        <v>300000000</v>
      </c>
      <c r="S1043" s="290"/>
      <c r="T1043" s="290"/>
      <c r="U1043" s="290"/>
      <c r="V1043" s="290"/>
      <c r="W1043" s="290"/>
      <c r="X1043" s="290"/>
      <c r="Y1043" s="290"/>
      <c r="Z1043" s="290"/>
      <c r="AA1043" s="281">
        <f t="shared" si="1209"/>
        <v>0</v>
      </c>
      <c r="AB1043" s="403">
        <f t="shared" si="1216"/>
        <v>300000000</v>
      </c>
      <c r="AC1043" s="326">
        <f t="shared" si="1218"/>
        <v>1</v>
      </c>
    </row>
    <row r="1044" spans="1:29" ht="25.5" hidden="1" x14ac:dyDescent="0.2">
      <c r="A1044" s="424"/>
      <c r="B1044" s="323" t="s">
        <v>1805</v>
      </c>
      <c r="C1044" s="206" t="s">
        <v>1806</v>
      </c>
      <c r="D1044" s="290"/>
      <c r="E1044" s="325">
        <f>SUM('ADICIONES  2021'!C1044:N1044)</f>
        <v>112655921</v>
      </c>
      <c r="F1044" s="290"/>
      <c r="G1044" s="290"/>
      <c r="H1044" s="290"/>
      <c r="I1044" s="290"/>
      <c r="J1044" s="290"/>
      <c r="K1044" s="281">
        <f t="shared" si="1139"/>
        <v>112655921</v>
      </c>
      <c r="L1044" s="290"/>
      <c r="M1044" s="290"/>
      <c r="N1044" s="290"/>
      <c r="O1044" s="290"/>
      <c r="P1044" s="290">
        <v>112655921</v>
      </c>
      <c r="Q1044" s="290"/>
      <c r="R1044" s="281">
        <f t="shared" si="1219"/>
        <v>112655921</v>
      </c>
      <c r="S1044" s="290"/>
      <c r="T1044" s="290"/>
      <c r="U1044" s="290"/>
      <c r="V1044" s="290"/>
      <c r="W1044" s="290"/>
      <c r="X1044" s="290"/>
      <c r="Y1044" s="290"/>
      <c r="Z1044" s="290"/>
      <c r="AA1044" s="281">
        <f t="shared" si="1209"/>
        <v>0</v>
      </c>
      <c r="AB1044" s="403">
        <f t="shared" si="1216"/>
        <v>112655921</v>
      </c>
      <c r="AC1044" s="326">
        <f t="shared" si="1218"/>
        <v>1</v>
      </c>
    </row>
    <row r="1045" spans="1:29" ht="25.5" hidden="1" x14ac:dyDescent="0.2">
      <c r="A1045" s="424"/>
      <c r="B1045" s="323" t="s">
        <v>1805</v>
      </c>
      <c r="C1045" s="206" t="s">
        <v>1806</v>
      </c>
      <c r="D1045" s="290"/>
      <c r="E1045" s="325">
        <f>SUM('ADICIONES  2021'!C1045:N1045)</f>
        <v>10937000</v>
      </c>
      <c r="F1045" s="290"/>
      <c r="G1045" s="290"/>
      <c r="H1045" s="290"/>
      <c r="I1045" s="290"/>
      <c r="J1045" s="290"/>
      <c r="K1045" s="281">
        <f t="shared" si="1139"/>
        <v>10937000</v>
      </c>
      <c r="L1045" s="290"/>
      <c r="M1045" s="290"/>
      <c r="N1045" s="290"/>
      <c r="O1045" s="290"/>
      <c r="P1045" s="290">
        <v>10937000</v>
      </c>
      <c r="Q1045" s="290"/>
      <c r="R1045" s="281">
        <f t="shared" si="1219"/>
        <v>10937000</v>
      </c>
      <c r="S1045" s="290"/>
      <c r="T1045" s="290"/>
      <c r="U1045" s="290"/>
      <c r="V1045" s="290"/>
      <c r="W1045" s="290"/>
      <c r="X1045" s="290"/>
      <c r="Y1045" s="290"/>
      <c r="Z1045" s="290"/>
      <c r="AA1045" s="281">
        <f t="shared" si="1209"/>
        <v>0</v>
      </c>
      <c r="AB1045" s="403">
        <f t="shared" si="1216"/>
        <v>10937000</v>
      </c>
      <c r="AC1045" s="326">
        <f t="shared" si="1218"/>
        <v>1</v>
      </c>
    </row>
    <row r="1046" spans="1:29" ht="25.5" hidden="1" x14ac:dyDescent="0.2">
      <c r="A1046" s="424"/>
      <c r="B1046" s="323" t="s">
        <v>1805</v>
      </c>
      <c r="C1046" s="206" t="s">
        <v>1806</v>
      </c>
      <c r="D1046" s="290"/>
      <c r="E1046" s="325">
        <f>SUM('ADICIONES  2021'!C1046:N1046)</f>
        <v>1166036001</v>
      </c>
      <c r="F1046" s="290"/>
      <c r="G1046" s="290"/>
      <c r="H1046" s="290"/>
      <c r="I1046" s="290"/>
      <c r="J1046" s="290"/>
      <c r="K1046" s="281">
        <f t="shared" si="1139"/>
        <v>1166036001</v>
      </c>
      <c r="L1046" s="290"/>
      <c r="M1046" s="290"/>
      <c r="N1046" s="290"/>
      <c r="O1046" s="290"/>
      <c r="P1046" s="290">
        <v>1166036001</v>
      </c>
      <c r="Q1046" s="290"/>
      <c r="R1046" s="281">
        <f t="shared" si="1219"/>
        <v>1166036001</v>
      </c>
      <c r="S1046" s="290"/>
      <c r="T1046" s="290"/>
      <c r="U1046" s="290"/>
      <c r="V1046" s="290"/>
      <c r="W1046" s="290"/>
      <c r="X1046" s="290"/>
      <c r="Y1046" s="290"/>
      <c r="Z1046" s="290"/>
      <c r="AA1046" s="281">
        <f t="shared" si="1209"/>
        <v>0</v>
      </c>
      <c r="AB1046" s="403">
        <f t="shared" si="1216"/>
        <v>1166036001</v>
      </c>
      <c r="AC1046" s="326">
        <f t="shared" si="1218"/>
        <v>1</v>
      </c>
    </row>
    <row r="1047" spans="1:29" ht="25.5" hidden="1" x14ac:dyDescent="0.2">
      <c r="A1047" s="424"/>
      <c r="B1047" s="323" t="s">
        <v>1805</v>
      </c>
      <c r="C1047" s="206" t="s">
        <v>1806</v>
      </c>
      <c r="D1047" s="290"/>
      <c r="E1047" s="325">
        <f>SUM('ADICIONES  2021'!C1047:N1047)</f>
        <v>920162986.5</v>
      </c>
      <c r="F1047" s="290"/>
      <c r="G1047" s="290"/>
      <c r="H1047" s="290"/>
      <c r="I1047" s="290"/>
      <c r="J1047" s="290"/>
      <c r="K1047" s="281">
        <f t="shared" si="1139"/>
        <v>920162986.5</v>
      </c>
      <c r="L1047" s="290"/>
      <c r="M1047" s="290"/>
      <c r="N1047" s="290"/>
      <c r="O1047" s="290"/>
      <c r="P1047" s="290">
        <v>920162986.5</v>
      </c>
      <c r="Q1047" s="290"/>
      <c r="R1047" s="281">
        <f t="shared" si="1219"/>
        <v>920162986.5</v>
      </c>
      <c r="S1047" s="290"/>
      <c r="T1047" s="290"/>
      <c r="U1047" s="290"/>
      <c r="V1047" s="290"/>
      <c r="W1047" s="290"/>
      <c r="X1047" s="290"/>
      <c r="Y1047" s="290"/>
      <c r="Z1047" s="290"/>
      <c r="AA1047" s="281">
        <f t="shared" si="1209"/>
        <v>0</v>
      </c>
      <c r="AB1047" s="403">
        <f t="shared" si="1216"/>
        <v>920162986.5</v>
      </c>
      <c r="AC1047" s="326">
        <f t="shared" si="1218"/>
        <v>1</v>
      </c>
    </row>
    <row r="1048" spans="1:29" ht="14.25" hidden="1" x14ac:dyDescent="0.2">
      <c r="A1048" s="424"/>
      <c r="B1048" s="323" t="s">
        <v>1807</v>
      </c>
      <c r="C1048" s="206" t="s">
        <v>1808</v>
      </c>
      <c r="D1048" s="290"/>
      <c r="E1048" s="325">
        <f>SUM('ADICIONES  2021'!C1048:N1048)</f>
        <v>2695161841.1199999</v>
      </c>
      <c r="F1048" s="290"/>
      <c r="G1048" s="290"/>
      <c r="H1048" s="290"/>
      <c r="I1048" s="290"/>
      <c r="J1048" s="290"/>
      <c r="K1048" s="281">
        <f t="shared" si="1139"/>
        <v>2695161841.1199999</v>
      </c>
      <c r="L1048" s="290"/>
      <c r="M1048" s="290"/>
      <c r="N1048" s="290"/>
      <c r="O1048" s="290"/>
      <c r="P1048" s="290">
        <v>2695161841.1199999</v>
      </c>
      <c r="Q1048" s="290"/>
      <c r="R1048" s="281">
        <f t="shared" si="1219"/>
        <v>2695161841.1199999</v>
      </c>
      <c r="S1048" s="290"/>
      <c r="T1048" s="290"/>
      <c r="U1048" s="290"/>
      <c r="V1048" s="290"/>
      <c r="W1048" s="290"/>
      <c r="X1048" s="290"/>
      <c r="Y1048" s="290"/>
      <c r="Z1048" s="290"/>
      <c r="AA1048" s="281">
        <f t="shared" si="1209"/>
        <v>0</v>
      </c>
      <c r="AB1048" s="403">
        <f t="shared" si="1216"/>
        <v>2695161841.1199999</v>
      </c>
      <c r="AC1048" s="326">
        <f t="shared" si="1218"/>
        <v>1</v>
      </c>
    </row>
    <row r="1049" spans="1:29" ht="14.25" hidden="1" x14ac:dyDescent="0.2">
      <c r="A1049" s="424"/>
      <c r="B1049" s="323" t="s">
        <v>1807</v>
      </c>
      <c r="C1049" s="206" t="s">
        <v>1808</v>
      </c>
      <c r="D1049" s="290"/>
      <c r="E1049" s="325">
        <f>SUM('ADICIONES  2021'!C1049:N1049)</f>
        <v>13635000</v>
      </c>
      <c r="F1049" s="290"/>
      <c r="G1049" s="290"/>
      <c r="H1049" s="290"/>
      <c r="I1049" s="290"/>
      <c r="J1049" s="290"/>
      <c r="K1049" s="281">
        <f t="shared" si="1139"/>
        <v>13635000</v>
      </c>
      <c r="L1049" s="290"/>
      <c r="M1049" s="290"/>
      <c r="N1049" s="290"/>
      <c r="O1049" s="290"/>
      <c r="P1049" s="290">
        <v>13635000</v>
      </c>
      <c r="Q1049" s="290"/>
      <c r="R1049" s="281">
        <f t="shared" si="1219"/>
        <v>13635000</v>
      </c>
      <c r="S1049" s="290"/>
      <c r="T1049" s="290"/>
      <c r="U1049" s="290"/>
      <c r="V1049" s="290"/>
      <c r="W1049" s="290"/>
      <c r="X1049" s="290"/>
      <c r="Y1049" s="290"/>
      <c r="Z1049" s="290"/>
      <c r="AA1049" s="281">
        <f t="shared" si="1209"/>
        <v>0</v>
      </c>
      <c r="AB1049" s="403">
        <f t="shared" si="1216"/>
        <v>13635000</v>
      </c>
      <c r="AC1049" s="326">
        <f t="shared" si="1218"/>
        <v>1</v>
      </c>
    </row>
    <row r="1050" spans="1:29" ht="14.25" hidden="1" x14ac:dyDescent="0.2">
      <c r="A1050" s="424"/>
      <c r="B1050" s="323" t="s">
        <v>1807</v>
      </c>
      <c r="C1050" s="206" t="s">
        <v>1808</v>
      </c>
      <c r="D1050" s="290"/>
      <c r="E1050" s="325">
        <f>SUM('ADICIONES  2021'!C1050:N1050)</f>
        <v>407273.67</v>
      </c>
      <c r="F1050" s="290"/>
      <c r="G1050" s="290"/>
      <c r="H1050" s="290"/>
      <c r="I1050" s="290"/>
      <c r="J1050" s="290"/>
      <c r="K1050" s="281">
        <f t="shared" si="1139"/>
        <v>407273.67</v>
      </c>
      <c r="L1050" s="290"/>
      <c r="M1050" s="290"/>
      <c r="N1050" s="290"/>
      <c r="O1050" s="290"/>
      <c r="P1050" s="290">
        <v>407273.67</v>
      </c>
      <c r="Q1050" s="290"/>
      <c r="R1050" s="281">
        <f t="shared" si="1219"/>
        <v>407273.67</v>
      </c>
      <c r="S1050" s="290"/>
      <c r="T1050" s="290"/>
      <c r="U1050" s="290"/>
      <c r="V1050" s="290"/>
      <c r="W1050" s="290"/>
      <c r="X1050" s="290"/>
      <c r="Y1050" s="290"/>
      <c r="Z1050" s="290"/>
      <c r="AA1050" s="281">
        <f t="shared" si="1209"/>
        <v>0</v>
      </c>
      <c r="AB1050" s="403">
        <f t="shared" si="1216"/>
        <v>407273.67</v>
      </c>
      <c r="AC1050" s="326">
        <f t="shared" si="1218"/>
        <v>1</v>
      </c>
    </row>
    <row r="1051" spans="1:29" ht="14.25" hidden="1" x14ac:dyDescent="0.2">
      <c r="A1051" s="424"/>
      <c r="B1051" s="323" t="s">
        <v>1807</v>
      </c>
      <c r="C1051" s="206" t="s">
        <v>1808</v>
      </c>
      <c r="D1051" s="290"/>
      <c r="E1051" s="325">
        <f>SUM('ADICIONES  2021'!C1051:N1051)</f>
        <v>73280168</v>
      </c>
      <c r="F1051" s="290"/>
      <c r="G1051" s="290"/>
      <c r="H1051" s="290"/>
      <c r="I1051" s="290"/>
      <c r="J1051" s="290"/>
      <c r="K1051" s="281">
        <f t="shared" si="1139"/>
        <v>73280168</v>
      </c>
      <c r="L1051" s="290"/>
      <c r="M1051" s="290"/>
      <c r="N1051" s="290"/>
      <c r="O1051" s="290"/>
      <c r="P1051" s="290">
        <v>73280168</v>
      </c>
      <c r="Q1051" s="290"/>
      <c r="R1051" s="281">
        <f t="shared" si="1219"/>
        <v>73280168</v>
      </c>
      <c r="S1051" s="290"/>
      <c r="T1051" s="290"/>
      <c r="U1051" s="290"/>
      <c r="V1051" s="290"/>
      <c r="W1051" s="290"/>
      <c r="X1051" s="290"/>
      <c r="Y1051" s="290"/>
      <c r="Z1051" s="290"/>
      <c r="AA1051" s="281">
        <f t="shared" si="1209"/>
        <v>0</v>
      </c>
      <c r="AB1051" s="403">
        <f t="shared" si="1216"/>
        <v>73280168</v>
      </c>
      <c r="AC1051" s="326">
        <f t="shared" si="1218"/>
        <v>1</v>
      </c>
    </row>
    <row r="1052" spans="1:29" ht="14.25" hidden="1" x14ac:dyDescent="0.2">
      <c r="A1052" s="424"/>
      <c r="B1052" s="323" t="s">
        <v>1807</v>
      </c>
      <c r="C1052" s="206" t="s">
        <v>1808</v>
      </c>
      <c r="D1052" s="290"/>
      <c r="E1052" s="325">
        <f>SUM('ADICIONES  2021'!C1052:N1052)</f>
        <v>450200</v>
      </c>
      <c r="F1052" s="290"/>
      <c r="G1052" s="290"/>
      <c r="H1052" s="290"/>
      <c r="I1052" s="290"/>
      <c r="J1052" s="290"/>
      <c r="K1052" s="281">
        <f t="shared" si="1139"/>
        <v>450200</v>
      </c>
      <c r="L1052" s="290"/>
      <c r="M1052" s="290"/>
      <c r="N1052" s="290"/>
      <c r="O1052" s="290"/>
      <c r="P1052" s="290">
        <v>450200</v>
      </c>
      <c r="Q1052" s="290"/>
      <c r="R1052" s="281">
        <f t="shared" si="1219"/>
        <v>450200</v>
      </c>
      <c r="S1052" s="290"/>
      <c r="T1052" s="290"/>
      <c r="U1052" s="290"/>
      <c r="V1052" s="290"/>
      <c r="W1052" s="290"/>
      <c r="X1052" s="290"/>
      <c r="Y1052" s="290"/>
      <c r="Z1052" s="290"/>
      <c r="AA1052" s="281">
        <f t="shared" si="1209"/>
        <v>0</v>
      </c>
      <c r="AB1052" s="403">
        <f t="shared" si="1216"/>
        <v>450200</v>
      </c>
      <c r="AC1052" s="326">
        <f t="shared" si="1218"/>
        <v>1</v>
      </c>
    </row>
    <row r="1053" spans="1:29" ht="14.25" hidden="1" x14ac:dyDescent="0.2">
      <c r="A1053" s="424"/>
      <c r="B1053" s="323" t="s">
        <v>1807</v>
      </c>
      <c r="C1053" s="206" t="s">
        <v>1808</v>
      </c>
      <c r="D1053" s="290"/>
      <c r="E1053" s="325">
        <f>SUM('ADICIONES  2021'!C1053:N1053)</f>
        <v>153428321.09999999</v>
      </c>
      <c r="F1053" s="290"/>
      <c r="G1053" s="290"/>
      <c r="H1053" s="290"/>
      <c r="I1053" s="290"/>
      <c r="J1053" s="290"/>
      <c r="K1053" s="281">
        <f t="shared" si="1139"/>
        <v>153428321.09999999</v>
      </c>
      <c r="L1053" s="290"/>
      <c r="M1053" s="290"/>
      <c r="N1053" s="290"/>
      <c r="O1053" s="290"/>
      <c r="P1053" s="290">
        <v>153428321.09999999</v>
      </c>
      <c r="Q1053" s="290"/>
      <c r="R1053" s="281">
        <f t="shared" si="1219"/>
        <v>153428321.09999999</v>
      </c>
      <c r="S1053" s="290"/>
      <c r="T1053" s="290"/>
      <c r="U1053" s="290"/>
      <c r="V1053" s="290"/>
      <c r="W1053" s="290"/>
      <c r="X1053" s="290"/>
      <c r="Y1053" s="290"/>
      <c r="Z1053" s="290"/>
      <c r="AA1053" s="281">
        <f t="shared" si="1209"/>
        <v>0</v>
      </c>
      <c r="AB1053" s="403">
        <f t="shared" si="1216"/>
        <v>153428321.09999999</v>
      </c>
      <c r="AC1053" s="326">
        <f t="shared" si="1218"/>
        <v>1</v>
      </c>
    </row>
    <row r="1054" spans="1:29" ht="14.25" hidden="1" x14ac:dyDescent="0.2">
      <c r="A1054" s="424"/>
      <c r="B1054" s="323" t="s">
        <v>1807</v>
      </c>
      <c r="C1054" s="206" t="s">
        <v>1808</v>
      </c>
      <c r="D1054" s="290"/>
      <c r="E1054" s="325">
        <f>SUM('ADICIONES  2021'!C1054:N1054)</f>
        <v>19900000</v>
      </c>
      <c r="F1054" s="290"/>
      <c r="G1054" s="290"/>
      <c r="H1054" s="290"/>
      <c r="I1054" s="290"/>
      <c r="J1054" s="290"/>
      <c r="K1054" s="281">
        <f t="shared" si="1139"/>
        <v>19900000</v>
      </c>
      <c r="L1054" s="290"/>
      <c r="M1054" s="290"/>
      <c r="N1054" s="290"/>
      <c r="O1054" s="290"/>
      <c r="P1054" s="290">
        <v>19900000</v>
      </c>
      <c r="Q1054" s="290"/>
      <c r="R1054" s="281">
        <f t="shared" si="1219"/>
        <v>19900000</v>
      </c>
      <c r="S1054" s="290"/>
      <c r="T1054" s="290"/>
      <c r="U1054" s="290"/>
      <c r="V1054" s="290"/>
      <c r="W1054" s="290"/>
      <c r="X1054" s="290"/>
      <c r="Y1054" s="290"/>
      <c r="Z1054" s="290"/>
      <c r="AA1054" s="281">
        <f t="shared" si="1209"/>
        <v>0</v>
      </c>
      <c r="AB1054" s="403">
        <f t="shared" si="1216"/>
        <v>19900000</v>
      </c>
      <c r="AC1054" s="326">
        <f t="shared" si="1218"/>
        <v>1</v>
      </c>
    </row>
    <row r="1055" spans="1:29" ht="14.25" hidden="1" x14ac:dyDescent="0.2">
      <c r="A1055" s="424"/>
      <c r="B1055" s="323" t="s">
        <v>1807</v>
      </c>
      <c r="C1055" s="206" t="s">
        <v>1808</v>
      </c>
      <c r="D1055" s="290"/>
      <c r="E1055" s="325">
        <f>SUM('ADICIONES  2021'!C1055:N1055)</f>
        <v>71223068</v>
      </c>
      <c r="F1055" s="290"/>
      <c r="G1055" s="290"/>
      <c r="H1055" s="290"/>
      <c r="I1055" s="290"/>
      <c r="J1055" s="290"/>
      <c r="K1055" s="281">
        <f t="shared" si="1139"/>
        <v>71223068</v>
      </c>
      <c r="L1055" s="290"/>
      <c r="M1055" s="290"/>
      <c r="N1055" s="290"/>
      <c r="O1055" s="290"/>
      <c r="P1055" s="290">
        <v>71223068</v>
      </c>
      <c r="Q1055" s="290"/>
      <c r="R1055" s="281">
        <f t="shared" si="1219"/>
        <v>71223068</v>
      </c>
      <c r="S1055" s="290"/>
      <c r="T1055" s="290"/>
      <c r="U1055" s="290"/>
      <c r="V1055" s="290"/>
      <c r="W1055" s="290"/>
      <c r="X1055" s="290"/>
      <c r="Y1055" s="290"/>
      <c r="Z1055" s="290"/>
      <c r="AA1055" s="281">
        <f t="shared" si="1209"/>
        <v>0</v>
      </c>
      <c r="AB1055" s="403">
        <f t="shared" si="1216"/>
        <v>71223068</v>
      </c>
      <c r="AC1055" s="326">
        <f t="shared" si="1218"/>
        <v>1</v>
      </c>
    </row>
    <row r="1056" spans="1:29" ht="14.25" hidden="1" x14ac:dyDescent="0.2">
      <c r="A1056" s="424"/>
      <c r="B1056" s="323" t="s">
        <v>1807</v>
      </c>
      <c r="C1056" s="206" t="s">
        <v>1808</v>
      </c>
      <c r="D1056" s="290"/>
      <c r="E1056" s="325">
        <f>SUM('ADICIONES  2021'!C1056:N1056)</f>
        <v>400000</v>
      </c>
      <c r="F1056" s="290"/>
      <c r="G1056" s="290"/>
      <c r="H1056" s="290"/>
      <c r="I1056" s="290"/>
      <c r="J1056" s="290"/>
      <c r="K1056" s="281">
        <f t="shared" si="1139"/>
        <v>400000</v>
      </c>
      <c r="L1056" s="290"/>
      <c r="M1056" s="290"/>
      <c r="N1056" s="290"/>
      <c r="O1056" s="290"/>
      <c r="P1056" s="290">
        <v>400000</v>
      </c>
      <c r="Q1056" s="290"/>
      <c r="R1056" s="281">
        <f t="shared" si="1219"/>
        <v>400000</v>
      </c>
      <c r="S1056" s="290"/>
      <c r="T1056" s="290"/>
      <c r="U1056" s="290"/>
      <c r="V1056" s="290"/>
      <c r="W1056" s="290"/>
      <c r="X1056" s="290"/>
      <c r="Y1056" s="290"/>
      <c r="Z1056" s="290"/>
      <c r="AA1056" s="281">
        <f t="shared" si="1209"/>
        <v>0</v>
      </c>
      <c r="AB1056" s="403">
        <f t="shared" si="1216"/>
        <v>400000</v>
      </c>
      <c r="AC1056" s="326">
        <f t="shared" si="1218"/>
        <v>1</v>
      </c>
    </row>
    <row r="1057" spans="1:29" ht="14.25" hidden="1" x14ac:dyDescent="0.2">
      <c r="A1057" s="424"/>
      <c r="B1057" s="323" t="s">
        <v>1807</v>
      </c>
      <c r="C1057" s="206" t="s">
        <v>1808</v>
      </c>
      <c r="D1057" s="290"/>
      <c r="E1057" s="325">
        <f>SUM('ADICIONES  2021'!C1057:N1057)</f>
        <v>476922002</v>
      </c>
      <c r="F1057" s="290"/>
      <c r="G1057" s="290"/>
      <c r="H1057" s="290"/>
      <c r="I1057" s="290"/>
      <c r="J1057" s="290"/>
      <c r="K1057" s="281">
        <f t="shared" si="1139"/>
        <v>476922002</v>
      </c>
      <c r="L1057" s="290"/>
      <c r="M1057" s="290"/>
      <c r="N1057" s="290"/>
      <c r="O1057" s="290"/>
      <c r="P1057" s="290">
        <v>476922002</v>
      </c>
      <c r="Q1057" s="290"/>
      <c r="R1057" s="281">
        <f t="shared" si="1219"/>
        <v>476922002</v>
      </c>
      <c r="S1057" s="290"/>
      <c r="T1057" s="290"/>
      <c r="U1057" s="290"/>
      <c r="V1057" s="290"/>
      <c r="W1057" s="290"/>
      <c r="X1057" s="290"/>
      <c r="Y1057" s="290"/>
      <c r="Z1057" s="290"/>
      <c r="AA1057" s="281">
        <f t="shared" si="1209"/>
        <v>0</v>
      </c>
      <c r="AB1057" s="403">
        <f t="shared" si="1216"/>
        <v>476922002</v>
      </c>
      <c r="AC1057" s="326">
        <f t="shared" si="1218"/>
        <v>1</v>
      </c>
    </row>
    <row r="1058" spans="1:29" ht="14.25" hidden="1" x14ac:dyDescent="0.2">
      <c r="A1058" s="424"/>
      <c r="B1058" s="323" t="s">
        <v>1807</v>
      </c>
      <c r="C1058" s="206" t="s">
        <v>1808</v>
      </c>
      <c r="D1058" s="290"/>
      <c r="E1058" s="325">
        <f>SUM('ADICIONES  2021'!C1058:N1058)</f>
        <v>158465735.84</v>
      </c>
      <c r="F1058" s="290"/>
      <c r="G1058" s="290"/>
      <c r="H1058" s="290"/>
      <c r="I1058" s="290"/>
      <c r="J1058" s="290"/>
      <c r="K1058" s="281">
        <f t="shared" si="1139"/>
        <v>158465735.84</v>
      </c>
      <c r="L1058" s="290"/>
      <c r="M1058" s="290"/>
      <c r="N1058" s="290"/>
      <c r="O1058" s="290"/>
      <c r="P1058" s="290">
        <v>158465735.84</v>
      </c>
      <c r="Q1058" s="290"/>
      <c r="R1058" s="281">
        <f t="shared" si="1219"/>
        <v>158465735.84</v>
      </c>
      <c r="S1058" s="290"/>
      <c r="T1058" s="290"/>
      <c r="U1058" s="290"/>
      <c r="V1058" s="290"/>
      <c r="W1058" s="290"/>
      <c r="X1058" s="290"/>
      <c r="Y1058" s="290"/>
      <c r="Z1058" s="290"/>
      <c r="AA1058" s="281">
        <f t="shared" si="1209"/>
        <v>0</v>
      </c>
      <c r="AB1058" s="403">
        <f t="shared" si="1216"/>
        <v>158465735.84</v>
      </c>
      <c r="AC1058" s="326">
        <f t="shared" si="1218"/>
        <v>1</v>
      </c>
    </row>
    <row r="1059" spans="1:29" ht="14.25" hidden="1" x14ac:dyDescent="0.2">
      <c r="A1059" s="424"/>
      <c r="B1059" s="323" t="s">
        <v>1807</v>
      </c>
      <c r="C1059" s="206" t="s">
        <v>1808</v>
      </c>
      <c r="D1059" s="290"/>
      <c r="E1059" s="325">
        <f>SUM('ADICIONES  2021'!C1059:N1059)</f>
        <v>567785.43999999994</v>
      </c>
      <c r="F1059" s="290"/>
      <c r="G1059" s="290"/>
      <c r="H1059" s="290"/>
      <c r="I1059" s="290"/>
      <c r="J1059" s="290"/>
      <c r="K1059" s="281">
        <f t="shared" si="1139"/>
        <v>567785.43999999994</v>
      </c>
      <c r="L1059" s="290"/>
      <c r="M1059" s="290"/>
      <c r="N1059" s="290"/>
      <c r="O1059" s="290"/>
      <c r="P1059" s="290">
        <v>567785.43999999994</v>
      </c>
      <c r="Q1059" s="290"/>
      <c r="R1059" s="281">
        <f t="shared" si="1219"/>
        <v>567785.43999999994</v>
      </c>
      <c r="S1059" s="290"/>
      <c r="T1059" s="290"/>
      <c r="U1059" s="290"/>
      <c r="V1059" s="290"/>
      <c r="W1059" s="290"/>
      <c r="X1059" s="290"/>
      <c r="Y1059" s="290"/>
      <c r="Z1059" s="290"/>
      <c r="AA1059" s="281">
        <f t="shared" si="1209"/>
        <v>0</v>
      </c>
      <c r="AB1059" s="403">
        <f t="shared" si="1216"/>
        <v>567785.43999999994</v>
      </c>
      <c r="AC1059" s="326">
        <f t="shared" si="1218"/>
        <v>1</v>
      </c>
    </row>
    <row r="1060" spans="1:29" ht="14.25" hidden="1" x14ac:dyDescent="0.2">
      <c r="A1060" s="424"/>
      <c r="B1060" s="323" t="s">
        <v>1807</v>
      </c>
      <c r="C1060" s="206" t="s">
        <v>1808</v>
      </c>
      <c r="D1060" s="290"/>
      <c r="E1060" s="325">
        <f>SUM('ADICIONES  2021'!C1060:N1060)</f>
        <v>3921720000</v>
      </c>
      <c r="F1060" s="290"/>
      <c r="G1060" s="290"/>
      <c r="H1060" s="290"/>
      <c r="I1060" s="290"/>
      <c r="J1060" s="290"/>
      <c r="K1060" s="281">
        <f t="shared" si="1139"/>
        <v>3921720000</v>
      </c>
      <c r="L1060" s="290"/>
      <c r="M1060" s="290"/>
      <c r="N1060" s="290"/>
      <c r="O1060" s="290"/>
      <c r="P1060" s="290">
        <v>3921720000</v>
      </c>
      <c r="Q1060" s="290"/>
      <c r="R1060" s="281">
        <f t="shared" si="1219"/>
        <v>3921720000</v>
      </c>
      <c r="S1060" s="290"/>
      <c r="T1060" s="290"/>
      <c r="U1060" s="290"/>
      <c r="V1060" s="290"/>
      <c r="W1060" s="290"/>
      <c r="X1060" s="290"/>
      <c r="Y1060" s="290"/>
      <c r="Z1060" s="290"/>
      <c r="AA1060" s="281">
        <f t="shared" si="1209"/>
        <v>0</v>
      </c>
      <c r="AB1060" s="403">
        <f t="shared" si="1216"/>
        <v>3921720000</v>
      </c>
      <c r="AC1060" s="326">
        <f t="shared" si="1218"/>
        <v>1</v>
      </c>
    </row>
    <row r="1061" spans="1:29" ht="14.25" hidden="1" x14ac:dyDescent="0.2">
      <c r="A1061" s="424"/>
      <c r="B1061" s="323" t="s">
        <v>1807</v>
      </c>
      <c r="C1061" s="206" t="s">
        <v>1808</v>
      </c>
      <c r="D1061" s="290"/>
      <c r="E1061" s="325">
        <f>SUM('ADICIONES  2021'!C1061:N1061)</f>
        <v>12250741.050000001</v>
      </c>
      <c r="F1061" s="290"/>
      <c r="G1061" s="290"/>
      <c r="H1061" s="290"/>
      <c r="I1061" s="290"/>
      <c r="J1061" s="290"/>
      <c r="K1061" s="281">
        <f t="shared" si="1139"/>
        <v>12250741.050000001</v>
      </c>
      <c r="L1061" s="290"/>
      <c r="M1061" s="290"/>
      <c r="N1061" s="290"/>
      <c r="O1061" s="290"/>
      <c r="P1061" s="290">
        <v>12250741.050000001</v>
      </c>
      <c r="Q1061" s="290"/>
      <c r="R1061" s="281">
        <f t="shared" si="1219"/>
        <v>12250741.050000001</v>
      </c>
      <c r="S1061" s="290"/>
      <c r="T1061" s="290"/>
      <c r="U1061" s="290"/>
      <c r="V1061" s="290"/>
      <c r="W1061" s="290"/>
      <c r="X1061" s="290"/>
      <c r="Y1061" s="290"/>
      <c r="Z1061" s="290"/>
      <c r="AA1061" s="281">
        <f t="shared" si="1209"/>
        <v>0</v>
      </c>
      <c r="AB1061" s="403">
        <f t="shared" si="1216"/>
        <v>12250741.050000001</v>
      </c>
      <c r="AC1061" s="326">
        <f t="shared" si="1218"/>
        <v>1</v>
      </c>
    </row>
    <row r="1062" spans="1:29" ht="14.25" hidden="1" x14ac:dyDescent="0.2">
      <c r="A1062" s="424"/>
      <c r="B1062" s="323" t="s">
        <v>1807</v>
      </c>
      <c r="C1062" s="206" t="s">
        <v>1808</v>
      </c>
      <c r="D1062" s="290"/>
      <c r="E1062" s="325">
        <f>SUM('ADICIONES  2021'!C1062:N1062)</f>
        <v>19934058.309999999</v>
      </c>
      <c r="F1062" s="290"/>
      <c r="G1062" s="290"/>
      <c r="H1062" s="290"/>
      <c r="I1062" s="290"/>
      <c r="J1062" s="290"/>
      <c r="K1062" s="281">
        <f t="shared" si="1139"/>
        <v>19934058.309999999</v>
      </c>
      <c r="L1062" s="290"/>
      <c r="M1062" s="290"/>
      <c r="N1062" s="290"/>
      <c r="O1062" s="290"/>
      <c r="P1062" s="290">
        <v>19934058.309999999</v>
      </c>
      <c r="Q1062" s="290"/>
      <c r="R1062" s="281">
        <f t="shared" si="1219"/>
        <v>19934058.309999999</v>
      </c>
      <c r="S1062" s="290"/>
      <c r="T1062" s="290"/>
      <c r="U1062" s="290"/>
      <c r="V1062" s="290"/>
      <c r="W1062" s="290"/>
      <c r="X1062" s="290"/>
      <c r="Y1062" s="290"/>
      <c r="Z1062" s="290"/>
      <c r="AA1062" s="281">
        <f t="shared" si="1209"/>
        <v>0</v>
      </c>
      <c r="AB1062" s="403">
        <f t="shared" si="1216"/>
        <v>19934058.309999999</v>
      </c>
      <c r="AC1062" s="326">
        <f t="shared" si="1218"/>
        <v>1</v>
      </c>
    </row>
    <row r="1063" spans="1:29" ht="14.25" hidden="1" x14ac:dyDescent="0.2">
      <c r="A1063" s="424"/>
      <c r="B1063" s="323" t="s">
        <v>1809</v>
      </c>
      <c r="C1063" s="206" t="s">
        <v>1810</v>
      </c>
      <c r="D1063" s="290"/>
      <c r="E1063" s="325">
        <f>SUM('ADICIONES  2021'!C1063:N1063)</f>
        <v>19854946.030000001</v>
      </c>
      <c r="F1063" s="290"/>
      <c r="G1063" s="290"/>
      <c r="H1063" s="290"/>
      <c r="I1063" s="290"/>
      <c r="J1063" s="290"/>
      <c r="K1063" s="281">
        <f t="shared" si="1139"/>
        <v>19854946.030000001</v>
      </c>
      <c r="L1063" s="290"/>
      <c r="M1063" s="290"/>
      <c r="N1063" s="290"/>
      <c r="O1063" s="290"/>
      <c r="P1063" s="290">
        <v>2072892085.22</v>
      </c>
      <c r="Q1063" s="290"/>
      <c r="R1063" s="281">
        <f t="shared" si="1219"/>
        <v>2072892085.22</v>
      </c>
      <c r="S1063" s="290"/>
      <c r="T1063" s="290"/>
      <c r="U1063" s="290"/>
      <c r="V1063" s="290"/>
      <c r="W1063" s="290"/>
      <c r="X1063" s="290"/>
      <c r="Y1063" s="290"/>
      <c r="Z1063" s="290"/>
      <c r="AA1063" s="281">
        <f t="shared" si="1209"/>
        <v>0</v>
      </c>
      <c r="AB1063" s="403">
        <f t="shared" si="1216"/>
        <v>2072892085.22</v>
      </c>
      <c r="AC1063" s="326">
        <f t="shared" si="1218"/>
        <v>104.40179903223842</v>
      </c>
    </row>
    <row r="1064" spans="1:29" ht="14.25" hidden="1" x14ac:dyDescent="0.2">
      <c r="A1064" s="424"/>
      <c r="B1064" s="323" t="s">
        <v>1809</v>
      </c>
      <c r="C1064" s="206" t="s">
        <v>1810</v>
      </c>
      <c r="D1064" s="290"/>
      <c r="E1064" s="325">
        <f>SUM('ADICIONES  2021'!C1064:N1064)</f>
        <v>2072892085.22</v>
      </c>
      <c r="F1064" s="290"/>
      <c r="G1064" s="290"/>
      <c r="H1064" s="290"/>
      <c r="I1064" s="290"/>
      <c r="J1064" s="290"/>
      <c r="K1064" s="281">
        <f t="shared" si="1139"/>
        <v>2072892085.22</v>
      </c>
      <c r="L1064" s="290"/>
      <c r="M1064" s="290"/>
      <c r="N1064" s="290"/>
      <c r="O1064" s="290"/>
      <c r="P1064" s="290">
        <v>19854946.030000001</v>
      </c>
      <c r="Q1064" s="290"/>
      <c r="R1064" s="281">
        <f t="shared" si="1219"/>
        <v>19854946.030000001</v>
      </c>
      <c r="S1064" s="290"/>
      <c r="T1064" s="290"/>
      <c r="U1064" s="290"/>
      <c r="V1064" s="290"/>
      <c r="W1064" s="290"/>
      <c r="X1064" s="290"/>
      <c r="Y1064" s="290"/>
      <c r="Z1064" s="290"/>
      <c r="AA1064" s="281">
        <f t="shared" si="1209"/>
        <v>0</v>
      </c>
      <c r="AB1064" s="403">
        <f t="shared" si="1216"/>
        <v>19854946.030000001</v>
      </c>
      <c r="AC1064" s="326">
        <f t="shared" si="1218"/>
        <v>9.578379005626218E-3</v>
      </c>
    </row>
    <row r="1065" spans="1:29" ht="14.25" hidden="1" x14ac:dyDescent="0.2">
      <c r="A1065" s="424"/>
      <c r="B1065" s="323" t="s">
        <v>1809</v>
      </c>
      <c r="C1065" s="206" t="s">
        <v>1810</v>
      </c>
      <c r="D1065" s="290"/>
      <c r="E1065" s="325">
        <f>SUM('ADICIONES  2021'!C1065:N1065)</f>
        <v>5674288</v>
      </c>
      <c r="F1065" s="290"/>
      <c r="G1065" s="290"/>
      <c r="H1065" s="290"/>
      <c r="I1065" s="290"/>
      <c r="J1065" s="290"/>
      <c r="K1065" s="281">
        <f t="shared" si="1139"/>
        <v>5674288</v>
      </c>
      <c r="L1065" s="290"/>
      <c r="M1065" s="290"/>
      <c r="N1065" s="290"/>
      <c r="O1065" s="290"/>
      <c r="P1065" s="290">
        <v>5674288</v>
      </c>
      <c r="Q1065" s="290"/>
      <c r="R1065" s="281">
        <f t="shared" si="1219"/>
        <v>5674288</v>
      </c>
      <c r="S1065" s="290"/>
      <c r="T1065" s="290"/>
      <c r="U1065" s="290"/>
      <c r="V1065" s="290"/>
      <c r="W1065" s="290"/>
      <c r="X1065" s="290"/>
      <c r="Y1065" s="290"/>
      <c r="Z1065" s="290"/>
      <c r="AA1065" s="281">
        <f t="shared" si="1209"/>
        <v>0</v>
      </c>
      <c r="AB1065" s="403">
        <f t="shared" si="1216"/>
        <v>5674288</v>
      </c>
      <c r="AC1065" s="326">
        <f t="shared" si="1218"/>
        <v>1</v>
      </c>
    </row>
    <row r="1066" spans="1:29" ht="14.25" hidden="1" x14ac:dyDescent="0.2">
      <c r="A1066" s="424"/>
      <c r="B1066" s="323" t="s">
        <v>1809</v>
      </c>
      <c r="C1066" s="206" t="s">
        <v>1810</v>
      </c>
      <c r="D1066" s="290"/>
      <c r="E1066" s="325">
        <f>SUM('ADICIONES  2021'!C1066:N1066)</f>
        <v>16782910.140000001</v>
      </c>
      <c r="F1066" s="290"/>
      <c r="G1066" s="290"/>
      <c r="H1066" s="290"/>
      <c r="I1066" s="290"/>
      <c r="J1066" s="290"/>
      <c r="K1066" s="281">
        <f t="shared" si="1139"/>
        <v>16782910.140000001</v>
      </c>
      <c r="L1066" s="290"/>
      <c r="M1066" s="290"/>
      <c r="N1066" s="290"/>
      <c r="O1066" s="290"/>
      <c r="P1066" s="290">
        <v>16782910.140000001</v>
      </c>
      <c r="Q1066" s="290"/>
      <c r="R1066" s="281">
        <f t="shared" si="1219"/>
        <v>16782910.140000001</v>
      </c>
      <c r="S1066" s="290"/>
      <c r="T1066" s="290"/>
      <c r="U1066" s="290"/>
      <c r="V1066" s="290"/>
      <c r="W1066" s="290"/>
      <c r="X1066" s="290"/>
      <c r="Y1066" s="290"/>
      <c r="Z1066" s="290"/>
      <c r="AA1066" s="281">
        <f t="shared" si="1209"/>
        <v>0</v>
      </c>
      <c r="AB1066" s="403">
        <f t="shared" si="1216"/>
        <v>16782910.140000001</v>
      </c>
      <c r="AC1066" s="326">
        <f t="shared" si="1218"/>
        <v>1</v>
      </c>
    </row>
    <row r="1067" spans="1:29" ht="14.25" hidden="1" x14ac:dyDescent="0.2">
      <c r="A1067" s="424"/>
      <c r="B1067" s="323" t="s">
        <v>1809</v>
      </c>
      <c r="C1067" s="206" t="s">
        <v>1810</v>
      </c>
      <c r="D1067" s="290"/>
      <c r="E1067" s="325">
        <f>SUM('ADICIONES  2021'!C1067:N1067)</f>
        <v>11551551.130000001</v>
      </c>
      <c r="F1067" s="290"/>
      <c r="G1067" s="290"/>
      <c r="H1067" s="290"/>
      <c r="I1067" s="290"/>
      <c r="J1067" s="290"/>
      <c r="K1067" s="281">
        <f t="shared" ref="K1067:K1103" si="1220">+D1067+E1067-F1067+G1067-H1067</f>
        <v>11551551.130000001</v>
      </c>
      <c r="L1067" s="290"/>
      <c r="M1067" s="290"/>
      <c r="N1067" s="290"/>
      <c r="O1067" s="290"/>
      <c r="P1067" s="290">
        <v>11551551.130000001</v>
      </c>
      <c r="Q1067" s="290"/>
      <c r="R1067" s="281">
        <f t="shared" si="1219"/>
        <v>11551551.130000001</v>
      </c>
      <c r="S1067" s="290"/>
      <c r="T1067" s="290"/>
      <c r="U1067" s="290"/>
      <c r="V1067" s="290"/>
      <c r="W1067" s="290"/>
      <c r="X1067" s="290"/>
      <c r="Y1067" s="290"/>
      <c r="Z1067" s="290"/>
      <c r="AA1067" s="281">
        <f t="shared" si="1209"/>
        <v>0</v>
      </c>
      <c r="AB1067" s="403">
        <f t="shared" si="1216"/>
        <v>11551551.130000001</v>
      </c>
      <c r="AC1067" s="326">
        <f t="shared" si="1218"/>
        <v>1</v>
      </c>
    </row>
    <row r="1068" spans="1:29" ht="14.25" hidden="1" x14ac:dyDescent="0.2">
      <c r="A1068" s="424"/>
      <c r="B1068" s="323" t="s">
        <v>1809</v>
      </c>
      <c r="C1068" s="206" t="s">
        <v>1810</v>
      </c>
      <c r="D1068" s="290"/>
      <c r="E1068" s="325">
        <f>SUM('ADICIONES  2021'!C1068:N1068)</f>
        <v>62000000</v>
      </c>
      <c r="F1068" s="290"/>
      <c r="G1068" s="290"/>
      <c r="H1068" s="290"/>
      <c r="I1068" s="290"/>
      <c r="J1068" s="290"/>
      <c r="K1068" s="281">
        <f t="shared" si="1220"/>
        <v>62000000</v>
      </c>
      <c r="L1068" s="290"/>
      <c r="M1068" s="290"/>
      <c r="N1068" s="290"/>
      <c r="O1068" s="290"/>
      <c r="P1068" s="290">
        <v>62000000</v>
      </c>
      <c r="Q1068" s="290"/>
      <c r="R1068" s="281">
        <f t="shared" si="1219"/>
        <v>62000000</v>
      </c>
      <c r="S1068" s="290"/>
      <c r="T1068" s="290"/>
      <c r="U1068" s="290"/>
      <c r="V1068" s="290"/>
      <c r="W1068" s="290"/>
      <c r="X1068" s="290"/>
      <c r="Y1068" s="290"/>
      <c r="Z1068" s="290"/>
      <c r="AA1068" s="281">
        <f t="shared" si="1209"/>
        <v>0</v>
      </c>
      <c r="AB1068" s="403">
        <f t="shared" si="1216"/>
        <v>62000000</v>
      </c>
      <c r="AC1068" s="326">
        <f t="shared" si="1218"/>
        <v>1</v>
      </c>
    </row>
    <row r="1069" spans="1:29" ht="14.25" hidden="1" x14ac:dyDescent="0.2">
      <c r="A1069" s="424"/>
      <c r="B1069" s="323" t="s">
        <v>1809</v>
      </c>
      <c r="C1069" s="206" t="s">
        <v>1810</v>
      </c>
      <c r="D1069" s="290"/>
      <c r="E1069" s="325">
        <f>SUM('ADICIONES  2021'!C1069:N1069)</f>
        <v>1128419167.9200001</v>
      </c>
      <c r="F1069" s="290"/>
      <c r="G1069" s="290"/>
      <c r="H1069" s="290"/>
      <c r="I1069" s="290"/>
      <c r="J1069" s="290"/>
      <c r="K1069" s="281">
        <f t="shared" si="1220"/>
        <v>1128419167.9200001</v>
      </c>
      <c r="L1069" s="290"/>
      <c r="M1069" s="290"/>
      <c r="N1069" s="290"/>
      <c r="O1069" s="290"/>
      <c r="P1069" s="290">
        <v>1128419167.9200001</v>
      </c>
      <c r="Q1069" s="290"/>
      <c r="R1069" s="281">
        <f t="shared" si="1219"/>
        <v>1128419167.9200001</v>
      </c>
      <c r="S1069" s="290"/>
      <c r="T1069" s="290"/>
      <c r="U1069" s="290"/>
      <c r="V1069" s="290"/>
      <c r="W1069" s="290"/>
      <c r="X1069" s="290"/>
      <c r="Y1069" s="290"/>
      <c r="Z1069" s="290"/>
      <c r="AA1069" s="281">
        <f t="shared" si="1209"/>
        <v>0</v>
      </c>
      <c r="AB1069" s="403">
        <f t="shared" si="1216"/>
        <v>1128419167.9200001</v>
      </c>
      <c r="AC1069" s="326">
        <f t="shared" si="1218"/>
        <v>1</v>
      </c>
    </row>
    <row r="1070" spans="1:29" ht="14.25" hidden="1" x14ac:dyDescent="0.2">
      <c r="A1070" s="424"/>
      <c r="B1070" s="323" t="s">
        <v>1809</v>
      </c>
      <c r="C1070" s="206" t="s">
        <v>1810</v>
      </c>
      <c r="D1070" s="290"/>
      <c r="E1070" s="325">
        <f>SUM('ADICIONES  2021'!C1070:N1070)</f>
        <v>43017705</v>
      </c>
      <c r="F1070" s="290"/>
      <c r="G1070" s="290"/>
      <c r="H1070" s="290"/>
      <c r="I1070" s="290"/>
      <c r="J1070" s="290"/>
      <c r="K1070" s="281">
        <f t="shared" si="1220"/>
        <v>43017705</v>
      </c>
      <c r="L1070" s="290"/>
      <c r="M1070" s="290"/>
      <c r="N1070" s="290"/>
      <c r="O1070" s="290"/>
      <c r="P1070" s="290">
        <v>43017705</v>
      </c>
      <c r="Q1070" s="290"/>
      <c r="R1070" s="281">
        <f t="shared" si="1219"/>
        <v>43017705</v>
      </c>
      <c r="S1070" s="290"/>
      <c r="T1070" s="290"/>
      <c r="U1070" s="290"/>
      <c r="V1070" s="290"/>
      <c r="W1070" s="290"/>
      <c r="X1070" s="290"/>
      <c r="Y1070" s="290"/>
      <c r="Z1070" s="290"/>
      <c r="AA1070" s="281">
        <f t="shared" si="1209"/>
        <v>0</v>
      </c>
      <c r="AB1070" s="403">
        <f t="shared" si="1216"/>
        <v>43017705</v>
      </c>
      <c r="AC1070" s="326">
        <f t="shared" si="1218"/>
        <v>1</v>
      </c>
    </row>
    <row r="1071" spans="1:29" ht="14.25" hidden="1" x14ac:dyDescent="0.2">
      <c r="A1071" s="424"/>
      <c r="B1071" s="323" t="s">
        <v>1809</v>
      </c>
      <c r="C1071" s="206" t="s">
        <v>1810</v>
      </c>
      <c r="D1071" s="290"/>
      <c r="E1071" s="325">
        <f>SUM('ADICIONES  2021'!C1071:N1071)</f>
        <v>18902012.960000001</v>
      </c>
      <c r="F1071" s="290"/>
      <c r="G1071" s="290"/>
      <c r="H1071" s="290"/>
      <c r="I1071" s="290"/>
      <c r="J1071" s="290"/>
      <c r="K1071" s="281">
        <f t="shared" si="1220"/>
        <v>18902012.960000001</v>
      </c>
      <c r="L1071" s="290"/>
      <c r="M1071" s="290"/>
      <c r="N1071" s="290"/>
      <c r="O1071" s="290"/>
      <c r="P1071" s="290">
        <v>18902012.960000001</v>
      </c>
      <c r="Q1071" s="290"/>
      <c r="R1071" s="281">
        <f t="shared" si="1219"/>
        <v>18902012.960000001</v>
      </c>
      <c r="S1071" s="290"/>
      <c r="T1071" s="290"/>
      <c r="U1071" s="290"/>
      <c r="V1071" s="290"/>
      <c r="W1071" s="290"/>
      <c r="X1071" s="290"/>
      <c r="Y1071" s="290"/>
      <c r="Z1071" s="290"/>
      <c r="AA1071" s="281">
        <f t="shared" si="1209"/>
        <v>0</v>
      </c>
      <c r="AB1071" s="403">
        <f t="shared" si="1216"/>
        <v>18902012.960000001</v>
      </c>
      <c r="AC1071" s="326">
        <f t="shared" si="1218"/>
        <v>1</v>
      </c>
    </row>
    <row r="1072" spans="1:29" ht="14.25" hidden="1" x14ac:dyDescent="0.2">
      <c r="A1072" s="424"/>
      <c r="B1072" s="323" t="s">
        <v>1809</v>
      </c>
      <c r="C1072" s="206" t="s">
        <v>1810</v>
      </c>
      <c r="D1072" s="290"/>
      <c r="E1072" s="325">
        <f>SUM('ADICIONES  2021'!C1072:N1072)</f>
        <v>1120007430.79</v>
      </c>
      <c r="F1072" s="290"/>
      <c r="G1072" s="290"/>
      <c r="H1072" s="290"/>
      <c r="I1072" s="290"/>
      <c r="J1072" s="290"/>
      <c r="K1072" s="281">
        <f t="shared" si="1220"/>
        <v>1120007430.79</v>
      </c>
      <c r="L1072" s="290"/>
      <c r="M1072" s="290"/>
      <c r="N1072" s="290"/>
      <c r="O1072" s="290"/>
      <c r="P1072" s="290">
        <v>1120007430.79</v>
      </c>
      <c r="Q1072" s="290"/>
      <c r="R1072" s="281">
        <f t="shared" si="1219"/>
        <v>1120007430.79</v>
      </c>
      <c r="S1072" s="290"/>
      <c r="T1072" s="290"/>
      <c r="U1072" s="290"/>
      <c r="V1072" s="290"/>
      <c r="W1072" s="290"/>
      <c r="X1072" s="290"/>
      <c r="Y1072" s="290"/>
      <c r="Z1072" s="290"/>
      <c r="AA1072" s="281">
        <f t="shared" si="1209"/>
        <v>0</v>
      </c>
      <c r="AB1072" s="403">
        <f t="shared" si="1216"/>
        <v>1120007430.79</v>
      </c>
      <c r="AC1072" s="326">
        <f t="shared" si="1218"/>
        <v>1</v>
      </c>
    </row>
    <row r="1073" spans="1:29" ht="14.25" hidden="1" x14ac:dyDescent="0.2">
      <c r="A1073" s="424"/>
      <c r="B1073" s="323" t="s">
        <v>1809</v>
      </c>
      <c r="C1073" s="206" t="s">
        <v>1810</v>
      </c>
      <c r="D1073" s="290"/>
      <c r="E1073" s="325">
        <f>SUM('ADICIONES  2021'!C1073:N1073)</f>
        <v>132530138.45999999</v>
      </c>
      <c r="F1073" s="290"/>
      <c r="G1073" s="290"/>
      <c r="H1073" s="290"/>
      <c r="I1073" s="290"/>
      <c r="J1073" s="290"/>
      <c r="K1073" s="281">
        <f t="shared" si="1220"/>
        <v>132530138.45999999</v>
      </c>
      <c r="L1073" s="290"/>
      <c r="M1073" s="290"/>
      <c r="N1073" s="290"/>
      <c r="O1073" s="290"/>
      <c r="P1073" s="290">
        <v>132530138.45999999</v>
      </c>
      <c r="Q1073" s="290"/>
      <c r="R1073" s="281">
        <f t="shared" si="1219"/>
        <v>132530138.45999999</v>
      </c>
      <c r="S1073" s="290"/>
      <c r="T1073" s="290"/>
      <c r="U1073" s="290"/>
      <c r="V1073" s="290"/>
      <c r="W1073" s="290"/>
      <c r="X1073" s="290"/>
      <c r="Y1073" s="290"/>
      <c r="Z1073" s="290"/>
      <c r="AA1073" s="281">
        <f t="shared" si="1209"/>
        <v>0</v>
      </c>
      <c r="AB1073" s="403">
        <f t="shared" si="1216"/>
        <v>132530138.45999999</v>
      </c>
      <c r="AC1073" s="326">
        <f t="shared" si="1218"/>
        <v>1</v>
      </c>
    </row>
    <row r="1074" spans="1:29" ht="14.25" hidden="1" x14ac:dyDescent="0.2">
      <c r="A1074" s="424"/>
      <c r="B1074" s="323" t="s">
        <v>1809</v>
      </c>
      <c r="C1074" s="206" t="s">
        <v>1810</v>
      </c>
      <c r="D1074" s="290"/>
      <c r="E1074" s="325">
        <f>SUM('ADICIONES  2021'!C1074:N1074)</f>
        <v>8035590</v>
      </c>
      <c r="F1074" s="290"/>
      <c r="G1074" s="290"/>
      <c r="H1074" s="290"/>
      <c r="I1074" s="290"/>
      <c r="J1074" s="290"/>
      <c r="K1074" s="281">
        <f t="shared" si="1220"/>
        <v>8035590</v>
      </c>
      <c r="L1074" s="290"/>
      <c r="M1074" s="290"/>
      <c r="N1074" s="290"/>
      <c r="O1074" s="290"/>
      <c r="P1074" s="290">
        <v>8035590</v>
      </c>
      <c r="Q1074" s="290"/>
      <c r="R1074" s="281">
        <f t="shared" si="1219"/>
        <v>8035590</v>
      </c>
      <c r="S1074" s="290"/>
      <c r="T1074" s="290"/>
      <c r="U1074" s="290"/>
      <c r="V1074" s="290"/>
      <c r="W1074" s="290"/>
      <c r="X1074" s="290"/>
      <c r="Y1074" s="290"/>
      <c r="Z1074" s="290"/>
      <c r="AA1074" s="281">
        <f t="shared" si="1209"/>
        <v>0</v>
      </c>
      <c r="AB1074" s="403">
        <f t="shared" si="1216"/>
        <v>8035590</v>
      </c>
      <c r="AC1074" s="326">
        <f t="shared" si="1218"/>
        <v>1</v>
      </c>
    </row>
    <row r="1075" spans="1:29" ht="14.25" hidden="1" x14ac:dyDescent="0.2">
      <c r="A1075" s="424"/>
      <c r="B1075" s="323" t="s">
        <v>1809</v>
      </c>
      <c r="C1075" s="206" t="s">
        <v>1810</v>
      </c>
      <c r="D1075" s="290"/>
      <c r="E1075" s="325">
        <f>SUM('ADICIONES  2021'!C1075:N1075)</f>
        <v>8933370</v>
      </c>
      <c r="F1075" s="290"/>
      <c r="G1075" s="290"/>
      <c r="H1075" s="290"/>
      <c r="I1075" s="290"/>
      <c r="J1075" s="290"/>
      <c r="K1075" s="281">
        <f t="shared" si="1220"/>
        <v>8933370</v>
      </c>
      <c r="L1075" s="290"/>
      <c r="M1075" s="290"/>
      <c r="N1075" s="290"/>
      <c r="O1075" s="290"/>
      <c r="P1075" s="290">
        <v>8933370</v>
      </c>
      <c r="Q1075" s="290"/>
      <c r="R1075" s="281">
        <f t="shared" si="1219"/>
        <v>8933370</v>
      </c>
      <c r="S1075" s="290"/>
      <c r="T1075" s="290"/>
      <c r="U1075" s="290"/>
      <c r="V1075" s="290"/>
      <c r="W1075" s="290"/>
      <c r="X1075" s="290"/>
      <c r="Y1075" s="290"/>
      <c r="Z1075" s="290"/>
      <c r="AA1075" s="281">
        <f t="shared" si="1209"/>
        <v>0</v>
      </c>
      <c r="AB1075" s="403">
        <f t="shared" si="1216"/>
        <v>8933370</v>
      </c>
      <c r="AC1075" s="326">
        <f t="shared" si="1218"/>
        <v>1</v>
      </c>
    </row>
    <row r="1076" spans="1:29" ht="14.25" hidden="1" x14ac:dyDescent="0.2">
      <c r="A1076" s="424"/>
      <c r="B1076" s="323" t="s">
        <v>1809</v>
      </c>
      <c r="C1076" s="206" t="s">
        <v>1810</v>
      </c>
      <c r="D1076" s="290"/>
      <c r="E1076" s="325">
        <f>SUM('ADICIONES  2021'!C1076:N1076)</f>
        <v>10453972</v>
      </c>
      <c r="F1076" s="290"/>
      <c r="G1076" s="290"/>
      <c r="H1076" s="290"/>
      <c r="I1076" s="290"/>
      <c r="J1076" s="290"/>
      <c r="K1076" s="281">
        <f t="shared" si="1220"/>
        <v>10453972</v>
      </c>
      <c r="L1076" s="290"/>
      <c r="M1076" s="290"/>
      <c r="N1076" s="290"/>
      <c r="O1076" s="290"/>
      <c r="P1076" s="290">
        <v>10453972</v>
      </c>
      <c r="Q1076" s="290"/>
      <c r="R1076" s="281">
        <f t="shared" si="1219"/>
        <v>10453972</v>
      </c>
      <c r="S1076" s="290"/>
      <c r="T1076" s="290"/>
      <c r="U1076" s="290"/>
      <c r="V1076" s="290"/>
      <c r="W1076" s="290"/>
      <c r="X1076" s="290"/>
      <c r="Y1076" s="290"/>
      <c r="Z1076" s="290"/>
      <c r="AA1076" s="281">
        <f t="shared" si="1209"/>
        <v>0</v>
      </c>
      <c r="AB1076" s="403">
        <f t="shared" si="1216"/>
        <v>10453972</v>
      </c>
      <c r="AC1076" s="326">
        <f t="shared" si="1218"/>
        <v>1</v>
      </c>
    </row>
    <row r="1077" spans="1:29" ht="14.25" hidden="1" x14ac:dyDescent="0.2">
      <c r="A1077" s="424"/>
      <c r="B1077" s="323" t="s">
        <v>1809</v>
      </c>
      <c r="C1077" s="206" t="s">
        <v>1810</v>
      </c>
      <c r="D1077" s="290"/>
      <c r="E1077" s="325">
        <f>SUM('ADICIONES  2021'!C1077:N1077)</f>
        <v>637773</v>
      </c>
      <c r="F1077" s="290"/>
      <c r="G1077" s="290"/>
      <c r="H1077" s="290"/>
      <c r="I1077" s="290"/>
      <c r="J1077" s="290"/>
      <c r="K1077" s="281">
        <f t="shared" si="1220"/>
        <v>637773</v>
      </c>
      <c r="L1077" s="290"/>
      <c r="M1077" s="290"/>
      <c r="N1077" s="290"/>
      <c r="O1077" s="290"/>
      <c r="P1077" s="290">
        <v>637773</v>
      </c>
      <c r="Q1077" s="290"/>
      <c r="R1077" s="281">
        <f t="shared" si="1219"/>
        <v>637773</v>
      </c>
      <c r="S1077" s="290"/>
      <c r="T1077" s="290"/>
      <c r="U1077" s="290"/>
      <c r="V1077" s="290"/>
      <c r="W1077" s="290"/>
      <c r="X1077" s="290"/>
      <c r="Y1077" s="290"/>
      <c r="Z1077" s="290"/>
      <c r="AA1077" s="281">
        <f t="shared" si="1209"/>
        <v>0</v>
      </c>
      <c r="AB1077" s="403">
        <f t="shared" si="1216"/>
        <v>637773</v>
      </c>
      <c r="AC1077" s="326">
        <f t="shared" si="1218"/>
        <v>1</v>
      </c>
    </row>
    <row r="1078" spans="1:29" ht="25.5" x14ac:dyDescent="0.2">
      <c r="A1078" s="427">
        <v>1</v>
      </c>
      <c r="B1078" s="323" t="s">
        <v>849</v>
      </c>
      <c r="C1078" s="206" t="s">
        <v>1811</v>
      </c>
      <c r="D1078" s="289">
        <f>+D1080+D1079</f>
        <v>0</v>
      </c>
      <c r="E1078" s="322">
        <f>SUM('ADICIONES  2021'!C1078:N1078)</f>
        <v>0</v>
      </c>
      <c r="F1078" s="289">
        <f t="shared" ref="F1078:I1078" si="1221">+F1080+F1079</f>
        <v>0</v>
      </c>
      <c r="G1078" s="289">
        <f t="shared" si="1221"/>
        <v>0</v>
      </c>
      <c r="H1078" s="289">
        <f t="shared" si="1221"/>
        <v>0</v>
      </c>
      <c r="I1078" s="289">
        <f t="shared" si="1221"/>
        <v>0</v>
      </c>
      <c r="J1078" s="289">
        <f>+J1080+J1079</f>
        <v>0</v>
      </c>
      <c r="K1078" s="281">
        <f t="shared" si="1220"/>
        <v>0</v>
      </c>
      <c r="L1078" s="289">
        <f t="shared" ref="L1078:Q1078" si="1222">+L1080+L1079</f>
        <v>0</v>
      </c>
      <c r="M1078" s="289">
        <f t="shared" si="1222"/>
        <v>0</v>
      </c>
      <c r="N1078" s="289">
        <f t="shared" si="1222"/>
        <v>0</v>
      </c>
      <c r="O1078" s="289">
        <f t="shared" si="1222"/>
        <v>737320</v>
      </c>
      <c r="P1078" s="289">
        <f t="shared" si="1222"/>
        <v>0</v>
      </c>
      <c r="Q1078" s="289">
        <f t="shared" si="1222"/>
        <v>456420</v>
      </c>
      <c r="R1078" s="281">
        <f t="shared" si="1219"/>
        <v>1193740</v>
      </c>
      <c r="S1078" s="290">
        <f t="shared" ref="S1078:Z1078" si="1223">+S1080+S1079</f>
        <v>0</v>
      </c>
      <c r="T1078" s="290">
        <f t="shared" si="1223"/>
        <v>0</v>
      </c>
      <c r="U1078" s="290">
        <f t="shared" si="1223"/>
        <v>0</v>
      </c>
      <c r="V1078" s="290">
        <f t="shared" si="1223"/>
        <v>0</v>
      </c>
      <c r="W1078" s="290">
        <f t="shared" si="1223"/>
        <v>37884698</v>
      </c>
      <c r="X1078" s="290">
        <f t="shared" si="1223"/>
        <v>101554841</v>
      </c>
      <c r="Y1078" s="290">
        <f t="shared" si="1223"/>
        <v>0</v>
      </c>
      <c r="Z1078" s="289">
        <f t="shared" si="1223"/>
        <v>0</v>
      </c>
      <c r="AA1078" s="276">
        <f t="shared" si="1209"/>
        <v>139439539</v>
      </c>
      <c r="AB1078" s="403">
        <f t="shared" si="1216"/>
        <v>140633279</v>
      </c>
      <c r="AC1078" s="326">
        <v>0</v>
      </c>
    </row>
    <row r="1079" spans="1:29" s="5" customFormat="1" hidden="1" x14ac:dyDescent="0.2">
      <c r="A1079" s="96"/>
      <c r="B1079" s="323" t="s">
        <v>1125</v>
      </c>
      <c r="C1079" s="206" t="s">
        <v>1126</v>
      </c>
      <c r="D1079" s="289"/>
      <c r="E1079" s="325">
        <f>SUM('ADICIONES  2021'!C1079:N1079)</f>
        <v>0</v>
      </c>
      <c r="F1079" s="289"/>
      <c r="G1079" s="289"/>
      <c r="H1079" s="289"/>
      <c r="I1079" s="289"/>
      <c r="J1079" s="289"/>
      <c r="K1079" s="281">
        <f t="shared" si="1220"/>
        <v>0</v>
      </c>
      <c r="L1079" s="289"/>
      <c r="M1079" s="289"/>
      <c r="N1079" s="289"/>
      <c r="O1079" s="289"/>
      <c r="P1079" s="289"/>
      <c r="Q1079" s="289"/>
      <c r="R1079" s="281">
        <f t="shared" si="1219"/>
        <v>0</v>
      </c>
      <c r="S1079" s="289"/>
      <c r="T1079" s="289"/>
      <c r="U1079" s="289"/>
      <c r="V1079" s="289"/>
      <c r="W1079" s="290">
        <v>12030812</v>
      </c>
      <c r="X1079" s="290">
        <v>89924419</v>
      </c>
      <c r="Y1079" s="289"/>
      <c r="Z1079" s="289"/>
      <c r="AA1079" s="281">
        <f t="shared" si="1209"/>
        <v>101955231</v>
      </c>
      <c r="AB1079" s="403">
        <f t="shared" si="1216"/>
        <v>101955231</v>
      </c>
      <c r="AC1079" s="326">
        <v>0</v>
      </c>
    </row>
    <row r="1080" spans="1:29" ht="14.25" hidden="1" x14ac:dyDescent="0.2">
      <c r="A1080" s="424"/>
      <c r="B1080" s="323" t="s">
        <v>1125</v>
      </c>
      <c r="C1080" s="206" t="s">
        <v>1126</v>
      </c>
      <c r="D1080" s="290"/>
      <c r="E1080" s="325">
        <f>SUM('ADICIONES  2021'!C1080:N1080)</f>
        <v>0</v>
      </c>
      <c r="F1080" s="290"/>
      <c r="G1080" s="290"/>
      <c r="H1080" s="290"/>
      <c r="I1080" s="290"/>
      <c r="J1080" s="290"/>
      <c r="K1080" s="281">
        <f t="shared" si="1220"/>
        <v>0</v>
      </c>
      <c r="L1080" s="290"/>
      <c r="M1080" s="290"/>
      <c r="N1080" s="290"/>
      <c r="O1080" s="290">
        <v>737320</v>
      </c>
      <c r="P1080" s="290"/>
      <c r="Q1080" s="290">
        <v>456420</v>
      </c>
      <c r="R1080" s="281">
        <f t="shared" si="1219"/>
        <v>1193740</v>
      </c>
      <c r="S1080" s="290"/>
      <c r="T1080" s="290"/>
      <c r="U1080" s="290"/>
      <c r="V1080" s="290"/>
      <c r="W1080" s="290">
        <v>25853886</v>
      </c>
      <c r="X1080" s="290">
        <v>11630422</v>
      </c>
      <c r="Y1080" s="290"/>
      <c r="Z1080" s="290"/>
      <c r="AA1080" s="281">
        <f t="shared" si="1209"/>
        <v>37484308</v>
      </c>
      <c r="AB1080" s="403">
        <f t="shared" si="1216"/>
        <v>38678048</v>
      </c>
      <c r="AC1080" s="326">
        <v>0</v>
      </c>
    </row>
    <row r="1081" spans="1:29" s="185" customFormat="1" ht="19.5" hidden="1" x14ac:dyDescent="0.2">
      <c r="A1081" s="182"/>
      <c r="B1081" s="343" t="s">
        <v>1812</v>
      </c>
      <c r="C1081" s="344" t="s">
        <v>1813</v>
      </c>
      <c r="D1081" s="288">
        <f>+D1082</f>
        <v>0</v>
      </c>
      <c r="E1081" s="320">
        <f>SUM('ADICIONES  2021'!C1081:N1081)</f>
        <v>26740484269.560001</v>
      </c>
      <c r="F1081" s="288">
        <f t="shared" ref="F1081:J1083" si="1224">+F1082</f>
        <v>0</v>
      </c>
      <c r="G1081" s="288">
        <f t="shared" si="1224"/>
        <v>0</v>
      </c>
      <c r="H1081" s="288">
        <f t="shared" si="1224"/>
        <v>0</v>
      </c>
      <c r="I1081" s="288">
        <f t="shared" si="1224"/>
        <v>0</v>
      </c>
      <c r="J1081" s="288">
        <f t="shared" si="1224"/>
        <v>0</v>
      </c>
      <c r="K1081" s="316">
        <f t="shared" si="1220"/>
        <v>26740484269.560001</v>
      </c>
      <c r="L1081" s="288">
        <f t="shared" ref="L1081:Q1083" si="1225">+L1082</f>
        <v>0</v>
      </c>
      <c r="M1081" s="288">
        <f t="shared" si="1225"/>
        <v>0</v>
      </c>
      <c r="N1081" s="288">
        <f t="shared" si="1225"/>
        <v>0</v>
      </c>
      <c r="O1081" s="288">
        <f t="shared" si="1225"/>
        <v>0</v>
      </c>
      <c r="P1081" s="288">
        <f t="shared" si="1225"/>
        <v>26740484269.560001</v>
      </c>
      <c r="Q1081" s="288">
        <f t="shared" si="1225"/>
        <v>0</v>
      </c>
      <c r="R1081" s="316">
        <f t="shared" si="1219"/>
        <v>26740484269.560001</v>
      </c>
      <c r="S1081" s="288">
        <f t="shared" ref="S1081:Z1083" si="1226">+S1082</f>
        <v>0</v>
      </c>
      <c r="T1081" s="288">
        <f t="shared" si="1226"/>
        <v>0</v>
      </c>
      <c r="U1081" s="288">
        <f t="shared" si="1226"/>
        <v>0</v>
      </c>
      <c r="V1081" s="288">
        <f t="shared" si="1226"/>
        <v>0</v>
      </c>
      <c r="W1081" s="288">
        <f t="shared" si="1226"/>
        <v>0</v>
      </c>
      <c r="X1081" s="288">
        <f t="shared" si="1226"/>
        <v>0</v>
      </c>
      <c r="Y1081" s="288">
        <f t="shared" si="1226"/>
        <v>0</v>
      </c>
      <c r="Z1081" s="288">
        <f t="shared" si="1226"/>
        <v>0</v>
      </c>
      <c r="AA1081" s="316">
        <f t="shared" si="1209"/>
        <v>0</v>
      </c>
      <c r="AB1081" s="401">
        <f t="shared" si="1216"/>
        <v>26740484269.560001</v>
      </c>
      <c r="AC1081" s="317">
        <f t="shared" si="1218"/>
        <v>1</v>
      </c>
    </row>
    <row r="1082" spans="1:29" s="5" customFormat="1" ht="15.75" thickBot="1" x14ac:dyDescent="0.25">
      <c r="A1082" s="96">
        <v>1</v>
      </c>
      <c r="B1082" s="318" t="s">
        <v>1616</v>
      </c>
      <c r="C1082" s="319" t="s">
        <v>1617</v>
      </c>
      <c r="D1082" s="289">
        <f>+D1083</f>
        <v>0</v>
      </c>
      <c r="E1082" s="322">
        <f>SUM('ADICIONES  2021'!C1082:N1082)</f>
        <v>26740484269.560001</v>
      </c>
      <c r="F1082" s="289">
        <f t="shared" si="1224"/>
        <v>0</v>
      </c>
      <c r="G1082" s="289">
        <f t="shared" si="1224"/>
        <v>0</v>
      </c>
      <c r="H1082" s="289">
        <f t="shared" si="1224"/>
        <v>0</v>
      </c>
      <c r="I1082" s="289">
        <f t="shared" si="1224"/>
        <v>0</v>
      </c>
      <c r="J1082" s="289">
        <f t="shared" si="1224"/>
        <v>0</v>
      </c>
      <c r="K1082" s="276">
        <f t="shared" si="1220"/>
        <v>26740484269.560001</v>
      </c>
      <c r="L1082" s="289">
        <f t="shared" si="1225"/>
        <v>0</v>
      </c>
      <c r="M1082" s="289">
        <f t="shared" si="1225"/>
        <v>0</v>
      </c>
      <c r="N1082" s="289">
        <f t="shared" si="1225"/>
        <v>0</v>
      </c>
      <c r="O1082" s="289">
        <f t="shared" si="1225"/>
        <v>0</v>
      </c>
      <c r="P1082" s="289">
        <f t="shared" si="1225"/>
        <v>26740484269.560001</v>
      </c>
      <c r="Q1082" s="289">
        <f t="shared" si="1225"/>
        <v>0</v>
      </c>
      <c r="R1082" s="276">
        <f t="shared" si="1219"/>
        <v>26740484269.560001</v>
      </c>
      <c r="S1082" s="289">
        <f t="shared" si="1226"/>
        <v>0</v>
      </c>
      <c r="T1082" s="289">
        <f t="shared" si="1226"/>
        <v>0</v>
      </c>
      <c r="U1082" s="289">
        <f t="shared" si="1226"/>
        <v>0</v>
      </c>
      <c r="V1082" s="289">
        <f t="shared" si="1226"/>
        <v>0</v>
      </c>
      <c r="W1082" s="289">
        <f t="shared" si="1226"/>
        <v>0</v>
      </c>
      <c r="X1082" s="289">
        <f t="shared" si="1226"/>
        <v>0</v>
      </c>
      <c r="Y1082" s="289">
        <f t="shared" si="1226"/>
        <v>0</v>
      </c>
      <c r="Z1082" s="289">
        <f t="shared" si="1226"/>
        <v>0</v>
      </c>
      <c r="AA1082" s="281">
        <f t="shared" si="1209"/>
        <v>0</v>
      </c>
      <c r="AB1082" s="402">
        <f t="shared" si="1216"/>
        <v>26740484269.560001</v>
      </c>
      <c r="AC1082" s="321">
        <f t="shared" si="1218"/>
        <v>1</v>
      </c>
    </row>
    <row r="1083" spans="1:29" hidden="1" thickBot="1" x14ac:dyDescent="0.25">
      <c r="A1083" s="424"/>
      <c r="B1083" s="318" t="s">
        <v>1618</v>
      </c>
      <c r="C1083" s="319" t="s">
        <v>1619</v>
      </c>
      <c r="D1083" s="289">
        <f>+D1084</f>
        <v>0</v>
      </c>
      <c r="E1083" s="322">
        <f>SUM('ADICIONES  2021'!C1083:N1083)</f>
        <v>26740484269.560001</v>
      </c>
      <c r="F1083" s="289">
        <f t="shared" si="1224"/>
        <v>0</v>
      </c>
      <c r="G1083" s="289">
        <f t="shared" si="1224"/>
        <v>0</v>
      </c>
      <c r="H1083" s="289">
        <f t="shared" si="1224"/>
        <v>0</v>
      </c>
      <c r="I1083" s="289">
        <f t="shared" si="1224"/>
        <v>0</v>
      </c>
      <c r="J1083" s="289">
        <f t="shared" si="1224"/>
        <v>0</v>
      </c>
      <c r="K1083" s="281">
        <f t="shared" si="1220"/>
        <v>26740484269.560001</v>
      </c>
      <c r="L1083" s="289">
        <f t="shared" si="1225"/>
        <v>0</v>
      </c>
      <c r="M1083" s="289">
        <f t="shared" si="1225"/>
        <v>0</v>
      </c>
      <c r="N1083" s="289">
        <f t="shared" si="1225"/>
        <v>0</v>
      </c>
      <c r="O1083" s="289">
        <f t="shared" si="1225"/>
        <v>0</v>
      </c>
      <c r="P1083" s="289">
        <f t="shared" si="1225"/>
        <v>26740484269.560001</v>
      </c>
      <c r="Q1083" s="289">
        <f t="shared" si="1225"/>
        <v>0</v>
      </c>
      <c r="R1083" s="281">
        <f t="shared" si="1219"/>
        <v>26740484269.560001</v>
      </c>
      <c r="S1083" s="289">
        <f t="shared" si="1226"/>
        <v>0</v>
      </c>
      <c r="T1083" s="289">
        <f t="shared" si="1226"/>
        <v>0</v>
      </c>
      <c r="U1083" s="289">
        <f t="shared" si="1226"/>
        <v>0</v>
      </c>
      <c r="V1083" s="289">
        <f t="shared" si="1226"/>
        <v>0</v>
      </c>
      <c r="W1083" s="289">
        <f t="shared" si="1226"/>
        <v>0</v>
      </c>
      <c r="X1083" s="289">
        <f t="shared" si="1226"/>
        <v>0</v>
      </c>
      <c r="Y1083" s="289">
        <f t="shared" si="1226"/>
        <v>0</v>
      </c>
      <c r="Z1083" s="289">
        <f t="shared" si="1226"/>
        <v>0</v>
      </c>
      <c r="AA1083" s="281">
        <f t="shared" si="1209"/>
        <v>0</v>
      </c>
      <c r="AB1083" s="403">
        <f t="shared" si="1216"/>
        <v>26740484269.560001</v>
      </c>
      <c r="AC1083" s="326">
        <f t="shared" si="1218"/>
        <v>1</v>
      </c>
    </row>
    <row r="1084" spans="1:29" hidden="1" thickBot="1" x14ac:dyDescent="0.25">
      <c r="A1084" s="424"/>
      <c r="B1084" s="318" t="s">
        <v>1620</v>
      </c>
      <c r="C1084" s="319" t="s">
        <v>1621</v>
      </c>
      <c r="D1084" s="289">
        <f>SUM(D1085:D1103)</f>
        <v>0</v>
      </c>
      <c r="E1084" s="322">
        <f>SUM('ADICIONES  2021'!C1084:N1084)</f>
        <v>26740484269.560001</v>
      </c>
      <c r="F1084" s="289">
        <f t="shared" ref="F1084:J1084" si="1227">SUM(F1085:F1103)</f>
        <v>0</v>
      </c>
      <c r="G1084" s="289">
        <f t="shared" si="1227"/>
        <v>0</v>
      </c>
      <c r="H1084" s="289">
        <f t="shared" si="1227"/>
        <v>0</v>
      </c>
      <c r="I1084" s="289">
        <f t="shared" si="1227"/>
        <v>0</v>
      </c>
      <c r="J1084" s="289">
        <f t="shared" si="1227"/>
        <v>0</v>
      </c>
      <c r="K1084" s="281">
        <f t="shared" si="1220"/>
        <v>26740484269.560001</v>
      </c>
      <c r="L1084" s="289">
        <f t="shared" ref="L1084:Q1084" si="1228">SUM(L1085:L1103)</f>
        <v>0</v>
      </c>
      <c r="M1084" s="289">
        <f t="shared" si="1228"/>
        <v>0</v>
      </c>
      <c r="N1084" s="289">
        <f t="shared" si="1228"/>
        <v>0</v>
      </c>
      <c r="O1084" s="289">
        <f t="shared" si="1228"/>
        <v>0</v>
      </c>
      <c r="P1084" s="289">
        <f t="shared" si="1228"/>
        <v>26740484269.560001</v>
      </c>
      <c r="Q1084" s="289">
        <f t="shared" si="1228"/>
        <v>0</v>
      </c>
      <c r="R1084" s="281">
        <f t="shared" si="1219"/>
        <v>26740484269.560001</v>
      </c>
      <c r="S1084" s="289">
        <f t="shared" ref="S1084:Z1084" si="1229">SUM(S1085:S1103)</f>
        <v>0</v>
      </c>
      <c r="T1084" s="289">
        <f t="shared" si="1229"/>
        <v>0</v>
      </c>
      <c r="U1084" s="289">
        <f t="shared" si="1229"/>
        <v>0</v>
      </c>
      <c r="V1084" s="289">
        <f t="shared" si="1229"/>
        <v>0</v>
      </c>
      <c r="W1084" s="289">
        <f t="shared" si="1229"/>
        <v>0</v>
      </c>
      <c r="X1084" s="289">
        <f t="shared" si="1229"/>
        <v>0</v>
      </c>
      <c r="Y1084" s="289">
        <f t="shared" si="1229"/>
        <v>0</v>
      </c>
      <c r="Z1084" s="289">
        <f t="shared" si="1229"/>
        <v>0</v>
      </c>
      <c r="AA1084" s="281">
        <f t="shared" si="1209"/>
        <v>0</v>
      </c>
      <c r="AB1084" s="403">
        <f t="shared" si="1216"/>
        <v>26740484269.560001</v>
      </c>
      <c r="AC1084" s="326">
        <f t="shared" si="1218"/>
        <v>1</v>
      </c>
    </row>
    <row r="1085" spans="1:29" hidden="1" thickBot="1" x14ac:dyDescent="0.25">
      <c r="A1085" s="424"/>
      <c r="B1085" s="323" t="s">
        <v>1814</v>
      </c>
      <c r="C1085" s="206" t="s">
        <v>1815</v>
      </c>
      <c r="D1085" s="290"/>
      <c r="E1085" s="325">
        <f>SUM('ADICIONES  2021'!C1085:N1085)</f>
        <v>233441300</v>
      </c>
      <c r="F1085" s="290"/>
      <c r="G1085" s="290"/>
      <c r="H1085" s="290"/>
      <c r="I1085" s="290"/>
      <c r="J1085" s="290"/>
      <c r="K1085" s="281">
        <f t="shared" si="1220"/>
        <v>233441300</v>
      </c>
      <c r="L1085" s="290"/>
      <c r="M1085" s="290"/>
      <c r="N1085" s="290"/>
      <c r="O1085" s="290"/>
      <c r="P1085" s="290">
        <v>233441300</v>
      </c>
      <c r="Q1085" s="290"/>
      <c r="R1085" s="281">
        <f t="shared" si="1219"/>
        <v>233441300</v>
      </c>
      <c r="S1085" s="290"/>
      <c r="T1085" s="290"/>
      <c r="U1085" s="290"/>
      <c r="V1085" s="290"/>
      <c r="W1085" s="290"/>
      <c r="X1085" s="290"/>
      <c r="Y1085" s="290"/>
      <c r="Z1085" s="290"/>
      <c r="AA1085" s="281">
        <f t="shared" si="1209"/>
        <v>0</v>
      </c>
      <c r="AB1085" s="403">
        <f t="shared" si="1216"/>
        <v>233441300</v>
      </c>
      <c r="AC1085" s="326">
        <f t="shared" si="1218"/>
        <v>1</v>
      </c>
    </row>
    <row r="1086" spans="1:29" ht="26.25" hidden="1" thickBot="1" x14ac:dyDescent="0.25">
      <c r="A1086" s="424"/>
      <c r="B1086" s="323" t="s">
        <v>1816</v>
      </c>
      <c r="C1086" s="206" t="s">
        <v>1817</v>
      </c>
      <c r="D1086" s="290"/>
      <c r="E1086" s="325">
        <f>SUM('ADICIONES  2021'!C1086:N1086)</f>
        <v>1434077627</v>
      </c>
      <c r="F1086" s="290"/>
      <c r="G1086" s="290"/>
      <c r="H1086" s="290"/>
      <c r="I1086" s="290"/>
      <c r="J1086" s="290"/>
      <c r="K1086" s="281">
        <f t="shared" si="1220"/>
        <v>1434077627</v>
      </c>
      <c r="L1086" s="290"/>
      <c r="M1086" s="290"/>
      <c r="N1086" s="290"/>
      <c r="O1086" s="290"/>
      <c r="P1086" s="290">
        <v>1434077627</v>
      </c>
      <c r="Q1086" s="290"/>
      <c r="R1086" s="281">
        <f t="shared" si="1219"/>
        <v>1434077627</v>
      </c>
      <c r="S1086" s="290"/>
      <c r="T1086" s="290"/>
      <c r="U1086" s="290"/>
      <c r="V1086" s="290"/>
      <c r="W1086" s="290"/>
      <c r="X1086" s="290"/>
      <c r="Y1086" s="290"/>
      <c r="Z1086" s="290"/>
      <c r="AA1086" s="281">
        <f t="shared" si="1209"/>
        <v>0</v>
      </c>
      <c r="AB1086" s="403">
        <f t="shared" si="1216"/>
        <v>1434077627</v>
      </c>
      <c r="AC1086" s="326">
        <f t="shared" si="1218"/>
        <v>1</v>
      </c>
    </row>
    <row r="1087" spans="1:29" ht="26.25" hidden="1" thickBot="1" x14ac:dyDescent="0.25">
      <c r="A1087" s="424"/>
      <c r="B1087" s="323" t="s">
        <v>1816</v>
      </c>
      <c r="C1087" s="206" t="s">
        <v>1817</v>
      </c>
      <c r="D1087" s="290"/>
      <c r="E1087" s="325">
        <f>SUM('ADICIONES  2021'!C1087:N1087)</f>
        <v>1867033692</v>
      </c>
      <c r="F1087" s="290"/>
      <c r="G1087" s="290"/>
      <c r="H1087" s="290"/>
      <c r="I1087" s="290"/>
      <c r="J1087" s="290"/>
      <c r="K1087" s="281">
        <f t="shared" si="1220"/>
        <v>1867033692</v>
      </c>
      <c r="L1087" s="290"/>
      <c r="M1087" s="290"/>
      <c r="N1087" s="290"/>
      <c r="O1087" s="290"/>
      <c r="P1087" s="290">
        <v>1867033692</v>
      </c>
      <c r="Q1087" s="290"/>
      <c r="R1087" s="281">
        <f t="shared" si="1219"/>
        <v>1867033692</v>
      </c>
      <c r="S1087" s="290"/>
      <c r="T1087" s="290"/>
      <c r="U1087" s="290"/>
      <c r="V1087" s="290"/>
      <c r="W1087" s="290"/>
      <c r="X1087" s="290"/>
      <c r="Y1087" s="290"/>
      <c r="Z1087" s="290"/>
      <c r="AA1087" s="281">
        <f t="shared" si="1209"/>
        <v>0</v>
      </c>
      <c r="AB1087" s="403">
        <f t="shared" si="1216"/>
        <v>1867033692</v>
      </c>
      <c r="AC1087" s="326">
        <f t="shared" si="1218"/>
        <v>1</v>
      </c>
    </row>
    <row r="1088" spans="1:29" hidden="1" thickBot="1" x14ac:dyDescent="0.25">
      <c r="A1088" s="424"/>
      <c r="B1088" s="323" t="s">
        <v>1818</v>
      </c>
      <c r="C1088" s="206" t="s">
        <v>1819</v>
      </c>
      <c r="D1088" s="290"/>
      <c r="E1088" s="325">
        <f>SUM('ADICIONES  2021'!C1088:N1088)</f>
        <v>8254716.1600000001</v>
      </c>
      <c r="F1088" s="290"/>
      <c r="G1088" s="290"/>
      <c r="H1088" s="290"/>
      <c r="I1088" s="290"/>
      <c r="J1088" s="290"/>
      <c r="K1088" s="281">
        <f t="shared" si="1220"/>
        <v>8254716.1600000001</v>
      </c>
      <c r="L1088" s="290"/>
      <c r="M1088" s="290"/>
      <c r="N1088" s="290"/>
      <c r="O1088" s="290"/>
      <c r="P1088" s="290">
        <v>8254716.1600000001</v>
      </c>
      <c r="Q1088" s="290"/>
      <c r="R1088" s="281">
        <f t="shared" si="1219"/>
        <v>8254716.1600000001</v>
      </c>
      <c r="S1088" s="290"/>
      <c r="T1088" s="290"/>
      <c r="U1088" s="290"/>
      <c r="V1088" s="290"/>
      <c r="W1088" s="290"/>
      <c r="X1088" s="290"/>
      <c r="Y1088" s="290"/>
      <c r="Z1088" s="290"/>
      <c r="AA1088" s="281">
        <f t="shared" si="1209"/>
        <v>0</v>
      </c>
      <c r="AB1088" s="403">
        <f t="shared" si="1216"/>
        <v>8254716.1600000001</v>
      </c>
      <c r="AC1088" s="326">
        <f t="shared" si="1218"/>
        <v>1</v>
      </c>
    </row>
    <row r="1089" spans="1:29" hidden="1" thickBot="1" x14ac:dyDescent="0.25">
      <c r="A1089" s="424"/>
      <c r="B1089" s="323" t="s">
        <v>1818</v>
      </c>
      <c r="C1089" s="206" t="s">
        <v>1819</v>
      </c>
      <c r="D1089" s="290"/>
      <c r="E1089" s="325">
        <f>SUM('ADICIONES  2021'!C1089:N1089)</f>
        <v>79999980</v>
      </c>
      <c r="F1089" s="290"/>
      <c r="G1089" s="290"/>
      <c r="H1089" s="290"/>
      <c r="I1089" s="290"/>
      <c r="J1089" s="290"/>
      <c r="K1089" s="281">
        <f t="shared" si="1220"/>
        <v>79999980</v>
      </c>
      <c r="L1089" s="290"/>
      <c r="M1089" s="290"/>
      <c r="N1089" s="290"/>
      <c r="O1089" s="290"/>
      <c r="P1089" s="290">
        <v>79999980</v>
      </c>
      <c r="Q1089" s="290"/>
      <c r="R1089" s="281">
        <f t="shared" si="1219"/>
        <v>79999980</v>
      </c>
      <c r="S1089" s="290"/>
      <c r="T1089" s="290"/>
      <c r="U1089" s="290"/>
      <c r="V1089" s="290"/>
      <c r="W1089" s="290"/>
      <c r="X1089" s="290"/>
      <c r="Y1089" s="290"/>
      <c r="Z1089" s="290"/>
      <c r="AA1089" s="281">
        <f t="shared" ref="AA1089:AA1103" si="1230">SUM(S1089:Z1089)</f>
        <v>0</v>
      </c>
      <c r="AB1089" s="403">
        <f t="shared" si="1216"/>
        <v>79999980</v>
      </c>
      <c r="AC1089" s="326">
        <f t="shared" si="1218"/>
        <v>1</v>
      </c>
    </row>
    <row r="1090" spans="1:29" hidden="1" thickBot="1" x14ac:dyDescent="0.25">
      <c r="A1090" s="424"/>
      <c r="B1090" s="323" t="s">
        <v>1818</v>
      </c>
      <c r="C1090" s="206" t="s">
        <v>1819</v>
      </c>
      <c r="D1090" s="290"/>
      <c r="E1090" s="325">
        <f>SUM('ADICIONES  2021'!C1090:N1090)</f>
        <v>6354037655.6199999</v>
      </c>
      <c r="F1090" s="290"/>
      <c r="G1090" s="290"/>
      <c r="H1090" s="290"/>
      <c r="I1090" s="290"/>
      <c r="J1090" s="290"/>
      <c r="K1090" s="281">
        <f t="shared" si="1220"/>
        <v>6354037655.6199999</v>
      </c>
      <c r="L1090" s="290"/>
      <c r="M1090" s="290"/>
      <c r="N1090" s="290"/>
      <c r="O1090" s="290"/>
      <c r="P1090" s="290">
        <v>6354037655.6199999</v>
      </c>
      <c r="Q1090" s="290"/>
      <c r="R1090" s="281">
        <f t="shared" si="1219"/>
        <v>6354037655.6199999</v>
      </c>
      <c r="S1090" s="290"/>
      <c r="T1090" s="290"/>
      <c r="U1090" s="290"/>
      <c r="V1090" s="290"/>
      <c r="W1090" s="290"/>
      <c r="X1090" s="290"/>
      <c r="Y1090" s="290"/>
      <c r="Z1090" s="290"/>
      <c r="AA1090" s="281">
        <f t="shared" si="1230"/>
        <v>0</v>
      </c>
      <c r="AB1090" s="403">
        <f t="shared" si="1216"/>
        <v>6354037655.6199999</v>
      </c>
      <c r="AC1090" s="326">
        <f t="shared" si="1218"/>
        <v>1</v>
      </c>
    </row>
    <row r="1091" spans="1:29" hidden="1" thickBot="1" x14ac:dyDescent="0.25">
      <c r="A1091" s="424"/>
      <c r="B1091" s="323" t="s">
        <v>1818</v>
      </c>
      <c r="C1091" s="206" t="s">
        <v>1819</v>
      </c>
      <c r="D1091" s="290"/>
      <c r="E1091" s="325">
        <f>SUM('ADICIONES  2021'!C1091:N1091)</f>
        <v>5410499.25</v>
      </c>
      <c r="F1091" s="290"/>
      <c r="G1091" s="290"/>
      <c r="H1091" s="290"/>
      <c r="I1091" s="290"/>
      <c r="J1091" s="290"/>
      <c r="K1091" s="281">
        <f t="shared" si="1220"/>
        <v>5410499.25</v>
      </c>
      <c r="L1091" s="290"/>
      <c r="M1091" s="290"/>
      <c r="N1091" s="290"/>
      <c r="O1091" s="290"/>
      <c r="P1091" s="290">
        <v>5410499.25</v>
      </c>
      <c r="Q1091" s="290"/>
      <c r="R1091" s="281">
        <f t="shared" si="1219"/>
        <v>5410499.25</v>
      </c>
      <c r="S1091" s="290"/>
      <c r="T1091" s="290"/>
      <c r="U1091" s="290"/>
      <c r="V1091" s="290"/>
      <c r="W1091" s="290"/>
      <c r="X1091" s="290"/>
      <c r="Y1091" s="290"/>
      <c r="Z1091" s="290"/>
      <c r="AA1091" s="281">
        <f t="shared" si="1230"/>
        <v>0</v>
      </c>
      <c r="AB1091" s="403">
        <f t="shared" si="1216"/>
        <v>5410499.25</v>
      </c>
      <c r="AC1091" s="326">
        <f t="shared" si="1218"/>
        <v>1</v>
      </c>
    </row>
    <row r="1092" spans="1:29" hidden="1" thickBot="1" x14ac:dyDescent="0.25">
      <c r="A1092" s="424"/>
      <c r="B1092" s="323" t="s">
        <v>1818</v>
      </c>
      <c r="C1092" s="206" t="s">
        <v>1819</v>
      </c>
      <c r="D1092" s="290"/>
      <c r="E1092" s="325">
        <f>SUM('ADICIONES  2021'!C1092:N1092)</f>
        <v>233334</v>
      </c>
      <c r="F1092" s="290"/>
      <c r="G1092" s="290"/>
      <c r="H1092" s="290"/>
      <c r="I1092" s="290"/>
      <c r="J1092" s="290"/>
      <c r="K1092" s="281">
        <f t="shared" si="1220"/>
        <v>233334</v>
      </c>
      <c r="L1092" s="290"/>
      <c r="M1092" s="290"/>
      <c r="N1092" s="290"/>
      <c r="O1092" s="290"/>
      <c r="P1092" s="290">
        <v>233334</v>
      </c>
      <c r="Q1092" s="290"/>
      <c r="R1092" s="281">
        <f t="shared" si="1219"/>
        <v>233334</v>
      </c>
      <c r="S1092" s="290"/>
      <c r="T1092" s="290"/>
      <c r="U1092" s="290"/>
      <c r="V1092" s="290"/>
      <c r="W1092" s="290"/>
      <c r="X1092" s="290"/>
      <c r="Y1092" s="290"/>
      <c r="Z1092" s="290"/>
      <c r="AA1092" s="281">
        <f t="shared" si="1230"/>
        <v>0</v>
      </c>
      <c r="AB1092" s="403">
        <f t="shared" si="1216"/>
        <v>233334</v>
      </c>
      <c r="AC1092" s="326">
        <f t="shared" si="1218"/>
        <v>1</v>
      </c>
    </row>
    <row r="1093" spans="1:29" hidden="1" thickBot="1" x14ac:dyDescent="0.25">
      <c r="A1093" s="424"/>
      <c r="B1093" s="323" t="s">
        <v>1818</v>
      </c>
      <c r="C1093" s="206" t="s">
        <v>1819</v>
      </c>
      <c r="D1093" s="290"/>
      <c r="E1093" s="325">
        <f>SUM('ADICIONES  2021'!C1093:N1093)</f>
        <v>573503224</v>
      </c>
      <c r="F1093" s="290"/>
      <c r="G1093" s="290"/>
      <c r="H1093" s="290"/>
      <c r="I1093" s="290"/>
      <c r="J1093" s="290"/>
      <c r="K1093" s="281">
        <f t="shared" si="1220"/>
        <v>573503224</v>
      </c>
      <c r="L1093" s="290"/>
      <c r="M1093" s="290"/>
      <c r="N1093" s="290"/>
      <c r="O1093" s="290"/>
      <c r="P1093" s="290">
        <v>573503224</v>
      </c>
      <c r="Q1093" s="290"/>
      <c r="R1093" s="281">
        <f t="shared" si="1219"/>
        <v>573503224</v>
      </c>
      <c r="S1093" s="290"/>
      <c r="T1093" s="290"/>
      <c r="U1093" s="290"/>
      <c r="V1093" s="290"/>
      <c r="W1093" s="290"/>
      <c r="X1093" s="290"/>
      <c r="Y1093" s="290"/>
      <c r="Z1093" s="290"/>
      <c r="AA1093" s="281">
        <f t="shared" si="1230"/>
        <v>0</v>
      </c>
      <c r="AB1093" s="403">
        <f t="shared" si="1216"/>
        <v>573503224</v>
      </c>
      <c r="AC1093" s="326">
        <f t="shared" si="1218"/>
        <v>1</v>
      </c>
    </row>
    <row r="1094" spans="1:29" hidden="1" thickBot="1" x14ac:dyDescent="0.25">
      <c r="A1094" s="424"/>
      <c r="B1094" s="323" t="s">
        <v>1818</v>
      </c>
      <c r="C1094" s="206" t="s">
        <v>1819</v>
      </c>
      <c r="D1094" s="290"/>
      <c r="E1094" s="325">
        <f>SUM('ADICIONES  2021'!C1094:N1094)</f>
        <v>158246.32999999999</v>
      </c>
      <c r="F1094" s="290"/>
      <c r="G1094" s="290"/>
      <c r="H1094" s="290"/>
      <c r="I1094" s="290"/>
      <c r="J1094" s="290"/>
      <c r="K1094" s="281">
        <f t="shared" si="1220"/>
        <v>158246.32999999999</v>
      </c>
      <c r="L1094" s="290"/>
      <c r="M1094" s="290"/>
      <c r="N1094" s="290"/>
      <c r="O1094" s="290"/>
      <c r="P1094" s="290">
        <v>158246.32999999999</v>
      </c>
      <c r="Q1094" s="290"/>
      <c r="R1094" s="281">
        <f t="shared" si="1219"/>
        <v>158246.32999999999</v>
      </c>
      <c r="S1094" s="290"/>
      <c r="T1094" s="290"/>
      <c r="U1094" s="290"/>
      <c r="V1094" s="290"/>
      <c r="W1094" s="290"/>
      <c r="X1094" s="290"/>
      <c r="Y1094" s="290"/>
      <c r="Z1094" s="290"/>
      <c r="AA1094" s="281">
        <f t="shared" si="1230"/>
        <v>0</v>
      </c>
      <c r="AB1094" s="403">
        <f t="shared" si="1216"/>
        <v>158246.32999999999</v>
      </c>
      <c r="AC1094" s="326">
        <f t="shared" si="1218"/>
        <v>1</v>
      </c>
    </row>
    <row r="1095" spans="1:29" hidden="1" thickBot="1" x14ac:dyDescent="0.25">
      <c r="A1095" s="424"/>
      <c r="B1095" s="323" t="s">
        <v>1818</v>
      </c>
      <c r="C1095" s="206" t="s">
        <v>1819</v>
      </c>
      <c r="D1095" s="290"/>
      <c r="E1095" s="325">
        <f>SUM('ADICIONES  2021'!C1095:N1095)</f>
        <v>3387051.02</v>
      </c>
      <c r="F1095" s="290"/>
      <c r="G1095" s="290"/>
      <c r="H1095" s="290"/>
      <c r="I1095" s="290"/>
      <c r="J1095" s="290"/>
      <c r="K1095" s="281">
        <f t="shared" si="1220"/>
        <v>3387051.02</v>
      </c>
      <c r="L1095" s="290"/>
      <c r="M1095" s="290"/>
      <c r="N1095" s="290"/>
      <c r="O1095" s="290"/>
      <c r="P1095" s="290">
        <v>3387051.02</v>
      </c>
      <c r="Q1095" s="290"/>
      <c r="R1095" s="281">
        <f t="shared" si="1219"/>
        <v>3387051.02</v>
      </c>
      <c r="S1095" s="290"/>
      <c r="T1095" s="290"/>
      <c r="U1095" s="290"/>
      <c r="V1095" s="290"/>
      <c r="W1095" s="290"/>
      <c r="X1095" s="290"/>
      <c r="Y1095" s="290"/>
      <c r="Z1095" s="290"/>
      <c r="AA1095" s="281">
        <f t="shared" si="1230"/>
        <v>0</v>
      </c>
      <c r="AB1095" s="403">
        <f t="shared" ref="AB1095:AB1103" si="1231">+R1095+AA1095</f>
        <v>3387051.02</v>
      </c>
      <c r="AC1095" s="326">
        <f t="shared" si="1218"/>
        <v>1</v>
      </c>
    </row>
    <row r="1096" spans="1:29" hidden="1" thickBot="1" x14ac:dyDescent="0.25">
      <c r="A1096" s="424"/>
      <c r="B1096" s="323" t="s">
        <v>1818</v>
      </c>
      <c r="C1096" s="206" t="s">
        <v>1819</v>
      </c>
      <c r="D1096" s="290"/>
      <c r="E1096" s="325">
        <f>SUM('ADICIONES  2021'!C1096:N1096)</f>
        <v>1058927</v>
      </c>
      <c r="F1096" s="290"/>
      <c r="G1096" s="290"/>
      <c r="H1096" s="290"/>
      <c r="I1096" s="290"/>
      <c r="J1096" s="290"/>
      <c r="K1096" s="281">
        <f t="shared" si="1220"/>
        <v>1058927</v>
      </c>
      <c r="L1096" s="290"/>
      <c r="M1096" s="290"/>
      <c r="N1096" s="290"/>
      <c r="O1096" s="290"/>
      <c r="P1096" s="290">
        <v>1058927</v>
      </c>
      <c r="Q1096" s="290"/>
      <c r="R1096" s="281">
        <f t="shared" si="1219"/>
        <v>1058927</v>
      </c>
      <c r="S1096" s="290"/>
      <c r="T1096" s="290"/>
      <c r="U1096" s="290"/>
      <c r="V1096" s="290"/>
      <c r="W1096" s="290"/>
      <c r="X1096" s="290"/>
      <c r="Y1096" s="290"/>
      <c r="Z1096" s="290"/>
      <c r="AA1096" s="281">
        <f t="shared" si="1230"/>
        <v>0</v>
      </c>
      <c r="AB1096" s="403">
        <f t="shared" si="1231"/>
        <v>1058927</v>
      </c>
      <c r="AC1096" s="326">
        <f t="shared" si="1218"/>
        <v>1</v>
      </c>
    </row>
    <row r="1097" spans="1:29" hidden="1" thickBot="1" x14ac:dyDescent="0.25">
      <c r="A1097" s="424"/>
      <c r="B1097" s="323" t="s">
        <v>1818</v>
      </c>
      <c r="C1097" s="206" t="s">
        <v>1819</v>
      </c>
      <c r="D1097" s="290"/>
      <c r="E1097" s="325">
        <f>SUM('ADICIONES  2021'!C1097:N1097)</f>
        <v>2435496.7799999998</v>
      </c>
      <c r="F1097" s="290"/>
      <c r="G1097" s="290"/>
      <c r="H1097" s="290"/>
      <c r="I1097" s="290"/>
      <c r="J1097" s="290"/>
      <c r="K1097" s="281">
        <f t="shared" si="1220"/>
        <v>2435496.7799999998</v>
      </c>
      <c r="L1097" s="290"/>
      <c r="M1097" s="290"/>
      <c r="N1097" s="290"/>
      <c r="O1097" s="290"/>
      <c r="P1097" s="290">
        <v>2435496.7799999998</v>
      </c>
      <c r="Q1097" s="290"/>
      <c r="R1097" s="281">
        <f t="shared" si="1219"/>
        <v>2435496.7799999998</v>
      </c>
      <c r="S1097" s="290"/>
      <c r="T1097" s="290"/>
      <c r="U1097" s="290"/>
      <c r="V1097" s="290"/>
      <c r="W1097" s="290"/>
      <c r="X1097" s="290"/>
      <c r="Y1097" s="290"/>
      <c r="Z1097" s="290"/>
      <c r="AA1097" s="281">
        <f t="shared" si="1230"/>
        <v>0</v>
      </c>
      <c r="AB1097" s="403">
        <f t="shared" si="1231"/>
        <v>2435496.7799999998</v>
      </c>
      <c r="AC1097" s="326">
        <f t="shared" si="1218"/>
        <v>1</v>
      </c>
    </row>
    <row r="1098" spans="1:29" hidden="1" thickBot="1" x14ac:dyDescent="0.25">
      <c r="A1098" s="424"/>
      <c r="B1098" s="323" t="s">
        <v>1818</v>
      </c>
      <c r="C1098" s="206" t="s">
        <v>1819</v>
      </c>
      <c r="D1098" s="290"/>
      <c r="E1098" s="325">
        <f>SUM('ADICIONES  2021'!C1098:N1098)</f>
        <v>50100000</v>
      </c>
      <c r="F1098" s="290"/>
      <c r="G1098" s="290"/>
      <c r="H1098" s="290"/>
      <c r="I1098" s="290"/>
      <c r="J1098" s="290"/>
      <c r="K1098" s="281">
        <f t="shared" si="1220"/>
        <v>50100000</v>
      </c>
      <c r="L1098" s="290"/>
      <c r="M1098" s="290"/>
      <c r="N1098" s="290"/>
      <c r="O1098" s="290"/>
      <c r="P1098" s="290">
        <v>50100000</v>
      </c>
      <c r="Q1098" s="290"/>
      <c r="R1098" s="281">
        <f t="shared" si="1219"/>
        <v>50100000</v>
      </c>
      <c r="S1098" s="290"/>
      <c r="T1098" s="290"/>
      <c r="U1098" s="290"/>
      <c r="V1098" s="290"/>
      <c r="W1098" s="290"/>
      <c r="X1098" s="290"/>
      <c r="Y1098" s="290"/>
      <c r="Z1098" s="290"/>
      <c r="AA1098" s="281">
        <f t="shared" si="1230"/>
        <v>0</v>
      </c>
      <c r="AB1098" s="403">
        <f t="shared" si="1231"/>
        <v>50100000</v>
      </c>
      <c r="AC1098" s="326">
        <f t="shared" si="1218"/>
        <v>1</v>
      </c>
    </row>
    <row r="1099" spans="1:29" hidden="1" thickBot="1" x14ac:dyDescent="0.25">
      <c r="A1099" s="424"/>
      <c r="B1099" s="323" t="s">
        <v>1818</v>
      </c>
      <c r="C1099" s="206" t="s">
        <v>1819</v>
      </c>
      <c r="D1099" s="290"/>
      <c r="E1099" s="325">
        <f>SUM('ADICIONES  2021'!C1099:N1099)</f>
        <v>16500000</v>
      </c>
      <c r="F1099" s="290"/>
      <c r="G1099" s="290"/>
      <c r="H1099" s="290"/>
      <c r="I1099" s="290"/>
      <c r="J1099" s="290"/>
      <c r="K1099" s="281">
        <f t="shared" si="1220"/>
        <v>16500000</v>
      </c>
      <c r="L1099" s="290"/>
      <c r="M1099" s="290"/>
      <c r="N1099" s="290"/>
      <c r="O1099" s="290"/>
      <c r="P1099" s="290">
        <v>16500000</v>
      </c>
      <c r="Q1099" s="290"/>
      <c r="R1099" s="281">
        <f t="shared" si="1219"/>
        <v>16500000</v>
      </c>
      <c r="S1099" s="290"/>
      <c r="T1099" s="290"/>
      <c r="U1099" s="290"/>
      <c r="V1099" s="290"/>
      <c r="W1099" s="290"/>
      <c r="X1099" s="290"/>
      <c r="Y1099" s="290"/>
      <c r="Z1099" s="290"/>
      <c r="AA1099" s="281">
        <f t="shared" si="1230"/>
        <v>0</v>
      </c>
      <c r="AB1099" s="403">
        <f t="shared" si="1231"/>
        <v>16500000</v>
      </c>
      <c r="AC1099" s="326">
        <f t="shared" ref="AC1099:AC1103" si="1232">+AB1099/K1099</f>
        <v>1</v>
      </c>
    </row>
    <row r="1100" spans="1:29" hidden="1" thickBot="1" x14ac:dyDescent="0.25">
      <c r="A1100" s="424"/>
      <c r="B1100" s="323" t="s">
        <v>1818</v>
      </c>
      <c r="C1100" s="206" t="s">
        <v>1819</v>
      </c>
      <c r="D1100" s="290"/>
      <c r="E1100" s="325">
        <f>SUM('ADICIONES  2021'!C1100:N1100)</f>
        <v>4132604</v>
      </c>
      <c r="F1100" s="290"/>
      <c r="G1100" s="290"/>
      <c r="H1100" s="290"/>
      <c r="I1100" s="290"/>
      <c r="J1100" s="290"/>
      <c r="K1100" s="281">
        <f t="shared" si="1220"/>
        <v>4132604</v>
      </c>
      <c r="L1100" s="290"/>
      <c r="M1100" s="290"/>
      <c r="N1100" s="290"/>
      <c r="O1100" s="290"/>
      <c r="P1100" s="290">
        <v>4132604</v>
      </c>
      <c r="Q1100" s="290"/>
      <c r="R1100" s="281">
        <f t="shared" ref="R1100:R1103" si="1233">SUM(L1100:Q1100)</f>
        <v>4132604</v>
      </c>
      <c r="S1100" s="290"/>
      <c r="T1100" s="290"/>
      <c r="U1100" s="290"/>
      <c r="V1100" s="290"/>
      <c r="W1100" s="290"/>
      <c r="X1100" s="290"/>
      <c r="Y1100" s="290"/>
      <c r="Z1100" s="290"/>
      <c r="AA1100" s="281">
        <f t="shared" si="1230"/>
        <v>0</v>
      </c>
      <c r="AB1100" s="403">
        <f t="shared" si="1231"/>
        <v>4132604</v>
      </c>
      <c r="AC1100" s="326">
        <f t="shared" si="1232"/>
        <v>1</v>
      </c>
    </row>
    <row r="1101" spans="1:29" hidden="1" thickBot="1" x14ac:dyDescent="0.25">
      <c r="A1101" s="424"/>
      <c r="B1101" s="323" t="s">
        <v>1818</v>
      </c>
      <c r="C1101" s="206" t="s">
        <v>1819</v>
      </c>
      <c r="D1101" s="290"/>
      <c r="E1101" s="325">
        <f>SUM('ADICIONES  2021'!C1101:N1101)</f>
        <v>499616810.38999999</v>
      </c>
      <c r="F1101" s="290"/>
      <c r="G1101" s="290"/>
      <c r="H1101" s="290"/>
      <c r="I1101" s="290"/>
      <c r="J1101" s="290"/>
      <c r="K1101" s="281">
        <f t="shared" si="1220"/>
        <v>499616810.38999999</v>
      </c>
      <c r="L1101" s="290"/>
      <c r="M1101" s="290"/>
      <c r="N1101" s="290"/>
      <c r="O1101" s="290"/>
      <c r="P1101" s="290">
        <v>499616810.38999999</v>
      </c>
      <c r="Q1101" s="290"/>
      <c r="R1101" s="281">
        <f t="shared" si="1233"/>
        <v>499616810.38999999</v>
      </c>
      <c r="S1101" s="290"/>
      <c r="T1101" s="290"/>
      <c r="U1101" s="290"/>
      <c r="V1101" s="290"/>
      <c r="W1101" s="290"/>
      <c r="X1101" s="290"/>
      <c r="Y1101" s="290"/>
      <c r="Z1101" s="290"/>
      <c r="AA1101" s="281">
        <f t="shared" si="1230"/>
        <v>0</v>
      </c>
      <c r="AB1101" s="403">
        <f t="shared" si="1231"/>
        <v>499616810.38999999</v>
      </c>
      <c r="AC1101" s="326">
        <f t="shared" si="1232"/>
        <v>1</v>
      </c>
    </row>
    <row r="1102" spans="1:29" hidden="1" thickBot="1" x14ac:dyDescent="0.25">
      <c r="A1102" s="424"/>
      <c r="B1102" s="323" t="s">
        <v>1818</v>
      </c>
      <c r="C1102" s="206" t="s">
        <v>1819</v>
      </c>
      <c r="D1102" s="290"/>
      <c r="E1102" s="325">
        <f>SUM('ADICIONES  2021'!C1102:N1102)</f>
        <v>6056617823.2399998</v>
      </c>
      <c r="F1102" s="290"/>
      <c r="G1102" s="290"/>
      <c r="H1102" s="290"/>
      <c r="I1102" s="290"/>
      <c r="J1102" s="290"/>
      <c r="K1102" s="281">
        <f t="shared" si="1220"/>
        <v>6056617823.2399998</v>
      </c>
      <c r="L1102" s="290"/>
      <c r="M1102" s="290"/>
      <c r="N1102" s="290"/>
      <c r="O1102" s="290"/>
      <c r="P1102" s="290">
        <v>6056617823.2399998</v>
      </c>
      <c r="Q1102" s="290"/>
      <c r="R1102" s="281">
        <f t="shared" si="1233"/>
        <v>6056617823.2399998</v>
      </c>
      <c r="S1102" s="290"/>
      <c r="T1102" s="290"/>
      <c r="U1102" s="290"/>
      <c r="V1102" s="290"/>
      <c r="W1102" s="290"/>
      <c r="X1102" s="290"/>
      <c r="Y1102" s="290"/>
      <c r="Z1102" s="290"/>
      <c r="AA1102" s="281">
        <f t="shared" si="1230"/>
        <v>0</v>
      </c>
      <c r="AB1102" s="403">
        <f t="shared" si="1231"/>
        <v>6056617823.2399998</v>
      </c>
      <c r="AC1102" s="326">
        <f t="shared" si="1232"/>
        <v>1</v>
      </c>
    </row>
    <row r="1103" spans="1:29" hidden="1" thickBot="1" x14ac:dyDescent="0.25">
      <c r="A1103" s="424"/>
      <c r="B1103" s="345" t="s">
        <v>1818</v>
      </c>
      <c r="C1103" s="346" t="s">
        <v>1819</v>
      </c>
      <c r="D1103" s="294"/>
      <c r="E1103" s="325">
        <f>SUM('ADICIONES  2021'!C1103:N1103)</f>
        <v>9550485282.7700005</v>
      </c>
      <c r="F1103" s="294"/>
      <c r="G1103" s="294"/>
      <c r="H1103" s="294"/>
      <c r="I1103" s="294"/>
      <c r="J1103" s="294"/>
      <c r="K1103" s="286">
        <f t="shared" si="1220"/>
        <v>9550485282.7700005</v>
      </c>
      <c r="L1103" s="294"/>
      <c r="M1103" s="294"/>
      <c r="N1103" s="294"/>
      <c r="O1103" s="294"/>
      <c r="P1103" s="294">
        <v>9550485282.7700005</v>
      </c>
      <c r="Q1103" s="294"/>
      <c r="R1103" s="286">
        <f t="shared" si="1233"/>
        <v>9550485282.7700005</v>
      </c>
      <c r="S1103" s="294"/>
      <c r="T1103" s="294"/>
      <c r="U1103" s="294"/>
      <c r="V1103" s="294"/>
      <c r="W1103" s="294"/>
      <c r="X1103" s="294"/>
      <c r="Y1103" s="294"/>
      <c r="Z1103" s="294"/>
      <c r="AA1103" s="286">
        <f t="shared" si="1230"/>
        <v>0</v>
      </c>
      <c r="AB1103" s="404">
        <f t="shared" si="1231"/>
        <v>9550485282.7700005</v>
      </c>
      <c r="AC1103" s="347">
        <f t="shared" si="1232"/>
        <v>1</v>
      </c>
    </row>
    <row r="1104" spans="1:29" s="381" customFormat="1" ht="19.5" thickBot="1" x14ac:dyDescent="0.25">
      <c r="A1104" s="161">
        <v>1</v>
      </c>
      <c r="B1104" s="468" t="s">
        <v>22</v>
      </c>
      <c r="C1104" s="469"/>
      <c r="D1104" s="384">
        <f t="shared" ref="D1104:AB1104" si="1234">+D820+D1081</f>
        <v>130199862756.89999</v>
      </c>
      <c r="E1104" s="385">
        <f t="shared" si="1234"/>
        <v>140767829068.78</v>
      </c>
      <c r="F1104" s="384">
        <f t="shared" si="1234"/>
        <v>40440484.68</v>
      </c>
      <c r="G1104" s="384">
        <f t="shared" si="1234"/>
        <v>4689016590.2200003</v>
      </c>
      <c r="H1104" s="384">
        <f t="shared" si="1234"/>
        <v>350000000</v>
      </c>
      <c r="I1104" s="384">
        <f t="shared" si="1234"/>
        <v>0</v>
      </c>
      <c r="J1104" s="384">
        <f t="shared" si="1234"/>
        <v>0</v>
      </c>
      <c r="K1104" s="385">
        <f t="shared" si="1234"/>
        <v>275266267931.22003</v>
      </c>
      <c r="L1104" s="384">
        <f t="shared" si="1234"/>
        <v>14396430252.819202</v>
      </c>
      <c r="M1104" s="384">
        <f t="shared" si="1234"/>
        <v>9194413809.0683994</v>
      </c>
      <c r="N1104" s="384">
        <f t="shared" si="1234"/>
        <v>15323833234.066198</v>
      </c>
      <c r="O1104" s="384">
        <f t="shared" si="1234"/>
        <v>13705612361.3916</v>
      </c>
      <c r="P1104" s="384">
        <f t="shared" si="1234"/>
        <v>68548905619.364807</v>
      </c>
      <c r="Q1104" s="384">
        <f t="shared" si="1234"/>
        <v>10783369269.4132</v>
      </c>
      <c r="R1104" s="385">
        <f t="shared" si="1234"/>
        <v>131952564546.12341</v>
      </c>
      <c r="S1104" s="385">
        <f t="shared" si="1234"/>
        <v>14792855704.080799</v>
      </c>
      <c r="T1104" s="385">
        <f t="shared" si="1234"/>
        <v>19941006777.567196</v>
      </c>
      <c r="U1104" s="385">
        <f t="shared" si="1234"/>
        <v>16920552003.061998</v>
      </c>
      <c r="V1104" s="385">
        <f t="shared" si="1234"/>
        <v>13228927399.4464</v>
      </c>
      <c r="W1104" s="385">
        <f t="shared" si="1234"/>
        <v>16454426999.976797</v>
      </c>
      <c r="X1104" s="385">
        <f t="shared" si="1234"/>
        <v>51349663159.004402</v>
      </c>
      <c r="Y1104" s="385">
        <f t="shared" si="1234"/>
        <v>1984941009.1207991</v>
      </c>
      <c r="Z1104" s="384">
        <f t="shared" si="1234"/>
        <v>0</v>
      </c>
      <c r="AA1104" s="384">
        <f t="shared" si="1234"/>
        <v>134672373052.25838</v>
      </c>
      <c r="AB1104" s="435">
        <f t="shared" si="1234"/>
        <v>266624937598.38177</v>
      </c>
      <c r="AC1104" s="391">
        <f>AB1104/K1104</f>
        <v>0.96860737642217232</v>
      </c>
    </row>
    <row r="1105" spans="1:29" x14ac:dyDescent="0.2">
      <c r="A1105" s="96">
        <v>1</v>
      </c>
      <c r="B1105" s="348"/>
      <c r="C1105" s="117"/>
      <c r="D1105" s="357"/>
      <c r="E1105" s="358"/>
      <c r="F1105" s="351"/>
      <c r="G1105" s="351"/>
      <c r="H1105" s="351"/>
      <c r="I1105" s="287"/>
      <c r="J1105" s="287"/>
      <c r="K1105" s="287"/>
      <c r="L1105" s="287"/>
      <c r="M1105" s="287"/>
      <c r="N1105" s="287"/>
      <c r="O1105" s="287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406"/>
      <c r="AC1105" s="359"/>
    </row>
    <row r="1106" spans="1:29" x14ac:dyDescent="0.2">
      <c r="A1106" s="96">
        <v>1</v>
      </c>
      <c r="B1106" s="465" t="s">
        <v>263</v>
      </c>
      <c r="C1106" s="462"/>
      <c r="D1106" s="332"/>
      <c r="E1106" s="332"/>
      <c r="F1106" s="332"/>
      <c r="G1106" s="332"/>
      <c r="H1106" s="332"/>
      <c r="I1106" s="332"/>
      <c r="J1106" s="332"/>
      <c r="K1106" s="332"/>
      <c r="L1106" s="281"/>
      <c r="M1106" s="281"/>
      <c r="N1106" s="281"/>
      <c r="O1106" s="281"/>
      <c r="P1106" s="281"/>
      <c r="Q1106" s="281"/>
      <c r="R1106" s="281"/>
      <c r="S1106" s="281"/>
      <c r="T1106" s="281"/>
      <c r="U1106" s="281"/>
      <c r="V1106" s="281"/>
      <c r="W1106" s="281"/>
      <c r="X1106" s="281"/>
      <c r="Y1106" s="281"/>
      <c r="Z1106" s="281"/>
      <c r="AA1106" s="281"/>
      <c r="AB1106" s="403"/>
      <c r="AC1106" s="326"/>
    </row>
    <row r="1107" spans="1:29" ht="39" thickBot="1" x14ac:dyDescent="0.25">
      <c r="A1107" s="96">
        <v>1</v>
      </c>
      <c r="B1107" s="360"/>
      <c r="C1107" s="205" t="s">
        <v>374</v>
      </c>
      <c r="D1107" s="361"/>
      <c r="E1107" s="362">
        <f>SUM('ADICIONES  2021'!C1107:N1107)</f>
        <v>5270880557.3299999</v>
      </c>
      <c r="F1107" s="363"/>
      <c r="G1107" s="363"/>
      <c r="H1107" s="363"/>
      <c r="I1107" s="295"/>
      <c r="J1107" s="295"/>
      <c r="K1107" s="295">
        <f t="shared" ref="K1107" si="1235">+D1107+E1107-F1107+G1107-H1107</f>
        <v>5270880557.3299999</v>
      </c>
      <c r="L1107" s="295">
        <v>0</v>
      </c>
      <c r="M1107" s="295">
        <v>0</v>
      </c>
      <c r="N1107" s="295"/>
      <c r="O1107" s="295"/>
      <c r="P1107" s="295">
        <v>0</v>
      </c>
      <c r="Q1107" s="295">
        <v>0</v>
      </c>
      <c r="R1107" s="363">
        <f t="shared" ref="R1107" si="1236">SUM(L1107:Q1107)</f>
        <v>0</v>
      </c>
      <c r="S1107" s="295">
        <v>0</v>
      </c>
      <c r="T1107" s="295">
        <v>0</v>
      </c>
      <c r="U1107" s="295">
        <v>0</v>
      </c>
      <c r="V1107" s="295">
        <v>0</v>
      </c>
      <c r="W1107" s="295"/>
      <c r="X1107" s="295"/>
      <c r="Y1107" s="295"/>
      <c r="Z1107" s="295"/>
      <c r="AA1107" s="295">
        <f t="shared" ref="AA1107" si="1237">SUM(S1107:Z1107)</f>
        <v>0</v>
      </c>
      <c r="AB1107" s="409">
        <f t="shared" ref="AB1107" si="1238">+R1107+AA1107</f>
        <v>0</v>
      </c>
      <c r="AC1107" s="364">
        <f t="shared" ref="AC1107" si="1239">+AB1107/K1107</f>
        <v>0</v>
      </c>
    </row>
    <row r="1108" spans="1:29" s="160" customFormat="1" ht="19.5" thickBot="1" x14ac:dyDescent="0.25">
      <c r="A1108" s="161">
        <v>1</v>
      </c>
      <c r="B1108" s="466" t="s">
        <v>264</v>
      </c>
      <c r="C1108" s="467"/>
      <c r="D1108" s="387">
        <f>+D1107</f>
        <v>0</v>
      </c>
      <c r="E1108" s="388">
        <f>+E1107</f>
        <v>5270880557.3299999</v>
      </c>
      <c r="F1108" s="389">
        <f t="shared" ref="F1108:AB1108" si="1240">+F1107</f>
        <v>0</v>
      </c>
      <c r="G1108" s="389">
        <f t="shared" si="1240"/>
        <v>0</v>
      </c>
      <c r="H1108" s="389">
        <f t="shared" si="1240"/>
        <v>0</v>
      </c>
      <c r="I1108" s="389">
        <f t="shared" si="1240"/>
        <v>0</v>
      </c>
      <c r="J1108" s="389">
        <f t="shared" si="1240"/>
        <v>0</v>
      </c>
      <c r="K1108" s="389">
        <f t="shared" si="1240"/>
        <v>5270880557.3299999</v>
      </c>
      <c r="L1108" s="389">
        <f t="shared" si="1240"/>
        <v>0</v>
      </c>
      <c r="M1108" s="389">
        <f t="shared" si="1240"/>
        <v>0</v>
      </c>
      <c r="N1108" s="389">
        <f t="shared" si="1240"/>
        <v>0</v>
      </c>
      <c r="O1108" s="389">
        <f t="shared" si="1240"/>
        <v>0</v>
      </c>
      <c r="P1108" s="389">
        <f t="shared" si="1240"/>
        <v>0</v>
      </c>
      <c r="Q1108" s="389">
        <f t="shared" si="1240"/>
        <v>0</v>
      </c>
      <c r="R1108" s="389">
        <f t="shared" si="1240"/>
        <v>0</v>
      </c>
      <c r="S1108" s="389">
        <f t="shared" si="1240"/>
        <v>0</v>
      </c>
      <c r="T1108" s="389">
        <f t="shared" si="1240"/>
        <v>0</v>
      </c>
      <c r="U1108" s="389">
        <f t="shared" si="1240"/>
        <v>0</v>
      </c>
      <c r="V1108" s="389">
        <f t="shared" si="1240"/>
        <v>0</v>
      </c>
      <c r="W1108" s="389">
        <f t="shared" si="1240"/>
        <v>0</v>
      </c>
      <c r="X1108" s="389">
        <f t="shared" si="1240"/>
        <v>0</v>
      </c>
      <c r="Y1108" s="389">
        <f t="shared" si="1240"/>
        <v>0</v>
      </c>
      <c r="Z1108" s="389">
        <f t="shared" si="1240"/>
        <v>0</v>
      </c>
      <c r="AA1108" s="389">
        <f t="shared" si="1240"/>
        <v>0</v>
      </c>
      <c r="AB1108" s="410">
        <f t="shared" si="1240"/>
        <v>0</v>
      </c>
      <c r="AC1108" s="390">
        <f>+AB1108/K1108</f>
        <v>0</v>
      </c>
    </row>
    <row r="1109" spans="1:29" x14ac:dyDescent="0.2">
      <c r="A1109" s="96">
        <v>1</v>
      </c>
      <c r="B1109" s="348"/>
      <c r="C1109" s="117"/>
      <c r="D1109" s="357"/>
      <c r="E1109" s="358"/>
      <c r="F1109" s="351"/>
      <c r="G1109" s="351"/>
      <c r="H1109" s="351"/>
      <c r="I1109" s="287"/>
      <c r="J1109" s="287"/>
      <c r="K1109" s="287"/>
      <c r="L1109" s="287"/>
      <c r="M1109" s="287"/>
      <c r="N1109" s="287"/>
      <c r="O1109" s="287"/>
      <c r="P1109" s="287"/>
      <c r="Q1109" s="287"/>
      <c r="R1109" s="287"/>
      <c r="S1109" s="287"/>
      <c r="T1109" s="287"/>
      <c r="U1109" s="287"/>
      <c r="V1109" s="287"/>
      <c r="W1109" s="287"/>
      <c r="X1109" s="287"/>
      <c r="Y1109" s="287"/>
      <c r="Z1109" s="287"/>
      <c r="AA1109" s="287"/>
      <c r="AB1109" s="406"/>
      <c r="AC1109" s="359"/>
    </row>
    <row r="1110" spans="1:29" x14ac:dyDescent="0.2">
      <c r="A1110" s="96">
        <v>1</v>
      </c>
      <c r="B1110" s="465" t="s">
        <v>31</v>
      </c>
      <c r="C1110" s="462"/>
      <c r="D1110" s="331"/>
      <c r="E1110" s="331"/>
      <c r="F1110" s="331"/>
      <c r="G1110" s="331"/>
      <c r="H1110" s="331"/>
      <c r="I1110" s="331"/>
      <c r="J1110" s="331"/>
      <c r="K1110" s="331"/>
      <c r="L1110" s="276"/>
      <c r="M1110" s="276"/>
      <c r="N1110" s="276"/>
      <c r="O1110" s="276"/>
      <c r="P1110" s="276"/>
      <c r="Q1110" s="276"/>
      <c r="R1110" s="276"/>
      <c r="S1110" s="276"/>
      <c r="T1110" s="276"/>
      <c r="U1110" s="276"/>
      <c r="V1110" s="276"/>
      <c r="W1110" s="276"/>
      <c r="X1110" s="276"/>
      <c r="Y1110" s="276"/>
      <c r="Z1110" s="276"/>
      <c r="AA1110" s="276"/>
      <c r="AB1110" s="403"/>
      <c r="AC1110" s="321"/>
    </row>
    <row r="1111" spans="1:29" s="138" customFormat="1" ht="19.5" x14ac:dyDescent="0.2">
      <c r="A1111" s="137">
        <v>1</v>
      </c>
      <c r="B1111" s="365" t="s">
        <v>381</v>
      </c>
      <c r="C1111" s="366" t="s">
        <v>1109</v>
      </c>
      <c r="D1111" s="367">
        <f>+D1112+D1120</f>
        <v>629043594392</v>
      </c>
      <c r="E1111" s="320">
        <f>SUM('ADICIONES  2021'!C1111:N1111)</f>
        <v>4569241521.4200001</v>
      </c>
      <c r="F1111" s="296">
        <f t="shared" ref="F1111:J1111" si="1241">+F1112+F1120</f>
        <v>15659810311</v>
      </c>
      <c r="G1111" s="296">
        <f t="shared" si="1241"/>
        <v>0</v>
      </c>
      <c r="H1111" s="296">
        <f t="shared" si="1241"/>
        <v>0</v>
      </c>
      <c r="I1111" s="296">
        <f t="shared" si="1241"/>
        <v>193347367060</v>
      </c>
      <c r="J1111" s="296">
        <f t="shared" si="1241"/>
        <v>193347367060</v>
      </c>
      <c r="K1111" s="285">
        <f t="shared" ref="K1111:K1134" si="1242">+D1111+E1111-F1111+G1111-H1111</f>
        <v>617953025602.42004</v>
      </c>
      <c r="L1111" s="296">
        <f t="shared" ref="L1111:Q1111" si="1243">+L1112+L1120</f>
        <v>54948368576</v>
      </c>
      <c r="M1111" s="296">
        <f t="shared" si="1243"/>
        <v>44277029266</v>
      </c>
      <c r="N1111" s="296">
        <f t="shared" si="1243"/>
        <v>43852207389</v>
      </c>
      <c r="O1111" s="296">
        <f t="shared" si="1243"/>
        <v>42768251549</v>
      </c>
      <c r="P1111" s="296">
        <f t="shared" si="1243"/>
        <v>43417649059.919998</v>
      </c>
      <c r="Q1111" s="296">
        <f t="shared" si="1243"/>
        <v>43638832675</v>
      </c>
      <c r="R1111" s="285">
        <f>SUM(L1111:Q1111)</f>
        <v>272902338514.91998</v>
      </c>
      <c r="S1111" s="296">
        <f t="shared" ref="S1111:Z1111" si="1244">+S1112+S1120</f>
        <v>61706391253</v>
      </c>
      <c r="T1111" s="296">
        <f t="shared" si="1244"/>
        <v>59155487863.550003</v>
      </c>
      <c r="U1111" s="296">
        <f t="shared" si="1244"/>
        <v>46515462330</v>
      </c>
      <c r="V1111" s="296">
        <f t="shared" si="1244"/>
        <v>47206370250</v>
      </c>
      <c r="W1111" s="296">
        <f t="shared" si="1244"/>
        <v>80573493413</v>
      </c>
      <c r="X1111" s="296">
        <f t="shared" si="1244"/>
        <v>50036559580.419998</v>
      </c>
      <c r="Y1111" s="296">
        <f t="shared" si="1244"/>
        <v>0</v>
      </c>
      <c r="Z1111" s="296">
        <f t="shared" si="1244"/>
        <v>0</v>
      </c>
      <c r="AA1111" s="285">
        <f>SUM(S1111:Z1111)</f>
        <v>345193764689.96997</v>
      </c>
      <c r="AB1111" s="407">
        <f>+R1111+AA1111</f>
        <v>618096103204.88989</v>
      </c>
      <c r="AC1111" s="354">
        <f t="shared" ref="AC1111:AC1134" si="1245">+AB1111/K1111</f>
        <v>1.0002315347551383</v>
      </c>
    </row>
    <row r="1112" spans="1:29" s="138" customFormat="1" ht="19.5" x14ac:dyDescent="0.2">
      <c r="A1112" s="137">
        <v>1</v>
      </c>
      <c r="B1112" s="365" t="s">
        <v>382</v>
      </c>
      <c r="C1112" s="366" t="s">
        <v>1110</v>
      </c>
      <c r="D1112" s="367">
        <f>+D1113</f>
        <v>628393594392</v>
      </c>
      <c r="E1112" s="320">
        <f>SUM('ADICIONES  2021'!C1112:N1112)</f>
        <v>0</v>
      </c>
      <c r="F1112" s="296">
        <f t="shared" ref="F1112:J1115" si="1246">+F1113</f>
        <v>15556104431</v>
      </c>
      <c r="G1112" s="296">
        <f t="shared" si="1246"/>
        <v>0</v>
      </c>
      <c r="H1112" s="296">
        <f t="shared" si="1246"/>
        <v>0</v>
      </c>
      <c r="I1112" s="296">
        <f t="shared" si="1246"/>
        <v>193347367060</v>
      </c>
      <c r="J1112" s="296">
        <f t="shared" si="1246"/>
        <v>193347367060</v>
      </c>
      <c r="K1112" s="285">
        <f t="shared" si="1242"/>
        <v>612837489961</v>
      </c>
      <c r="L1112" s="296">
        <f t="shared" ref="L1112:Q1115" si="1247">+L1113</f>
        <v>54920512781</v>
      </c>
      <c r="M1112" s="296">
        <f t="shared" si="1247"/>
        <v>44269498496</v>
      </c>
      <c r="N1112" s="296">
        <f t="shared" si="1247"/>
        <v>43848802519</v>
      </c>
      <c r="O1112" s="296">
        <f t="shared" si="1247"/>
        <v>42445040611</v>
      </c>
      <c r="P1112" s="296">
        <f t="shared" si="1247"/>
        <v>42979790929</v>
      </c>
      <c r="Q1112" s="296">
        <f t="shared" si="1247"/>
        <v>42822433533</v>
      </c>
      <c r="R1112" s="285">
        <f t="shared" ref="R1112:R1134" si="1248">SUM(L1112:Q1112)</f>
        <v>271286078869</v>
      </c>
      <c r="S1112" s="296">
        <f t="shared" ref="S1112:Z1115" si="1249">+S1113</f>
        <v>61688551056</v>
      </c>
      <c r="T1112" s="296">
        <f t="shared" si="1249"/>
        <v>56347849980</v>
      </c>
      <c r="U1112" s="296">
        <f t="shared" si="1249"/>
        <v>46479753353</v>
      </c>
      <c r="V1112" s="296">
        <f t="shared" si="1249"/>
        <v>47148789127</v>
      </c>
      <c r="W1112" s="296">
        <f t="shared" si="1249"/>
        <v>80490631859</v>
      </c>
      <c r="X1112" s="296">
        <f t="shared" si="1249"/>
        <v>49395835717</v>
      </c>
      <c r="Y1112" s="296">
        <f t="shared" si="1249"/>
        <v>0</v>
      </c>
      <c r="Z1112" s="296">
        <f t="shared" si="1249"/>
        <v>0</v>
      </c>
      <c r="AA1112" s="285">
        <f t="shared" ref="AA1112:AA1134" si="1250">SUM(S1112:Z1112)</f>
        <v>341551411092</v>
      </c>
      <c r="AB1112" s="407">
        <f t="shared" ref="AB1112:AB1134" si="1251">+R1112+AA1112</f>
        <v>612837489961</v>
      </c>
      <c r="AC1112" s="354">
        <f t="shared" si="1245"/>
        <v>1</v>
      </c>
    </row>
    <row r="1113" spans="1:29" s="138" customFormat="1" ht="19.5" x14ac:dyDescent="0.2">
      <c r="A1113" s="137">
        <v>1</v>
      </c>
      <c r="B1113" s="365" t="s">
        <v>534</v>
      </c>
      <c r="C1113" s="366" t="s">
        <v>1111</v>
      </c>
      <c r="D1113" s="367">
        <f>+D1114</f>
        <v>628393594392</v>
      </c>
      <c r="E1113" s="320">
        <f>SUM('ADICIONES  2021'!C1113:N1113)</f>
        <v>0</v>
      </c>
      <c r="F1113" s="296">
        <f t="shared" si="1246"/>
        <v>15556104431</v>
      </c>
      <c r="G1113" s="296">
        <f t="shared" si="1246"/>
        <v>0</v>
      </c>
      <c r="H1113" s="296">
        <f t="shared" si="1246"/>
        <v>0</v>
      </c>
      <c r="I1113" s="296">
        <f t="shared" si="1246"/>
        <v>193347367060</v>
      </c>
      <c r="J1113" s="296">
        <f t="shared" si="1246"/>
        <v>193347367060</v>
      </c>
      <c r="K1113" s="285">
        <f t="shared" si="1242"/>
        <v>612837489961</v>
      </c>
      <c r="L1113" s="296">
        <f t="shared" si="1247"/>
        <v>54920512781</v>
      </c>
      <c r="M1113" s="296">
        <f t="shared" si="1247"/>
        <v>44269498496</v>
      </c>
      <c r="N1113" s="296">
        <f t="shared" si="1247"/>
        <v>43848802519</v>
      </c>
      <c r="O1113" s="296">
        <f t="shared" si="1247"/>
        <v>42445040611</v>
      </c>
      <c r="P1113" s="296">
        <f t="shared" si="1247"/>
        <v>42979790929</v>
      </c>
      <c r="Q1113" s="296">
        <f t="shared" si="1247"/>
        <v>42822433533</v>
      </c>
      <c r="R1113" s="285">
        <f t="shared" si="1248"/>
        <v>271286078869</v>
      </c>
      <c r="S1113" s="296">
        <f t="shared" si="1249"/>
        <v>61688551056</v>
      </c>
      <c r="T1113" s="296">
        <f t="shared" si="1249"/>
        <v>56347849980</v>
      </c>
      <c r="U1113" s="296">
        <f t="shared" si="1249"/>
        <v>46479753353</v>
      </c>
      <c r="V1113" s="296">
        <f t="shared" si="1249"/>
        <v>47148789127</v>
      </c>
      <c r="W1113" s="296">
        <f t="shared" si="1249"/>
        <v>80490631859</v>
      </c>
      <c r="X1113" s="296">
        <f t="shared" si="1249"/>
        <v>49395835717</v>
      </c>
      <c r="Y1113" s="296">
        <f t="shared" si="1249"/>
        <v>0</v>
      </c>
      <c r="Z1113" s="296">
        <f t="shared" si="1249"/>
        <v>0</v>
      </c>
      <c r="AA1113" s="285">
        <f t="shared" si="1250"/>
        <v>341551411092</v>
      </c>
      <c r="AB1113" s="407">
        <f t="shared" si="1251"/>
        <v>612837489961</v>
      </c>
      <c r="AC1113" s="354">
        <f t="shared" si="1245"/>
        <v>1</v>
      </c>
    </row>
    <row r="1114" spans="1:29" s="138" customFormat="1" ht="19.5" x14ac:dyDescent="0.2">
      <c r="A1114" s="137">
        <v>1</v>
      </c>
      <c r="B1114" s="365" t="s">
        <v>607</v>
      </c>
      <c r="C1114" s="366" t="s">
        <v>608</v>
      </c>
      <c r="D1114" s="367">
        <f>+D1115</f>
        <v>628393594392</v>
      </c>
      <c r="E1114" s="320">
        <f>SUM('ADICIONES  2021'!C1114:N1114)</f>
        <v>0</v>
      </c>
      <c r="F1114" s="296">
        <f t="shared" si="1246"/>
        <v>15556104431</v>
      </c>
      <c r="G1114" s="296">
        <f t="shared" si="1246"/>
        <v>0</v>
      </c>
      <c r="H1114" s="296">
        <f t="shared" si="1246"/>
        <v>0</v>
      </c>
      <c r="I1114" s="296">
        <f t="shared" si="1246"/>
        <v>193347367060</v>
      </c>
      <c r="J1114" s="296">
        <f t="shared" si="1246"/>
        <v>193347367060</v>
      </c>
      <c r="K1114" s="285">
        <f t="shared" si="1242"/>
        <v>612837489961</v>
      </c>
      <c r="L1114" s="296">
        <f t="shared" si="1247"/>
        <v>54920512781</v>
      </c>
      <c r="M1114" s="296">
        <f t="shared" si="1247"/>
        <v>44269498496</v>
      </c>
      <c r="N1114" s="296">
        <f t="shared" si="1247"/>
        <v>43848802519</v>
      </c>
      <c r="O1114" s="296">
        <f t="shared" si="1247"/>
        <v>42445040611</v>
      </c>
      <c r="P1114" s="296">
        <f t="shared" si="1247"/>
        <v>42979790929</v>
      </c>
      <c r="Q1114" s="296">
        <f t="shared" si="1247"/>
        <v>42822433533</v>
      </c>
      <c r="R1114" s="285">
        <f t="shared" si="1248"/>
        <v>271286078869</v>
      </c>
      <c r="S1114" s="296">
        <f t="shared" si="1249"/>
        <v>61688551056</v>
      </c>
      <c r="T1114" s="296">
        <f t="shared" si="1249"/>
        <v>56347849980</v>
      </c>
      <c r="U1114" s="296">
        <f t="shared" si="1249"/>
        <v>46479753353</v>
      </c>
      <c r="V1114" s="296">
        <f t="shared" si="1249"/>
        <v>47148789127</v>
      </c>
      <c r="W1114" s="296">
        <f t="shared" si="1249"/>
        <v>80490631859</v>
      </c>
      <c r="X1114" s="296">
        <f t="shared" si="1249"/>
        <v>49395835717</v>
      </c>
      <c r="Y1114" s="296">
        <f t="shared" si="1249"/>
        <v>0</v>
      </c>
      <c r="Z1114" s="296">
        <f t="shared" si="1249"/>
        <v>0</v>
      </c>
      <c r="AA1114" s="285">
        <f t="shared" si="1250"/>
        <v>341551411092</v>
      </c>
      <c r="AB1114" s="407">
        <f t="shared" si="1251"/>
        <v>612837489961</v>
      </c>
      <c r="AC1114" s="354">
        <f t="shared" si="1245"/>
        <v>1</v>
      </c>
    </row>
    <row r="1115" spans="1:29" s="61" customFormat="1" ht="15.75" x14ac:dyDescent="0.2">
      <c r="A1115" s="428">
        <v>1</v>
      </c>
      <c r="B1115" s="368" t="s">
        <v>609</v>
      </c>
      <c r="C1115" s="369" t="s">
        <v>610</v>
      </c>
      <c r="D1115" s="370">
        <f>+D1116</f>
        <v>628393594392</v>
      </c>
      <c r="E1115" s="322">
        <f>SUM('ADICIONES  2021'!C1115:N1115)</f>
        <v>0</v>
      </c>
      <c r="F1115" s="297">
        <f t="shared" si="1246"/>
        <v>15556104431</v>
      </c>
      <c r="G1115" s="297">
        <f t="shared" si="1246"/>
        <v>0</v>
      </c>
      <c r="H1115" s="297">
        <f t="shared" si="1246"/>
        <v>0</v>
      </c>
      <c r="I1115" s="297">
        <f t="shared" si="1246"/>
        <v>193347367060</v>
      </c>
      <c r="J1115" s="297">
        <f t="shared" si="1246"/>
        <v>193347367060</v>
      </c>
      <c r="K1115" s="276">
        <f t="shared" si="1242"/>
        <v>612837489961</v>
      </c>
      <c r="L1115" s="297">
        <f t="shared" si="1247"/>
        <v>54920512781</v>
      </c>
      <c r="M1115" s="297">
        <f t="shared" si="1247"/>
        <v>44269498496</v>
      </c>
      <c r="N1115" s="297">
        <f t="shared" si="1247"/>
        <v>43848802519</v>
      </c>
      <c r="O1115" s="297">
        <f t="shared" si="1247"/>
        <v>42445040611</v>
      </c>
      <c r="P1115" s="297">
        <f t="shared" si="1247"/>
        <v>42979790929</v>
      </c>
      <c r="Q1115" s="297">
        <f t="shared" si="1247"/>
        <v>42822433533</v>
      </c>
      <c r="R1115" s="285">
        <f t="shared" si="1248"/>
        <v>271286078869</v>
      </c>
      <c r="S1115" s="297">
        <f t="shared" si="1249"/>
        <v>61688551056</v>
      </c>
      <c r="T1115" s="297">
        <f t="shared" si="1249"/>
        <v>56347849980</v>
      </c>
      <c r="U1115" s="297">
        <f t="shared" si="1249"/>
        <v>46479753353</v>
      </c>
      <c r="V1115" s="297">
        <f t="shared" si="1249"/>
        <v>47148789127</v>
      </c>
      <c r="W1115" s="297">
        <f t="shared" si="1249"/>
        <v>80490631859</v>
      </c>
      <c r="X1115" s="297">
        <f t="shared" si="1249"/>
        <v>49395835717</v>
      </c>
      <c r="Y1115" s="297">
        <f t="shared" si="1249"/>
        <v>0</v>
      </c>
      <c r="Z1115" s="297">
        <f t="shared" si="1249"/>
        <v>0</v>
      </c>
      <c r="AA1115" s="285">
        <f t="shared" si="1250"/>
        <v>341551411092</v>
      </c>
      <c r="AB1115" s="407">
        <f t="shared" si="1251"/>
        <v>612837489961</v>
      </c>
      <c r="AC1115" s="321">
        <f t="shared" si="1245"/>
        <v>1</v>
      </c>
    </row>
    <row r="1116" spans="1:29" s="19" customFormat="1" x14ac:dyDescent="0.2">
      <c r="A1116" s="429">
        <v>1</v>
      </c>
      <c r="B1116" s="371" t="s">
        <v>611</v>
      </c>
      <c r="C1116" s="372" t="s">
        <v>612</v>
      </c>
      <c r="D1116" s="370">
        <f>+D1117+D1118</f>
        <v>628393594392</v>
      </c>
      <c r="E1116" s="322">
        <f>SUM('ADICIONES  2021'!C1116:N1116)</f>
        <v>0</v>
      </c>
      <c r="F1116" s="297">
        <f t="shared" ref="F1116:J1116" si="1252">+F1117+F1118</f>
        <v>15556104431</v>
      </c>
      <c r="G1116" s="297">
        <f t="shared" si="1252"/>
        <v>0</v>
      </c>
      <c r="H1116" s="297">
        <f t="shared" si="1252"/>
        <v>0</v>
      </c>
      <c r="I1116" s="297">
        <f t="shared" si="1252"/>
        <v>193347367060</v>
      </c>
      <c r="J1116" s="297">
        <f t="shared" si="1252"/>
        <v>193347367060</v>
      </c>
      <c r="K1116" s="281">
        <f t="shared" si="1242"/>
        <v>612837489961</v>
      </c>
      <c r="L1116" s="297">
        <f t="shared" ref="L1116:Q1116" si="1253">+L1117+L1118</f>
        <v>54920512781</v>
      </c>
      <c r="M1116" s="297">
        <f t="shared" si="1253"/>
        <v>44269498496</v>
      </c>
      <c r="N1116" s="297">
        <f t="shared" si="1253"/>
        <v>43848802519</v>
      </c>
      <c r="O1116" s="297">
        <f t="shared" si="1253"/>
        <v>42445040611</v>
      </c>
      <c r="P1116" s="297">
        <f t="shared" si="1253"/>
        <v>42979790929</v>
      </c>
      <c r="Q1116" s="297">
        <f t="shared" si="1253"/>
        <v>42822433533</v>
      </c>
      <c r="R1116" s="281">
        <f t="shared" si="1248"/>
        <v>271286078869</v>
      </c>
      <c r="S1116" s="298">
        <f t="shared" ref="S1116:Z1116" si="1254">+S1117+S1118</f>
        <v>61688551056</v>
      </c>
      <c r="T1116" s="298">
        <f t="shared" si="1254"/>
        <v>56347849980</v>
      </c>
      <c r="U1116" s="298">
        <f t="shared" si="1254"/>
        <v>46479753353</v>
      </c>
      <c r="V1116" s="298">
        <f t="shared" si="1254"/>
        <v>47148789127</v>
      </c>
      <c r="W1116" s="298">
        <f t="shared" si="1254"/>
        <v>80490631859</v>
      </c>
      <c r="X1116" s="298">
        <f t="shared" si="1254"/>
        <v>49395835717</v>
      </c>
      <c r="Y1116" s="298">
        <f t="shared" si="1254"/>
        <v>0</v>
      </c>
      <c r="Z1116" s="297">
        <f t="shared" si="1254"/>
        <v>0</v>
      </c>
      <c r="AA1116" s="285">
        <f t="shared" si="1250"/>
        <v>341551411092</v>
      </c>
      <c r="AB1116" s="403">
        <f t="shared" si="1251"/>
        <v>612837489961</v>
      </c>
      <c r="AC1116" s="326">
        <f t="shared" si="1245"/>
        <v>1</v>
      </c>
    </row>
    <row r="1117" spans="1:29" s="19" customFormat="1" ht="16.5" hidden="1" customHeight="1" x14ac:dyDescent="0.2">
      <c r="A1117" s="426"/>
      <c r="B1117" s="371" t="s">
        <v>1112</v>
      </c>
      <c r="C1117" s="372" t="s">
        <v>1113</v>
      </c>
      <c r="D1117" s="373">
        <v>628393594392</v>
      </c>
      <c r="E1117" s="325">
        <f>SUM('ADICIONES  2021'!C1117:N1117)</f>
        <v>0</v>
      </c>
      <c r="F1117" s="298">
        <v>15556104431</v>
      </c>
      <c r="G1117" s="298"/>
      <c r="H1117" s="298"/>
      <c r="I1117" s="298">
        <v>193347367060</v>
      </c>
      <c r="J1117" s="298">
        <v>193347367060</v>
      </c>
      <c r="K1117" s="281">
        <f t="shared" si="1242"/>
        <v>612837489961</v>
      </c>
      <c r="L1117" s="298">
        <v>54920512781</v>
      </c>
      <c r="M1117" s="298">
        <v>44269498496</v>
      </c>
      <c r="N1117" s="298">
        <v>43848802519</v>
      </c>
      <c r="O1117" s="298">
        <v>42445040611</v>
      </c>
      <c r="P1117" s="298">
        <v>42979790929</v>
      </c>
      <c r="Q1117" s="298">
        <v>42822433533</v>
      </c>
      <c r="R1117" s="281">
        <f t="shared" si="1248"/>
        <v>271286078869</v>
      </c>
      <c r="S1117" s="298">
        <v>61688551056</v>
      </c>
      <c r="T1117" s="298">
        <v>56347849980</v>
      </c>
      <c r="U1117" s="298">
        <v>46479753353</v>
      </c>
      <c r="V1117" s="298">
        <v>47148789127</v>
      </c>
      <c r="W1117" s="298">
        <v>80490631859</v>
      </c>
      <c r="X1117" s="298">
        <v>49395835717</v>
      </c>
      <c r="Y1117" s="298"/>
      <c r="Z1117" s="298"/>
      <c r="AA1117" s="281">
        <f t="shared" si="1250"/>
        <v>341551411092</v>
      </c>
      <c r="AB1117" s="403">
        <f t="shared" si="1251"/>
        <v>612837489961</v>
      </c>
      <c r="AC1117" s="326">
        <f t="shared" si="1245"/>
        <v>1</v>
      </c>
    </row>
    <row r="1118" spans="1:29" s="61" customFormat="1" ht="15.75" hidden="1" x14ac:dyDescent="0.2">
      <c r="A1118" s="425"/>
      <c r="B1118" s="368" t="s">
        <v>615</v>
      </c>
      <c r="C1118" s="369" t="s">
        <v>1114</v>
      </c>
      <c r="D1118" s="370">
        <f>+D1119</f>
        <v>0</v>
      </c>
      <c r="E1118" s="322">
        <f>SUM('ADICIONES  2021'!C1118:N1118)</f>
        <v>0</v>
      </c>
      <c r="F1118" s="297">
        <f t="shared" ref="F1118:J1118" si="1255">+F1119</f>
        <v>0</v>
      </c>
      <c r="G1118" s="297">
        <f t="shared" si="1255"/>
        <v>0</v>
      </c>
      <c r="H1118" s="297">
        <f t="shared" si="1255"/>
        <v>0</v>
      </c>
      <c r="I1118" s="297">
        <f t="shared" si="1255"/>
        <v>0</v>
      </c>
      <c r="J1118" s="297">
        <f t="shared" si="1255"/>
        <v>0</v>
      </c>
      <c r="K1118" s="276">
        <f t="shared" si="1242"/>
        <v>0</v>
      </c>
      <c r="L1118" s="297">
        <f t="shared" ref="L1118:Q1118" si="1256">+L1119</f>
        <v>0</v>
      </c>
      <c r="M1118" s="297">
        <f t="shared" si="1256"/>
        <v>0</v>
      </c>
      <c r="N1118" s="297">
        <f t="shared" si="1256"/>
        <v>0</v>
      </c>
      <c r="O1118" s="297">
        <v>0</v>
      </c>
      <c r="P1118" s="297">
        <f t="shared" si="1256"/>
        <v>0</v>
      </c>
      <c r="Q1118" s="297">
        <f t="shared" si="1256"/>
        <v>0</v>
      </c>
      <c r="R1118" s="285">
        <f t="shared" si="1248"/>
        <v>0</v>
      </c>
      <c r="S1118" s="297">
        <f t="shared" ref="S1118:Z1118" si="1257">+S1119</f>
        <v>0</v>
      </c>
      <c r="T1118" s="297">
        <f t="shared" si="1257"/>
        <v>0</v>
      </c>
      <c r="U1118" s="297">
        <f t="shared" si="1257"/>
        <v>0</v>
      </c>
      <c r="V1118" s="297">
        <f t="shared" si="1257"/>
        <v>0</v>
      </c>
      <c r="W1118" s="297">
        <f t="shared" si="1257"/>
        <v>0</v>
      </c>
      <c r="X1118" s="297">
        <f t="shared" si="1257"/>
        <v>0</v>
      </c>
      <c r="Y1118" s="297">
        <f t="shared" si="1257"/>
        <v>0</v>
      </c>
      <c r="Z1118" s="297">
        <f t="shared" si="1257"/>
        <v>0</v>
      </c>
      <c r="AA1118" s="285">
        <f t="shared" si="1250"/>
        <v>0</v>
      </c>
      <c r="AB1118" s="407">
        <f t="shared" si="1251"/>
        <v>0</v>
      </c>
      <c r="AC1118" s="321" t="e">
        <f t="shared" si="1245"/>
        <v>#DIV/0!</v>
      </c>
    </row>
    <row r="1119" spans="1:29" s="19" customFormat="1" hidden="1" x14ac:dyDescent="0.2">
      <c r="A1119" s="426"/>
      <c r="B1119" s="371" t="s">
        <v>1115</v>
      </c>
      <c r="C1119" s="372" t="s">
        <v>1116</v>
      </c>
      <c r="D1119" s="373">
        <v>0</v>
      </c>
      <c r="E1119" s="325">
        <f>SUM('ADICIONES  2021'!C1119:N1119)</f>
        <v>0</v>
      </c>
      <c r="F1119" s="298"/>
      <c r="G1119" s="298"/>
      <c r="H1119" s="298"/>
      <c r="I1119" s="298"/>
      <c r="J1119" s="298"/>
      <c r="K1119" s="281">
        <f t="shared" si="1242"/>
        <v>0</v>
      </c>
      <c r="L1119" s="298">
        <v>0</v>
      </c>
      <c r="M1119" s="298"/>
      <c r="N1119" s="298"/>
      <c r="O1119" s="298"/>
      <c r="P1119" s="298"/>
      <c r="Q1119" s="298"/>
      <c r="R1119" s="276">
        <f t="shared" si="1248"/>
        <v>0</v>
      </c>
      <c r="S1119" s="298"/>
      <c r="T1119" s="298"/>
      <c r="U1119" s="298"/>
      <c r="V1119" s="298"/>
      <c r="W1119" s="298"/>
      <c r="X1119" s="298"/>
      <c r="Y1119" s="298"/>
      <c r="Z1119" s="298"/>
      <c r="AA1119" s="276">
        <f t="shared" si="1250"/>
        <v>0</v>
      </c>
      <c r="AB1119" s="402">
        <f t="shared" si="1251"/>
        <v>0</v>
      </c>
      <c r="AC1119" s="326" t="e">
        <f t="shared" si="1245"/>
        <v>#DIV/0!</v>
      </c>
    </row>
    <row r="1120" spans="1:29" s="61" customFormat="1" ht="15.75" x14ac:dyDescent="0.2">
      <c r="A1120" s="428">
        <v>1</v>
      </c>
      <c r="B1120" s="368" t="s">
        <v>697</v>
      </c>
      <c r="C1120" s="369" t="s">
        <v>1117</v>
      </c>
      <c r="D1120" s="370">
        <f>+D1121+D1125+D1132</f>
        <v>650000000</v>
      </c>
      <c r="E1120" s="322">
        <f>SUM('ADICIONES  2021'!C1120:N1120)</f>
        <v>4569241521.4200001</v>
      </c>
      <c r="F1120" s="297">
        <f t="shared" ref="F1120:J1120" si="1258">+F1121+F1125+F1132</f>
        <v>103705880</v>
      </c>
      <c r="G1120" s="297">
        <f t="shared" si="1258"/>
        <v>0</v>
      </c>
      <c r="H1120" s="297">
        <f t="shared" si="1258"/>
        <v>0</v>
      </c>
      <c r="I1120" s="297">
        <f t="shared" si="1258"/>
        <v>0</v>
      </c>
      <c r="J1120" s="297">
        <f t="shared" si="1258"/>
        <v>0</v>
      </c>
      <c r="K1120" s="276">
        <f t="shared" si="1242"/>
        <v>5115535641.4200001</v>
      </c>
      <c r="L1120" s="297">
        <f t="shared" ref="L1120:Q1120" si="1259">+L1121+L1125+L1132</f>
        <v>27855795</v>
      </c>
      <c r="M1120" s="297">
        <f t="shared" si="1259"/>
        <v>7530770</v>
      </c>
      <c r="N1120" s="297">
        <f t="shared" si="1259"/>
        <v>3404870</v>
      </c>
      <c r="O1120" s="297">
        <f t="shared" si="1259"/>
        <v>323210938</v>
      </c>
      <c r="P1120" s="297">
        <f t="shared" si="1259"/>
        <v>437858130.92000002</v>
      </c>
      <c r="Q1120" s="297">
        <f t="shared" si="1259"/>
        <v>816399142</v>
      </c>
      <c r="R1120" s="285">
        <f t="shared" si="1248"/>
        <v>1616259645.9200001</v>
      </c>
      <c r="S1120" s="297">
        <f t="shared" ref="S1120:Z1120" si="1260">+S1121+S1125+S1132</f>
        <v>17840197</v>
      </c>
      <c r="T1120" s="297">
        <f t="shared" si="1260"/>
        <v>2807637883.5500002</v>
      </c>
      <c r="U1120" s="297">
        <f t="shared" si="1260"/>
        <v>35708977</v>
      </c>
      <c r="V1120" s="297">
        <f t="shared" si="1260"/>
        <v>57581123</v>
      </c>
      <c r="W1120" s="297">
        <f t="shared" si="1260"/>
        <v>82861554</v>
      </c>
      <c r="X1120" s="297">
        <f t="shared" si="1260"/>
        <v>640723863.41999996</v>
      </c>
      <c r="Y1120" s="297">
        <f t="shared" si="1260"/>
        <v>0</v>
      </c>
      <c r="Z1120" s="297">
        <f t="shared" si="1260"/>
        <v>0</v>
      </c>
      <c r="AA1120" s="285">
        <f t="shared" si="1250"/>
        <v>3642353597.9700003</v>
      </c>
      <c r="AB1120" s="407">
        <f t="shared" si="1251"/>
        <v>5258613243.8900003</v>
      </c>
      <c r="AC1120" s="321">
        <f t="shared" si="1245"/>
        <v>1.027969231865284</v>
      </c>
    </row>
    <row r="1121" spans="1:29" s="19" customFormat="1" x14ac:dyDescent="0.2">
      <c r="A1121" s="429">
        <v>1</v>
      </c>
      <c r="B1121" s="371" t="s">
        <v>1083</v>
      </c>
      <c r="C1121" s="372" t="s">
        <v>708</v>
      </c>
      <c r="D1121" s="370">
        <f>+D1122</f>
        <v>150000000</v>
      </c>
      <c r="E1121" s="322">
        <f>SUM('ADICIONES  2021'!C1121:N1121)</f>
        <v>0</v>
      </c>
      <c r="F1121" s="297">
        <f t="shared" ref="F1121:J1123" si="1261">+F1122</f>
        <v>103705880</v>
      </c>
      <c r="G1121" s="297">
        <f t="shared" si="1261"/>
        <v>0</v>
      </c>
      <c r="H1121" s="297">
        <f t="shared" si="1261"/>
        <v>0</v>
      </c>
      <c r="I1121" s="297">
        <f t="shared" si="1261"/>
        <v>0</v>
      </c>
      <c r="J1121" s="297">
        <f t="shared" si="1261"/>
        <v>0</v>
      </c>
      <c r="K1121" s="281">
        <f t="shared" si="1242"/>
        <v>46294120</v>
      </c>
      <c r="L1121" s="297">
        <f t="shared" ref="L1121:Q1123" si="1262">+L1122</f>
        <v>2114931</v>
      </c>
      <c r="M1121" s="297">
        <f t="shared" si="1262"/>
        <v>1866768</v>
      </c>
      <c r="N1121" s="297">
        <f t="shared" si="1262"/>
        <v>1992190</v>
      </c>
      <c r="O1121" s="297">
        <f t="shared" si="1262"/>
        <v>2674646</v>
      </c>
      <c r="P1121" s="297">
        <f t="shared" si="1262"/>
        <v>2835042</v>
      </c>
      <c r="Q1121" s="297">
        <f t="shared" si="1262"/>
        <v>3014069</v>
      </c>
      <c r="R1121" s="281">
        <f t="shared" si="1248"/>
        <v>14497646</v>
      </c>
      <c r="S1121" s="298">
        <f t="shared" ref="S1121:Z1123" si="1263">+S1122</f>
        <v>3728474</v>
      </c>
      <c r="T1121" s="298">
        <f t="shared" si="1263"/>
        <v>4373387</v>
      </c>
      <c r="U1121" s="298">
        <f t="shared" si="1263"/>
        <v>5398557</v>
      </c>
      <c r="V1121" s="298">
        <f t="shared" si="1263"/>
        <v>5798903</v>
      </c>
      <c r="W1121" s="298">
        <f t="shared" si="1263"/>
        <v>7252354</v>
      </c>
      <c r="X1121" s="298">
        <f t="shared" si="1263"/>
        <v>7494610</v>
      </c>
      <c r="Y1121" s="298">
        <f t="shared" si="1263"/>
        <v>0</v>
      </c>
      <c r="Z1121" s="297">
        <f t="shared" si="1263"/>
        <v>0</v>
      </c>
      <c r="AA1121" s="285">
        <f t="shared" si="1250"/>
        <v>34046285</v>
      </c>
      <c r="AB1121" s="403">
        <f t="shared" si="1251"/>
        <v>48543931</v>
      </c>
      <c r="AC1121" s="326">
        <f t="shared" si="1245"/>
        <v>1.0485982021042846</v>
      </c>
    </row>
    <row r="1122" spans="1:29" s="61" customFormat="1" ht="15.75" hidden="1" x14ac:dyDescent="0.2">
      <c r="A1122" s="425"/>
      <c r="B1122" s="368" t="s">
        <v>709</v>
      </c>
      <c r="C1122" s="369" t="s">
        <v>1085</v>
      </c>
      <c r="D1122" s="370">
        <f>+D1123</f>
        <v>150000000</v>
      </c>
      <c r="E1122" s="322">
        <f>SUM('ADICIONES  2021'!C1122:N1122)</f>
        <v>0</v>
      </c>
      <c r="F1122" s="297">
        <f t="shared" si="1261"/>
        <v>103705880</v>
      </c>
      <c r="G1122" s="297">
        <f t="shared" si="1261"/>
        <v>0</v>
      </c>
      <c r="H1122" s="297">
        <f t="shared" si="1261"/>
        <v>0</v>
      </c>
      <c r="I1122" s="297">
        <f t="shared" si="1261"/>
        <v>0</v>
      </c>
      <c r="J1122" s="297">
        <f t="shared" si="1261"/>
        <v>0</v>
      </c>
      <c r="K1122" s="276">
        <f t="shared" si="1242"/>
        <v>46294120</v>
      </c>
      <c r="L1122" s="297">
        <f t="shared" si="1262"/>
        <v>2114931</v>
      </c>
      <c r="M1122" s="297">
        <f t="shared" si="1262"/>
        <v>1866768</v>
      </c>
      <c r="N1122" s="297">
        <f t="shared" si="1262"/>
        <v>1992190</v>
      </c>
      <c r="O1122" s="297">
        <f t="shared" si="1262"/>
        <v>2674646</v>
      </c>
      <c r="P1122" s="297">
        <f t="shared" si="1262"/>
        <v>2835042</v>
      </c>
      <c r="Q1122" s="297">
        <f t="shared" si="1262"/>
        <v>3014069</v>
      </c>
      <c r="R1122" s="285">
        <f t="shared" si="1248"/>
        <v>14497646</v>
      </c>
      <c r="S1122" s="297">
        <f t="shared" si="1263"/>
        <v>3728474</v>
      </c>
      <c r="T1122" s="297">
        <f t="shared" si="1263"/>
        <v>4373387</v>
      </c>
      <c r="U1122" s="297">
        <f t="shared" si="1263"/>
        <v>5398557</v>
      </c>
      <c r="V1122" s="297">
        <f t="shared" si="1263"/>
        <v>5798903</v>
      </c>
      <c r="W1122" s="297">
        <f t="shared" si="1263"/>
        <v>7252354</v>
      </c>
      <c r="X1122" s="297">
        <f t="shared" si="1263"/>
        <v>7494610</v>
      </c>
      <c r="Y1122" s="297">
        <f t="shared" si="1263"/>
        <v>0</v>
      </c>
      <c r="Z1122" s="297">
        <f t="shared" si="1263"/>
        <v>0</v>
      </c>
      <c r="AA1122" s="285">
        <f t="shared" si="1250"/>
        <v>34046285</v>
      </c>
      <c r="AB1122" s="407">
        <f t="shared" si="1251"/>
        <v>48543931</v>
      </c>
      <c r="AC1122" s="321">
        <f t="shared" si="1245"/>
        <v>1.0485982021042846</v>
      </c>
    </row>
    <row r="1123" spans="1:29" s="61" customFormat="1" ht="15.75" hidden="1" x14ac:dyDescent="0.2">
      <c r="A1123" s="425"/>
      <c r="B1123" s="368" t="s">
        <v>711</v>
      </c>
      <c r="C1123" s="369" t="s">
        <v>610</v>
      </c>
      <c r="D1123" s="370">
        <f>+D1124</f>
        <v>150000000</v>
      </c>
      <c r="E1123" s="322">
        <f>SUM('ADICIONES  2021'!C1123:N1123)</f>
        <v>0</v>
      </c>
      <c r="F1123" s="297">
        <f t="shared" si="1261"/>
        <v>103705880</v>
      </c>
      <c r="G1123" s="297">
        <f t="shared" si="1261"/>
        <v>0</v>
      </c>
      <c r="H1123" s="297">
        <f t="shared" si="1261"/>
        <v>0</v>
      </c>
      <c r="I1123" s="297">
        <f t="shared" si="1261"/>
        <v>0</v>
      </c>
      <c r="J1123" s="297">
        <f t="shared" si="1261"/>
        <v>0</v>
      </c>
      <c r="K1123" s="276">
        <f t="shared" si="1242"/>
        <v>46294120</v>
      </c>
      <c r="L1123" s="297">
        <f t="shared" si="1262"/>
        <v>2114931</v>
      </c>
      <c r="M1123" s="297">
        <f t="shared" si="1262"/>
        <v>1866768</v>
      </c>
      <c r="N1123" s="297">
        <f t="shared" si="1262"/>
        <v>1992190</v>
      </c>
      <c r="O1123" s="297">
        <f t="shared" si="1262"/>
        <v>2674646</v>
      </c>
      <c r="P1123" s="297">
        <f t="shared" si="1262"/>
        <v>2835042</v>
      </c>
      <c r="Q1123" s="297">
        <f t="shared" si="1262"/>
        <v>3014069</v>
      </c>
      <c r="R1123" s="285">
        <f t="shared" si="1248"/>
        <v>14497646</v>
      </c>
      <c r="S1123" s="297">
        <f t="shared" si="1263"/>
        <v>3728474</v>
      </c>
      <c r="T1123" s="297">
        <f t="shared" si="1263"/>
        <v>4373387</v>
      </c>
      <c r="U1123" s="297">
        <f t="shared" si="1263"/>
        <v>5398557</v>
      </c>
      <c r="V1123" s="297">
        <f t="shared" si="1263"/>
        <v>5798903</v>
      </c>
      <c r="W1123" s="297">
        <f t="shared" si="1263"/>
        <v>7252354</v>
      </c>
      <c r="X1123" s="297">
        <f t="shared" si="1263"/>
        <v>7494610</v>
      </c>
      <c r="Y1123" s="297">
        <f t="shared" si="1263"/>
        <v>0</v>
      </c>
      <c r="Z1123" s="297">
        <f t="shared" si="1263"/>
        <v>0</v>
      </c>
      <c r="AA1123" s="285">
        <f t="shared" si="1250"/>
        <v>34046285</v>
      </c>
      <c r="AB1123" s="407">
        <f t="shared" si="1251"/>
        <v>48543931</v>
      </c>
      <c r="AC1123" s="321">
        <f t="shared" si="1245"/>
        <v>1.0485982021042846</v>
      </c>
    </row>
    <row r="1124" spans="1:29" s="19" customFormat="1" hidden="1" x14ac:dyDescent="0.2">
      <c r="A1124" s="426"/>
      <c r="B1124" s="371" t="s">
        <v>1087</v>
      </c>
      <c r="C1124" s="372" t="s">
        <v>1113</v>
      </c>
      <c r="D1124" s="373">
        <v>150000000</v>
      </c>
      <c r="E1124" s="325">
        <f>SUM('ADICIONES  2021'!C1124:N1124)</f>
        <v>0</v>
      </c>
      <c r="F1124" s="298">
        <v>103705880</v>
      </c>
      <c r="G1124" s="298"/>
      <c r="H1124" s="298"/>
      <c r="I1124" s="298"/>
      <c r="J1124" s="298"/>
      <c r="K1124" s="281">
        <f t="shared" si="1242"/>
        <v>46294120</v>
      </c>
      <c r="L1124" s="298">
        <v>2114931</v>
      </c>
      <c r="M1124" s="298">
        <v>1866768</v>
      </c>
      <c r="N1124" s="298">
        <v>1992190</v>
      </c>
      <c r="O1124" s="298">
        <v>2674646</v>
      </c>
      <c r="P1124" s="298">
        <v>2835042</v>
      </c>
      <c r="Q1124" s="298">
        <v>3014069</v>
      </c>
      <c r="R1124" s="281">
        <f t="shared" si="1248"/>
        <v>14497646</v>
      </c>
      <c r="S1124" s="298">
        <v>3728474</v>
      </c>
      <c r="T1124" s="298">
        <v>4373387</v>
      </c>
      <c r="U1124" s="298">
        <v>5398557</v>
      </c>
      <c r="V1124" s="298">
        <v>5798903</v>
      </c>
      <c r="W1124" s="298">
        <v>7252354</v>
      </c>
      <c r="X1124" s="298">
        <v>7494610</v>
      </c>
      <c r="Y1124" s="298"/>
      <c r="Z1124" s="298"/>
      <c r="AA1124" s="281">
        <f t="shared" si="1250"/>
        <v>34046285</v>
      </c>
      <c r="AB1124" s="403">
        <f t="shared" si="1251"/>
        <v>48543931</v>
      </c>
      <c r="AC1124" s="326">
        <f t="shared" si="1245"/>
        <v>1.0485982021042846</v>
      </c>
    </row>
    <row r="1125" spans="1:29" s="19" customFormat="1" x14ac:dyDescent="0.2">
      <c r="A1125" s="429">
        <v>1</v>
      </c>
      <c r="B1125" s="371" t="s">
        <v>821</v>
      </c>
      <c r="C1125" s="372" t="s">
        <v>1118</v>
      </c>
      <c r="D1125" s="370">
        <f>+D1126+D1127</f>
        <v>0</v>
      </c>
      <c r="E1125" s="322">
        <f>SUM('ADICIONES  2021'!C1125:N1125)</f>
        <v>3402737692.4200001</v>
      </c>
      <c r="F1125" s="297">
        <f t="shared" ref="F1125:J1125" si="1264">+F1126+F1127</f>
        <v>0</v>
      </c>
      <c r="G1125" s="297">
        <f t="shared" si="1264"/>
        <v>0</v>
      </c>
      <c r="H1125" s="297">
        <f t="shared" si="1264"/>
        <v>0</v>
      </c>
      <c r="I1125" s="297">
        <f t="shared" si="1264"/>
        <v>0</v>
      </c>
      <c r="J1125" s="297">
        <f t="shared" si="1264"/>
        <v>0</v>
      </c>
      <c r="K1125" s="281">
        <f t="shared" si="1242"/>
        <v>3402737692.4200001</v>
      </c>
      <c r="L1125" s="297">
        <f t="shared" ref="L1125:Q1125" si="1265">+L1126+L1127</f>
        <v>0</v>
      </c>
      <c r="M1125" s="297">
        <f t="shared" si="1265"/>
        <v>0</v>
      </c>
      <c r="N1125" s="297">
        <f t="shared" si="1265"/>
        <v>0</v>
      </c>
      <c r="O1125" s="297">
        <f t="shared" si="1265"/>
        <v>0</v>
      </c>
      <c r="P1125" s="297">
        <f t="shared" si="1265"/>
        <v>0</v>
      </c>
      <c r="Q1125" s="297">
        <f t="shared" si="1265"/>
        <v>0</v>
      </c>
      <c r="R1125" s="281">
        <f t="shared" si="1248"/>
        <v>0</v>
      </c>
      <c r="S1125" s="298">
        <f t="shared" ref="S1125:Z1125" si="1266">+S1126+S1127</f>
        <v>0</v>
      </c>
      <c r="T1125" s="298">
        <f t="shared" si="1266"/>
        <v>2782944810</v>
      </c>
      <c r="U1125" s="298">
        <f t="shared" si="1266"/>
        <v>0</v>
      </c>
      <c r="V1125" s="298">
        <f t="shared" si="1266"/>
        <v>0</v>
      </c>
      <c r="W1125" s="298">
        <f t="shared" si="1266"/>
        <v>0</v>
      </c>
      <c r="X1125" s="298">
        <f t="shared" si="1266"/>
        <v>619792882.41999996</v>
      </c>
      <c r="Y1125" s="298">
        <f t="shared" si="1266"/>
        <v>0</v>
      </c>
      <c r="Z1125" s="297">
        <f t="shared" si="1266"/>
        <v>0</v>
      </c>
      <c r="AA1125" s="285">
        <f t="shared" si="1250"/>
        <v>3402737692.4200001</v>
      </c>
      <c r="AB1125" s="403">
        <f t="shared" si="1251"/>
        <v>3402737692.4200001</v>
      </c>
      <c r="AC1125" s="326">
        <f t="shared" si="1245"/>
        <v>1</v>
      </c>
    </row>
    <row r="1126" spans="1:29" s="19" customFormat="1" hidden="1" x14ac:dyDescent="0.2">
      <c r="A1126" s="426"/>
      <c r="B1126" s="371" t="s">
        <v>1119</v>
      </c>
      <c r="C1126" s="372" t="s">
        <v>1120</v>
      </c>
      <c r="D1126" s="373">
        <v>0</v>
      </c>
      <c r="E1126" s="325">
        <f>SUM('ADICIONES  2021'!C1126:N1126)</f>
        <v>0</v>
      </c>
      <c r="F1126" s="298"/>
      <c r="G1126" s="298"/>
      <c r="H1126" s="298"/>
      <c r="I1126" s="298"/>
      <c r="J1126" s="298"/>
      <c r="K1126" s="281">
        <f t="shared" si="1242"/>
        <v>0</v>
      </c>
      <c r="L1126" s="298"/>
      <c r="M1126" s="298"/>
      <c r="N1126" s="298"/>
      <c r="O1126" s="298"/>
      <c r="P1126" s="298"/>
      <c r="Q1126" s="298"/>
      <c r="R1126" s="285">
        <f t="shared" si="1248"/>
        <v>0</v>
      </c>
      <c r="S1126" s="298"/>
      <c r="T1126" s="298"/>
      <c r="U1126" s="298"/>
      <c r="V1126" s="298"/>
      <c r="W1126" s="298"/>
      <c r="X1126" s="298"/>
      <c r="Y1126" s="298"/>
      <c r="Z1126" s="298"/>
      <c r="AA1126" s="285">
        <f t="shared" si="1250"/>
        <v>0</v>
      </c>
      <c r="AB1126" s="407">
        <f t="shared" si="1251"/>
        <v>0</v>
      </c>
      <c r="AC1126" s="326" t="e">
        <f t="shared" si="1245"/>
        <v>#DIV/0!</v>
      </c>
    </row>
    <row r="1127" spans="1:29" s="61" customFormat="1" ht="15.75" hidden="1" x14ac:dyDescent="0.2">
      <c r="A1127" s="425"/>
      <c r="B1127" s="368" t="s">
        <v>822</v>
      </c>
      <c r="C1127" s="369" t="s">
        <v>1121</v>
      </c>
      <c r="D1127" s="370">
        <f>SUM(D1128:D1131)</f>
        <v>0</v>
      </c>
      <c r="E1127" s="322">
        <f>SUM('ADICIONES  2021'!C1127:N1127)</f>
        <v>3402737692.4200001</v>
      </c>
      <c r="F1127" s="370">
        <f t="shared" ref="F1127:J1127" si="1267">SUM(F1128:F1131)</f>
        <v>0</v>
      </c>
      <c r="G1127" s="370">
        <f t="shared" si="1267"/>
        <v>0</v>
      </c>
      <c r="H1127" s="370">
        <f t="shared" si="1267"/>
        <v>0</v>
      </c>
      <c r="I1127" s="370">
        <f t="shared" si="1267"/>
        <v>0</v>
      </c>
      <c r="J1127" s="370">
        <f t="shared" si="1267"/>
        <v>0</v>
      </c>
      <c r="K1127" s="276">
        <f t="shared" si="1242"/>
        <v>3402737692.4200001</v>
      </c>
      <c r="L1127" s="370">
        <f t="shared" ref="L1127:Q1127" si="1268">SUM(L1128:L1131)</f>
        <v>0</v>
      </c>
      <c r="M1127" s="370">
        <f t="shared" si="1268"/>
        <v>0</v>
      </c>
      <c r="N1127" s="370">
        <f t="shared" si="1268"/>
        <v>0</v>
      </c>
      <c r="O1127" s="370">
        <f t="shared" si="1268"/>
        <v>0</v>
      </c>
      <c r="P1127" s="370">
        <f t="shared" si="1268"/>
        <v>0</v>
      </c>
      <c r="Q1127" s="370">
        <f t="shared" si="1268"/>
        <v>0</v>
      </c>
      <c r="R1127" s="285">
        <f t="shared" si="1248"/>
        <v>0</v>
      </c>
      <c r="S1127" s="370">
        <f t="shared" ref="S1127:Z1127" si="1269">SUM(S1128:S1131)</f>
        <v>0</v>
      </c>
      <c r="T1127" s="370">
        <f t="shared" si="1269"/>
        <v>2782944810</v>
      </c>
      <c r="U1127" s="370">
        <f t="shared" si="1269"/>
        <v>0</v>
      </c>
      <c r="V1127" s="370">
        <f t="shared" si="1269"/>
        <v>0</v>
      </c>
      <c r="W1127" s="370">
        <f t="shared" si="1269"/>
        <v>0</v>
      </c>
      <c r="X1127" s="370">
        <f t="shared" si="1269"/>
        <v>619792882.41999996</v>
      </c>
      <c r="Y1127" s="370">
        <f t="shared" si="1269"/>
        <v>0</v>
      </c>
      <c r="Z1127" s="370">
        <f t="shared" si="1269"/>
        <v>0</v>
      </c>
      <c r="AA1127" s="285">
        <f t="shared" si="1250"/>
        <v>3402737692.4200001</v>
      </c>
      <c r="AB1127" s="407">
        <f t="shared" si="1251"/>
        <v>3402737692.4200001</v>
      </c>
      <c r="AC1127" s="321">
        <f t="shared" si="1245"/>
        <v>1</v>
      </c>
    </row>
    <row r="1128" spans="1:29" s="19" customFormat="1" hidden="1" x14ac:dyDescent="0.2">
      <c r="A1128" s="426"/>
      <c r="B1128" s="371" t="s">
        <v>1122</v>
      </c>
      <c r="C1128" s="372" t="s">
        <v>610</v>
      </c>
      <c r="D1128" s="373">
        <v>0</v>
      </c>
      <c r="E1128" s="325">
        <f>SUM('ADICIONES  2021'!C1128:N1128)</f>
        <v>3051099928.4200001</v>
      </c>
      <c r="F1128" s="298"/>
      <c r="G1128" s="298"/>
      <c r="H1128" s="298"/>
      <c r="I1128" s="298"/>
      <c r="J1128" s="298"/>
      <c r="K1128" s="281">
        <f t="shared" si="1242"/>
        <v>3051099928.4200001</v>
      </c>
      <c r="L1128" s="298"/>
      <c r="M1128" s="298"/>
      <c r="N1128" s="298"/>
      <c r="O1128" s="298"/>
      <c r="P1128" s="298"/>
      <c r="Q1128" s="298"/>
      <c r="R1128" s="281">
        <f t="shared" si="1248"/>
        <v>0</v>
      </c>
      <c r="S1128" s="298"/>
      <c r="T1128" s="298">
        <v>2431307046</v>
      </c>
      <c r="U1128" s="298"/>
      <c r="V1128" s="298"/>
      <c r="W1128" s="298"/>
      <c r="X1128" s="298">
        <v>619792882.41999996</v>
      </c>
      <c r="Y1128" s="298"/>
      <c r="Z1128" s="298"/>
      <c r="AA1128" s="281">
        <f t="shared" si="1250"/>
        <v>3051099928.4200001</v>
      </c>
      <c r="AB1128" s="403">
        <f t="shared" si="1251"/>
        <v>3051099928.4200001</v>
      </c>
      <c r="AC1128" s="326">
        <f t="shared" si="1245"/>
        <v>1</v>
      </c>
    </row>
    <row r="1129" spans="1:29" s="19" customFormat="1" hidden="1" x14ac:dyDescent="0.2">
      <c r="A1129" s="426"/>
      <c r="B1129" s="371" t="s">
        <v>1122</v>
      </c>
      <c r="C1129" s="372" t="s">
        <v>610</v>
      </c>
      <c r="D1129" s="373"/>
      <c r="E1129" s="325">
        <f>SUM('ADICIONES  2021'!C1129:N1129)</f>
        <v>0</v>
      </c>
      <c r="F1129" s="298"/>
      <c r="G1129" s="298"/>
      <c r="H1129" s="298"/>
      <c r="I1129" s="298"/>
      <c r="J1129" s="298"/>
      <c r="K1129" s="281">
        <f t="shared" si="1242"/>
        <v>0</v>
      </c>
      <c r="L1129" s="298"/>
      <c r="M1129" s="298"/>
      <c r="N1129" s="298"/>
      <c r="O1129" s="298"/>
      <c r="P1129" s="298"/>
      <c r="Q1129" s="298"/>
      <c r="R1129" s="281">
        <f t="shared" si="1248"/>
        <v>0</v>
      </c>
      <c r="S1129" s="298"/>
      <c r="T1129" s="298"/>
      <c r="U1129" s="298"/>
      <c r="V1129" s="298"/>
      <c r="W1129" s="298"/>
      <c r="X1129" s="298"/>
      <c r="Y1129" s="298"/>
      <c r="Z1129" s="298"/>
      <c r="AA1129" s="281">
        <f t="shared" ref="AA1129:AA1132" si="1270">SUM(S1129:Z1129)</f>
        <v>0</v>
      </c>
      <c r="AB1129" s="403">
        <f t="shared" si="1251"/>
        <v>0</v>
      </c>
      <c r="AC1129" s="326" t="e">
        <f t="shared" si="1245"/>
        <v>#DIV/0!</v>
      </c>
    </row>
    <row r="1130" spans="1:29" s="19" customFormat="1" hidden="1" x14ac:dyDescent="0.2">
      <c r="A1130" s="426"/>
      <c r="B1130" s="371" t="s">
        <v>1123</v>
      </c>
      <c r="C1130" s="372" t="s">
        <v>1124</v>
      </c>
      <c r="D1130" s="373">
        <v>0</v>
      </c>
      <c r="E1130" s="325">
        <f>SUM('ADICIONES  2021'!C1130:N1130)</f>
        <v>0</v>
      </c>
      <c r="F1130" s="298"/>
      <c r="G1130" s="298"/>
      <c r="H1130" s="298"/>
      <c r="I1130" s="298"/>
      <c r="J1130" s="298"/>
      <c r="K1130" s="281">
        <f t="shared" si="1242"/>
        <v>0</v>
      </c>
      <c r="L1130" s="298"/>
      <c r="M1130" s="298"/>
      <c r="N1130" s="298"/>
      <c r="O1130" s="298"/>
      <c r="P1130" s="298"/>
      <c r="Q1130" s="298"/>
      <c r="R1130" s="281">
        <f t="shared" si="1248"/>
        <v>0</v>
      </c>
      <c r="S1130" s="298"/>
      <c r="T1130" s="298"/>
      <c r="U1130" s="298"/>
      <c r="V1130" s="298"/>
      <c r="W1130" s="298"/>
      <c r="X1130" s="298"/>
      <c r="Y1130" s="298"/>
      <c r="Z1130" s="298"/>
      <c r="AA1130" s="281">
        <f t="shared" si="1270"/>
        <v>0</v>
      </c>
      <c r="AB1130" s="403">
        <f t="shared" si="1251"/>
        <v>0</v>
      </c>
      <c r="AC1130" s="326" t="e">
        <f t="shared" si="1245"/>
        <v>#DIV/0!</v>
      </c>
    </row>
    <row r="1131" spans="1:29" s="19" customFormat="1" hidden="1" x14ac:dyDescent="0.2">
      <c r="A1131" s="426"/>
      <c r="B1131" s="371" t="s">
        <v>824</v>
      </c>
      <c r="C1131" s="372" t="s">
        <v>1878</v>
      </c>
      <c r="D1131" s="373"/>
      <c r="E1131" s="325">
        <f>SUM('ADICIONES  2021'!C1131:N1131)</f>
        <v>351637764</v>
      </c>
      <c r="F1131" s="298"/>
      <c r="G1131" s="298"/>
      <c r="H1131" s="298"/>
      <c r="I1131" s="298"/>
      <c r="J1131" s="298"/>
      <c r="K1131" s="281">
        <f t="shared" si="1242"/>
        <v>351637764</v>
      </c>
      <c r="L1131" s="298"/>
      <c r="M1131" s="298"/>
      <c r="N1131" s="298"/>
      <c r="O1131" s="298"/>
      <c r="P1131" s="298"/>
      <c r="Q1131" s="298"/>
      <c r="R1131" s="281">
        <f t="shared" si="1248"/>
        <v>0</v>
      </c>
      <c r="S1131" s="298"/>
      <c r="T1131" s="298">
        <v>351637764</v>
      </c>
      <c r="U1131" s="298"/>
      <c r="V1131" s="298"/>
      <c r="W1131" s="298"/>
      <c r="X1131" s="298"/>
      <c r="Y1131" s="298"/>
      <c r="Z1131" s="298"/>
      <c r="AA1131" s="281">
        <f t="shared" si="1270"/>
        <v>351637764</v>
      </c>
      <c r="AB1131" s="403">
        <f t="shared" si="1251"/>
        <v>351637764</v>
      </c>
      <c r="AC1131" s="326">
        <f t="shared" si="1245"/>
        <v>1</v>
      </c>
    </row>
    <row r="1132" spans="1:29" s="101" customFormat="1" ht="15.75" thickBot="1" x14ac:dyDescent="0.25">
      <c r="A1132" s="434">
        <v>1</v>
      </c>
      <c r="B1132" s="371" t="s">
        <v>849</v>
      </c>
      <c r="C1132" s="372" t="s">
        <v>850</v>
      </c>
      <c r="D1132" s="370">
        <f>+D1133+D1134</f>
        <v>500000000</v>
      </c>
      <c r="E1132" s="322">
        <f>SUM('ADICIONES  2021'!C1132:N1132)</f>
        <v>1166503829</v>
      </c>
      <c r="F1132" s="297">
        <f t="shared" ref="F1132:J1132" si="1271">+F1133+F1134</f>
        <v>0</v>
      </c>
      <c r="G1132" s="297">
        <f t="shared" si="1271"/>
        <v>0</v>
      </c>
      <c r="H1132" s="297">
        <f t="shared" si="1271"/>
        <v>0</v>
      </c>
      <c r="I1132" s="297">
        <f t="shared" si="1271"/>
        <v>0</v>
      </c>
      <c r="J1132" s="297">
        <f t="shared" si="1271"/>
        <v>0</v>
      </c>
      <c r="K1132" s="281">
        <f t="shared" si="1242"/>
        <v>1666503829</v>
      </c>
      <c r="L1132" s="297">
        <f t="shared" ref="L1132:Q1132" si="1272">+L1133+L1134</f>
        <v>25740864</v>
      </c>
      <c r="M1132" s="297">
        <f t="shared" si="1272"/>
        <v>5664002</v>
      </c>
      <c r="N1132" s="297">
        <f t="shared" si="1272"/>
        <v>1412680</v>
      </c>
      <c r="O1132" s="297">
        <f t="shared" si="1272"/>
        <v>320536292</v>
      </c>
      <c r="P1132" s="297">
        <f t="shared" si="1272"/>
        <v>435023088.92000002</v>
      </c>
      <c r="Q1132" s="297">
        <f t="shared" si="1272"/>
        <v>813385073</v>
      </c>
      <c r="R1132" s="281">
        <f>SUM(L1132:Q1132)</f>
        <v>1601761999.9200001</v>
      </c>
      <c r="S1132" s="298">
        <f t="shared" ref="S1132:Z1132" si="1273">+S1133+S1134</f>
        <v>14111723</v>
      </c>
      <c r="T1132" s="298">
        <f t="shared" si="1273"/>
        <v>20319686.550000001</v>
      </c>
      <c r="U1132" s="298">
        <f t="shared" si="1273"/>
        <v>30310420</v>
      </c>
      <c r="V1132" s="298">
        <f t="shared" si="1273"/>
        <v>51782220</v>
      </c>
      <c r="W1132" s="298">
        <f t="shared" si="1273"/>
        <v>75609200</v>
      </c>
      <c r="X1132" s="298">
        <f t="shared" si="1273"/>
        <v>13436371</v>
      </c>
      <c r="Y1132" s="298">
        <f t="shared" si="1273"/>
        <v>0</v>
      </c>
      <c r="Z1132" s="297">
        <f t="shared" si="1273"/>
        <v>0</v>
      </c>
      <c r="AA1132" s="285">
        <f t="shared" si="1270"/>
        <v>205569620.55000001</v>
      </c>
      <c r="AB1132" s="403">
        <f t="shared" si="1251"/>
        <v>1807331620.47</v>
      </c>
      <c r="AC1132" s="326">
        <f t="shared" si="1245"/>
        <v>1.0845049312334945</v>
      </c>
    </row>
    <row r="1133" spans="1:29" hidden="1" thickBot="1" x14ac:dyDescent="0.25">
      <c r="A1133" s="424"/>
      <c r="B1133" s="371" t="s">
        <v>851</v>
      </c>
      <c r="C1133" s="372" t="s">
        <v>852</v>
      </c>
      <c r="D1133" s="373">
        <v>500000000</v>
      </c>
      <c r="E1133" s="325">
        <f>SUM('ADICIONES  2021'!C1133:N1133)</f>
        <v>1166503829</v>
      </c>
      <c r="F1133" s="298"/>
      <c r="G1133" s="298"/>
      <c r="H1133" s="298"/>
      <c r="I1133" s="298"/>
      <c r="J1133" s="298"/>
      <c r="K1133" s="281">
        <f t="shared" si="1242"/>
        <v>1666503829</v>
      </c>
      <c r="L1133" s="298">
        <v>25740864</v>
      </c>
      <c r="M1133" s="298">
        <v>5664002</v>
      </c>
      <c r="N1133" s="298">
        <v>1412680</v>
      </c>
      <c r="O1133" s="298">
        <v>320536292</v>
      </c>
      <c r="P1133" s="298">
        <v>435023088.92000002</v>
      </c>
      <c r="Q1133" s="298">
        <v>813385073</v>
      </c>
      <c r="R1133" s="281">
        <f t="shared" si="1248"/>
        <v>1601761999.9200001</v>
      </c>
      <c r="S1133" s="298">
        <v>14111723</v>
      </c>
      <c r="T1133" s="298">
        <v>20319686.550000001</v>
      </c>
      <c r="U1133" s="298">
        <v>30310420</v>
      </c>
      <c r="V1133" s="298">
        <v>51782220</v>
      </c>
      <c r="W1133" s="298">
        <v>75609200</v>
      </c>
      <c r="X1133" s="298">
        <v>13436371</v>
      </c>
      <c r="Y1133" s="298"/>
      <c r="Z1133" s="298"/>
      <c r="AA1133" s="281">
        <f t="shared" si="1250"/>
        <v>205569620.55000001</v>
      </c>
      <c r="AB1133" s="403">
        <f t="shared" si="1251"/>
        <v>1807331620.47</v>
      </c>
      <c r="AC1133" s="326">
        <f t="shared" si="1245"/>
        <v>1.0845049312334945</v>
      </c>
    </row>
    <row r="1134" spans="1:29" hidden="1" thickBot="1" x14ac:dyDescent="0.25">
      <c r="A1134" s="424"/>
      <c r="B1134" s="374" t="s">
        <v>1125</v>
      </c>
      <c r="C1134" s="375" t="s">
        <v>1126</v>
      </c>
      <c r="D1134" s="376">
        <v>0</v>
      </c>
      <c r="E1134" s="325">
        <f>SUM('ADICIONES  2021'!C1134:N1134)</f>
        <v>0</v>
      </c>
      <c r="F1134" s="299"/>
      <c r="G1134" s="299"/>
      <c r="H1134" s="299"/>
      <c r="I1134" s="299"/>
      <c r="J1134" s="299"/>
      <c r="K1134" s="286">
        <f t="shared" si="1242"/>
        <v>0</v>
      </c>
      <c r="L1134" s="299">
        <v>0</v>
      </c>
      <c r="M1134" s="299">
        <v>0</v>
      </c>
      <c r="N1134" s="299"/>
      <c r="O1134" s="299"/>
      <c r="P1134" s="299"/>
      <c r="Q1134" s="299"/>
      <c r="R1134" s="286">
        <f t="shared" si="1248"/>
        <v>0</v>
      </c>
      <c r="S1134" s="299"/>
      <c r="T1134" s="299"/>
      <c r="U1134" s="299"/>
      <c r="V1134" s="299"/>
      <c r="W1134" s="299"/>
      <c r="X1134" s="299"/>
      <c r="Y1134" s="299"/>
      <c r="Z1134" s="299"/>
      <c r="AA1134" s="286">
        <f t="shared" si="1250"/>
        <v>0</v>
      </c>
      <c r="AB1134" s="404">
        <f t="shared" si="1251"/>
        <v>0</v>
      </c>
      <c r="AC1134" s="347" t="e">
        <f t="shared" si="1245"/>
        <v>#DIV/0!</v>
      </c>
    </row>
    <row r="1135" spans="1:29" s="381" customFormat="1" ht="19.5" thickBot="1" x14ac:dyDescent="0.25">
      <c r="A1135" s="161">
        <v>1</v>
      </c>
      <c r="B1135" s="468" t="s">
        <v>25</v>
      </c>
      <c r="C1135" s="469"/>
      <c r="D1135" s="377">
        <f t="shared" ref="D1135:AB1135" si="1274">+D1111</f>
        <v>629043594392</v>
      </c>
      <c r="E1135" s="378">
        <f t="shared" si="1274"/>
        <v>4569241521.4200001</v>
      </c>
      <c r="F1135" s="379">
        <f t="shared" si="1274"/>
        <v>15659810311</v>
      </c>
      <c r="G1135" s="379">
        <f t="shared" si="1274"/>
        <v>0</v>
      </c>
      <c r="H1135" s="379">
        <f t="shared" si="1274"/>
        <v>0</v>
      </c>
      <c r="I1135" s="379">
        <f t="shared" si="1274"/>
        <v>193347367060</v>
      </c>
      <c r="J1135" s="379">
        <f t="shared" si="1274"/>
        <v>193347367060</v>
      </c>
      <c r="K1135" s="379">
        <f t="shared" si="1274"/>
        <v>617953025602.42004</v>
      </c>
      <c r="L1135" s="379">
        <f t="shared" si="1274"/>
        <v>54948368576</v>
      </c>
      <c r="M1135" s="379">
        <f t="shared" si="1274"/>
        <v>44277029266</v>
      </c>
      <c r="N1135" s="379">
        <f t="shared" si="1274"/>
        <v>43852207389</v>
      </c>
      <c r="O1135" s="379">
        <f t="shared" si="1274"/>
        <v>42768251549</v>
      </c>
      <c r="P1135" s="379">
        <f t="shared" si="1274"/>
        <v>43417649059.919998</v>
      </c>
      <c r="Q1135" s="379">
        <f t="shared" si="1274"/>
        <v>43638832675</v>
      </c>
      <c r="R1135" s="379">
        <f t="shared" si="1274"/>
        <v>272902338514.91998</v>
      </c>
      <c r="S1135" s="379">
        <f t="shared" si="1274"/>
        <v>61706391253</v>
      </c>
      <c r="T1135" s="379">
        <f t="shared" si="1274"/>
        <v>59155487863.550003</v>
      </c>
      <c r="U1135" s="379">
        <f t="shared" si="1274"/>
        <v>46515462330</v>
      </c>
      <c r="V1135" s="379">
        <f t="shared" si="1274"/>
        <v>47206370250</v>
      </c>
      <c r="W1135" s="379">
        <f t="shared" si="1274"/>
        <v>80573493413</v>
      </c>
      <c r="X1135" s="379">
        <f t="shared" si="1274"/>
        <v>50036559580.419998</v>
      </c>
      <c r="Y1135" s="379">
        <f t="shared" si="1274"/>
        <v>0</v>
      </c>
      <c r="Z1135" s="379">
        <f t="shared" si="1274"/>
        <v>0</v>
      </c>
      <c r="AA1135" s="379">
        <f t="shared" si="1274"/>
        <v>345193764689.96997</v>
      </c>
      <c r="AB1135" s="405">
        <f t="shared" si="1274"/>
        <v>618096103204.88989</v>
      </c>
      <c r="AC1135" s="380">
        <f t="shared" ref="AC1135" si="1275">AB1135/K1135</f>
        <v>1.0002315347551383</v>
      </c>
    </row>
    <row r="1136" spans="1:29" s="160" customFormat="1" ht="19.5" thickBot="1" x14ac:dyDescent="0.25">
      <c r="A1136" s="161">
        <v>1</v>
      </c>
      <c r="B1136" s="468" t="s">
        <v>48</v>
      </c>
      <c r="C1136" s="469"/>
      <c r="D1136" s="377">
        <f t="shared" ref="D1136:AB1136" si="1276">+D817+D1104+D1135</f>
        <v>1466251362966.8999</v>
      </c>
      <c r="E1136" s="378">
        <f t="shared" si="1276"/>
        <v>690572938955.89001</v>
      </c>
      <c r="F1136" s="379">
        <f t="shared" si="1276"/>
        <v>20677598166.68</v>
      </c>
      <c r="G1136" s="379">
        <f t="shared" si="1276"/>
        <v>5039016590.2200003</v>
      </c>
      <c r="H1136" s="379">
        <f t="shared" si="1276"/>
        <v>5039016590.2200003</v>
      </c>
      <c r="I1136" s="379">
        <f t="shared" si="1276"/>
        <v>193347367060</v>
      </c>
      <c r="J1136" s="379">
        <f t="shared" si="1276"/>
        <v>193347367060</v>
      </c>
      <c r="K1136" s="379">
        <f t="shared" si="1276"/>
        <v>2136146703756.1099</v>
      </c>
      <c r="L1136" s="379">
        <f t="shared" si="1276"/>
        <v>132147037229.61</v>
      </c>
      <c r="M1136" s="379">
        <f t="shared" si="1276"/>
        <v>111894893942.41</v>
      </c>
      <c r="N1136" s="379">
        <f t="shared" si="1276"/>
        <v>129577056909.12999</v>
      </c>
      <c r="O1136" s="379">
        <f t="shared" si="1276"/>
        <v>107801406488.88</v>
      </c>
      <c r="P1136" s="379">
        <f t="shared" si="1276"/>
        <v>303117694443.79999</v>
      </c>
      <c r="Q1136" s="379">
        <f t="shared" si="1276"/>
        <v>121865854546.29999</v>
      </c>
      <c r="R1136" s="379">
        <f t="shared" si="1276"/>
        <v>906403943560.12988</v>
      </c>
      <c r="S1136" s="379">
        <f t="shared" si="1276"/>
        <v>205740158385.61002</v>
      </c>
      <c r="T1136" s="379">
        <f t="shared" si="1276"/>
        <v>135560573162.28999</v>
      </c>
      <c r="U1136" s="379">
        <f t="shared" si="1276"/>
        <v>149786256962.70999</v>
      </c>
      <c r="V1136" s="379">
        <f t="shared" si="1276"/>
        <v>104597898939.83</v>
      </c>
      <c r="W1136" s="379">
        <f t="shared" si="1276"/>
        <v>189923041555.97998</v>
      </c>
      <c r="X1136" s="379">
        <f t="shared" si="1276"/>
        <v>251888052284.17999</v>
      </c>
      <c r="Y1136" s="379">
        <f t="shared" si="1276"/>
        <v>-255098239.14571476</v>
      </c>
      <c r="Z1136" s="379">
        <f t="shared" si="1276"/>
        <v>0</v>
      </c>
      <c r="AA1136" s="379">
        <f t="shared" si="1276"/>
        <v>1037240883051.4542</v>
      </c>
      <c r="AB1136" s="405">
        <f t="shared" si="1276"/>
        <v>1943644826611.5842</v>
      </c>
      <c r="AC1136" s="382">
        <f>AB1136/K1136</f>
        <v>0.90988358767399335</v>
      </c>
    </row>
    <row r="1137" spans="1:29" x14ac:dyDescent="0.2">
      <c r="A1137" s="96">
        <v>1</v>
      </c>
      <c r="B1137" s="449" t="s">
        <v>1841</v>
      </c>
      <c r="C1137" s="449"/>
      <c r="D1137" s="449"/>
      <c r="E1137" s="449"/>
      <c r="F1137" s="449"/>
      <c r="G1137" s="449"/>
      <c r="H1137" s="449"/>
      <c r="I1137" s="449"/>
      <c r="J1137" s="449"/>
      <c r="K1137" s="449"/>
      <c r="L1137" s="449"/>
      <c r="M1137" s="449"/>
      <c r="N1137" s="449"/>
      <c r="O1137" s="449"/>
      <c r="P1137" s="449"/>
      <c r="Q1137" s="449"/>
      <c r="R1137" s="449"/>
      <c r="S1137" s="449"/>
      <c r="T1137" s="449"/>
      <c r="U1137" s="449"/>
      <c r="V1137" s="449"/>
      <c r="W1137" s="449"/>
      <c r="X1137" s="449"/>
      <c r="Y1137" s="449"/>
      <c r="Z1137" s="449"/>
      <c r="AA1137" s="449"/>
      <c r="AB1137" s="449"/>
      <c r="AC1137" s="449"/>
    </row>
    <row r="1138" spans="1:29" x14ac:dyDescent="0.2">
      <c r="A1138" s="96">
        <v>1</v>
      </c>
      <c r="B1138" s="201"/>
      <c r="C1138" s="112"/>
      <c r="D1138" s="24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05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411"/>
      <c r="AC1138" s="112"/>
    </row>
    <row r="1139" spans="1:29" x14ac:dyDescent="0.2">
      <c r="A1139" s="96"/>
      <c r="B1139" s="194"/>
      <c r="C1139" s="195"/>
      <c r="D1139" s="243"/>
      <c r="E1139" s="243"/>
      <c r="F1139" s="243"/>
      <c r="G1139" s="243"/>
      <c r="H1139" s="243"/>
      <c r="I1139" s="243"/>
      <c r="J1139" s="243"/>
      <c r="K1139" s="243"/>
      <c r="L1139" s="140"/>
      <c r="M1139" s="140"/>
      <c r="N1139" s="140"/>
      <c r="O1139" s="140"/>
      <c r="P1139" s="140"/>
      <c r="Q1139" s="30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412"/>
      <c r="AC1139" s="164"/>
    </row>
    <row r="1140" spans="1:29" x14ac:dyDescent="0.2">
      <c r="A1140" s="96"/>
      <c r="B1140" s="194"/>
      <c r="C1140" s="195"/>
      <c r="D1140" s="244"/>
      <c r="E1140" s="244"/>
      <c r="F1140" s="244"/>
      <c r="G1140" s="244"/>
      <c r="H1140" s="244"/>
      <c r="I1140" s="244"/>
      <c r="J1140" s="244"/>
      <c r="K1140" s="244"/>
      <c r="L1140" s="140"/>
      <c r="M1140" s="140"/>
      <c r="N1140" s="140"/>
      <c r="O1140" s="140"/>
      <c r="P1140" s="140"/>
      <c r="Q1140" s="30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412"/>
      <c r="AC1140" s="164"/>
    </row>
    <row r="1141" spans="1:29" x14ac:dyDescent="0.2">
      <c r="A1141" s="96">
        <v>1</v>
      </c>
      <c r="C1141" s="38"/>
      <c r="E1141" s="142"/>
      <c r="F1141" s="142"/>
      <c r="G1141" s="142"/>
      <c r="H1141" s="142"/>
      <c r="I1141" s="142"/>
      <c r="J1141" s="142"/>
      <c r="K1141" s="142"/>
    </row>
    <row r="1142" spans="1:29" ht="15.75" x14ac:dyDescent="0.2">
      <c r="A1142" s="96">
        <v>1</v>
      </c>
      <c r="B1142" s="442" t="s">
        <v>53</v>
      </c>
      <c r="C1142" s="442"/>
      <c r="D1142" s="442"/>
      <c r="E1142" s="442"/>
      <c r="F1142" s="442"/>
      <c r="G1142" s="442"/>
      <c r="H1142" s="442"/>
      <c r="I1142" s="442"/>
      <c r="J1142" s="442"/>
      <c r="K1142" s="442"/>
      <c r="L1142" s="442"/>
      <c r="M1142" s="442"/>
      <c r="N1142" s="442"/>
      <c r="O1142" s="442"/>
      <c r="P1142" s="442"/>
      <c r="Q1142" s="442"/>
      <c r="R1142" s="442"/>
      <c r="S1142" s="442"/>
      <c r="T1142" s="442"/>
      <c r="U1142" s="442"/>
      <c r="V1142" s="442"/>
      <c r="W1142" s="442"/>
      <c r="X1142" s="442"/>
      <c r="Y1142" s="442"/>
      <c r="Z1142" s="442"/>
      <c r="AA1142" s="442"/>
      <c r="AB1142" s="442"/>
      <c r="AC1142" s="442"/>
    </row>
    <row r="1143" spans="1:29" x14ac:dyDescent="0.2">
      <c r="A1143" s="96">
        <v>1</v>
      </c>
      <c r="B1143" s="441" t="s">
        <v>83</v>
      </c>
      <c r="C1143" s="441"/>
      <c r="D1143" s="441"/>
      <c r="E1143" s="441"/>
      <c r="F1143" s="441"/>
      <c r="G1143" s="441"/>
      <c r="H1143" s="441"/>
      <c r="I1143" s="441"/>
      <c r="J1143" s="441"/>
      <c r="K1143" s="441"/>
      <c r="L1143" s="441"/>
      <c r="M1143" s="441"/>
      <c r="N1143" s="441"/>
      <c r="O1143" s="441"/>
      <c r="P1143" s="441"/>
      <c r="Q1143" s="441"/>
      <c r="R1143" s="441"/>
      <c r="S1143" s="441"/>
      <c r="T1143" s="441"/>
      <c r="U1143" s="441"/>
      <c r="V1143" s="441"/>
      <c r="W1143" s="441"/>
      <c r="X1143" s="441"/>
      <c r="Y1143" s="441"/>
      <c r="Z1143" s="441"/>
      <c r="AA1143" s="441"/>
      <c r="AB1143" s="441"/>
      <c r="AC1143" s="441"/>
    </row>
    <row r="1144" spans="1:29" ht="15.75" x14ac:dyDescent="0.2">
      <c r="D1144" s="398"/>
      <c r="E1144" s="398"/>
      <c r="F1144" s="398"/>
      <c r="G1144" s="398"/>
      <c r="H1144" s="398"/>
      <c r="I1144" s="398"/>
      <c r="J1144" s="398"/>
      <c r="K1144" s="398"/>
      <c r="L1144" s="398"/>
      <c r="M1144" s="398"/>
      <c r="N1144" s="398"/>
      <c r="O1144" s="398"/>
      <c r="P1144" s="398"/>
      <c r="Q1144" s="398"/>
      <c r="R1144" s="398"/>
      <c r="S1144" s="398"/>
      <c r="T1144" s="398"/>
      <c r="U1144" s="398"/>
      <c r="V1144" s="398"/>
      <c r="W1144" s="398"/>
      <c r="X1144" s="398"/>
      <c r="Y1144" s="398"/>
      <c r="Z1144" s="398"/>
      <c r="AA1144" s="398"/>
      <c r="AB1144" s="413"/>
      <c r="AC1144" s="398"/>
    </row>
    <row r="1145" spans="1:29" x14ac:dyDescent="0.2">
      <c r="E1145" s="170"/>
      <c r="F1145" s="142"/>
      <c r="G1145" s="142"/>
      <c r="H1145" s="142"/>
      <c r="K1145" s="121">
        <f>+D1144+E1144-K1144</f>
        <v>0</v>
      </c>
    </row>
    <row r="1146" spans="1:29" x14ac:dyDescent="0.2">
      <c r="E1146" s="170"/>
      <c r="F1146" s="142"/>
      <c r="G1146" s="142"/>
      <c r="H1146" s="142"/>
      <c r="I1146" s="142"/>
      <c r="J1146" s="142"/>
      <c r="K1146" s="142"/>
      <c r="L1146" s="142"/>
      <c r="M1146" s="142"/>
      <c r="N1146" s="142"/>
      <c r="O1146" s="142"/>
      <c r="P1146" s="142"/>
      <c r="R1146" s="142"/>
    </row>
    <row r="1147" spans="1:29" x14ac:dyDescent="0.2">
      <c r="E1147" s="170"/>
      <c r="F1147" s="142"/>
      <c r="G1147" s="142"/>
      <c r="H1147" s="142"/>
    </row>
    <row r="1148" spans="1:29" x14ac:dyDescent="0.2">
      <c r="D1148" s="416"/>
      <c r="E1148" s="142"/>
      <c r="F1148" s="142"/>
      <c r="G1148" s="142"/>
      <c r="H1148" s="142"/>
      <c r="I1148" s="142"/>
      <c r="J1148" s="142"/>
      <c r="K1148" s="142"/>
    </row>
    <row r="1149" spans="1:29" x14ac:dyDescent="0.2">
      <c r="D1149" s="416"/>
      <c r="M1149" s="417">
        <v>140643054000</v>
      </c>
      <c r="N1149" s="132"/>
    </row>
    <row r="1150" spans="1:29" x14ac:dyDescent="0.2">
      <c r="D1150" s="416"/>
      <c r="K1150" s="399"/>
      <c r="L1150" s="414" t="e">
        <f>+K1150/K1156</f>
        <v>#DIV/0!</v>
      </c>
      <c r="M1150" s="399" t="e">
        <f>+M1149*L1150+915801599.19</f>
        <v>#DIV/0!</v>
      </c>
      <c r="N1150" s="418" t="e">
        <f>+M1150/M1149</f>
        <v>#DIV/0!</v>
      </c>
      <c r="O1150" s="399" t="e">
        <f>+N1150*M1149</f>
        <v>#DIV/0!</v>
      </c>
      <c r="Q1150" s="415"/>
    </row>
    <row r="1151" spans="1:29" x14ac:dyDescent="0.2">
      <c r="D1151" s="416"/>
      <c r="K1151" s="399"/>
      <c r="L1151" s="414" t="e">
        <f>+K1151/K1156</f>
        <v>#DIV/0!</v>
      </c>
      <c r="M1151" s="399" t="e">
        <f>+M1149*L1151</f>
        <v>#DIV/0!</v>
      </c>
      <c r="N1151" s="418" t="e">
        <f>+M1151/M1149</f>
        <v>#DIV/0!</v>
      </c>
      <c r="O1151" s="399" t="e">
        <f>+N1151*M1149</f>
        <v>#DIV/0!</v>
      </c>
      <c r="Q1151" s="415"/>
    </row>
    <row r="1152" spans="1:29" x14ac:dyDescent="0.2">
      <c r="D1152" s="416"/>
      <c r="K1152" s="399"/>
      <c r="L1152" s="414" t="e">
        <f>+K1152/K1156</f>
        <v>#DIV/0!</v>
      </c>
      <c r="M1152" s="399" t="e">
        <f>+M1149*L1152</f>
        <v>#DIV/0!</v>
      </c>
      <c r="N1152" s="418" t="e">
        <f>+M1152/M1149</f>
        <v>#DIV/0!</v>
      </c>
      <c r="O1152" s="399" t="e">
        <f>+N1152*M1149</f>
        <v>#DIV/0!</v>
      </c>
      <c r="Q1152" s="415"/>
    </row>
    <row r="1153" spans="1:29" s="120" customFormat="1" x14ac:dyDescent="0.2">
      <c r="A1153" s="427"/>
      <c r="B1153" s="20"/>
      <c r="C1153" s="1"/>
      <c r="D1153" s="416"/>
      <c r="E1153" s="169"/>
      <c r="F1153" s="121"/>
      <c r="G1153" s="132"/>
      <c r="H1153" s="132"/>
      <c r="I1153" s="121"/>
      <c r="J1153" s="121"/>
      <c r="K1153" s="399"/>
      <c r="L1153" s="414" t="e">
        <f>+K1153/K1156</f>
        <v>#DIV/0!</v>
      </c>
      <c r="M1153" s="399" t="e">
        <f>+M1149*L1153</f>
        <v>#DIV/0!</v>
      </c>
      <c r="N1153" s="418" t="e">
        <f>+M1153/M1149</f>
        <v>#DIV/0!</v>
      </c>
      <c r="O1153" s="399" t="e">
        <f>+N1153*M1149</f>
        <v>#DIV/0!</v>
      </c>
      <c r="P1153" s="121"/>
      <c r="Q1153" s="415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399"/>
      <c r="AC1153" s="162"/>
    </row>
    <row r="1154" spans="1:29" x14ac:dyDescent="0.2">
      <c r="D1154" s="416"/>
      <c r="K1154" s="399"/>
      <c r="L1154" s="414" t="e">
        <f>+K1154/K1156</f>
        <v>#DIV/0!</v>
      </c>
      <c r="M1154" s="399" t="e">
        <f>+L1154*M1149</f>
        <v>#DIV/0!</v>
      </c>
      <c r="N1154" s="418" t="e">
        <f>+M1154/M1149</f>
        <v>#DIV/0!</v>
      </c>
      <c r="O1154" s="399" t="e">
        <f>+N1154*M1149</f>
        <v>#DIV/0!</v>
      </c>
      <c r="Q1154" s="415"/>
    </row>
    <row r="1155" spans="1:29" x14ac:dyDescent="0.2">
      <c r="D1155" s="416"/>
      <c r="K1155" s="399"/>
      <c r="L1155" s="414" t="e">
        <f>+K1155/K1156</f>
        <v>#DIV/0!</v>
      </c>
      <c r="M1155" s="399">
        <f>+K1155</f>
        <v>0</v>
      </c>
      <c r="N1155" s="418">
        <f>+M1155/M1149</f>
        <v>0</v>
      </c>
      <c r="O1155" s="399">
        <f>+N1155*M1149</f>
        <v>0</v>
      </c>
      <c r="Q1155" s="415"/>
    </row>
    <row r="1156" spans="1:29" x14ac:dyDescent="0.2">
      <c r="D1156" s="416"/>
      <c r="K1156" s="417"/>
      <c r="L1156" s="414" t="e">
        <f>SUBTOTAL(9,L1150:L1155)</f>
        <v>#DIV/0!</v>
      </c>
      <c r="M1156" s="399" t="e">
        <f>SUBTOTAL(9,M1150:M1155)</f>
        <v>#DIV/0!</v>
      </c>
      <c r="N1156" s="418" t="e">
        <f>+M1156/M1149</f>
        <v>#DIV/0!</v>
      </c>
      <c r="O1156" s="399" t="e">
        <f>SUBTOTAL(9,O1150:O1155)</f>
        <v>#DIV/0!</v>
      </c>
      <c r="Q1156" s="415"/>
    </row>
    <row r="1157" spans="1:29" x14ac:dyDescent="0.2">
      <c r="M1157" s="399" t="e">
        <f>+M1149-M1156</f>
        <v>#DIV/0!</v>
      </c>
      <c r="N1157" s="418"/>
    </row>
    <row r="1158" spans="1:29" x14ac:dyDescent="0.2">
      <c r="M1158" s="399">
        <v>915801599.19000006</v>
      </c>
      <c r="N1158" s="418"/>
    </row>
    <row r="1159" spans="1:29" x14ac:dyDescent="0.2">
      <c r="M1159" s="399"/>
    </row>
    <row r="1160" spans="1:29" x14ac:dyDescent="0.2">
      <c r="M1160" s="399"/>
    </row>
  </sheetData>
  <autoFilter ref="A9:AC1138">
    <filterColumn colId="0">
      <customFilters>
        <customFilter operator="notEqual" val=" "/>
      </customFilters>
    </filterColumn>
  </autoFilter>
  <mergeCells count="40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T9:T10"/>
    <mergeCell ref="U9:U10"/>
    <mergeCell ref="V9:V10"/>
    <mergeCell ref="K9:K10"/>
    <mergeCell ref="L9:L10"/>
    <mergeCell ref="M9:M10"/>
    <mergeCell ref="B1143:AC1143"/>
    <mergeCell ref="AC9:AC10"/>
    <mergeCell ref="B817:C817"/>
    <mergeCell ref="C819:D819"/>
    <mergeCell ref="B1104:C1104"/>
    <mergeCell ref="B1106:C1106"/>
    <mergeCell ref="B1108:C1108"/>
    <mergeCell ref="W9:W10"/>
    <mergeCell ref="X9:X10"/>
    <mergeCell ref="Y9:Y10"/>
    <mergeCell ref="Z9:Z10"/>
    <mergeCell ref="AA9:AA10"/>
    <mergeCell ref="AB9:AB10"/>
    <mergeCell ref="B1136:C1136"/>
    <mergeCell ref="B1137:AC1137"/>
    <mergeCell ref="B1142:AC1142"/>
    <mergeCell ref="Q9:Q10"/>
    <mergeCell ref="R9:R10"/>
    <mergeCell ref="S9:S10"/>
    <mergeCell ref="B1110:C1110"/>
    <mergeCell ref="B1135:C1135"/>
    <mergeCell ref="N9:N10"/>
    <mergeCell ref="O9:O10"/>
    <mergeCell ref="P9:P10"/>
  </mergeCells>
  <printOptions gridLines="1"/>
  <pageMargins left="1.2598425196850394" right="0" top="0.78740157480314965" bottom="1.1811023622047245" header="0.39370078740157483" footer="0.98425196850393704"/>
  <pageSetup paperSize="5" scale="55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DICIEMBRE  2021 - ELABORO: JOSE LUNA DURAN.
                                       FUENTE: DIRECCION TECNICA DE CONTABILIDAD &amp;C&amp;P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3"/>
  <sheetViews>
    <sheetView zoomScaleNormal="100" workbookViewId="0">
      <pane xSplit="1" ySplit="3" topLeftCell="B4" activePane="bottomRight" state="frozen"/>
      <selection activeCell="Z167" sqref="Z167"/>
      <selection pane="topRight" activeCell="Z167" sqref="Z167"/>
      <selection pane="bottomLeft" activeCell="Z167" sqref="Z167"/>
      <selection pane="bottomRight" activeCell="Z5" sqref="Z5"/>
    </sheetView>
  </sheetViews>
  <sheetFormatPr baseColWidth="10" defaultColWidth="11.42578125" defaultRowHeight="14.25" x14ac:dyDescent="0.2"/>
  <cols>
    <col min="1" max="1" width="56.42578125" style="1" customWidth="1"/>
    <col min="2" max="2" width="17.28515625" style="1" bestFit="1" customWidth="1"/>
    <col min="3" max="3" width="10.85546875" style="1" hidden="1" customWidth="1"/>
    <col min="4" max="4" width="20.140625" style="1" hidden="1" customWidth="1"/>
    <col min="5" max="5" width="12.7109375" style="28" hidden="1" customWidth="1"/>
    <col min="6" max="6" width="19.85546875" style="1" customWidth="1"/>
    <col min="7" max="7" width="17.42578125" style="1" hidden="1" customWidth="1"/>
    <col min="8" max="8" width="14.140625" style="1" hidden="1" customWidth="1"/>
    <col min="9" max="9" width="18.5703125" style="1" customWidth="1"/>
    <col min="10" max="10" width="8.7109375" style="1" bestFit="1" customWidth="1"/>
    <col min="11" max="11" width="17.28515625" style="1" bestFit="1" customWidth="1"/>
    <col min="12" max="12" width="15.85546875" style="1" bestFit="1" customWidth="1"/>
    <col min="13" max="14" width="7.28515625" style="1" bestFit="1" customWidth="1"/>
    <col min="15" max="15" width="7.5703125" style="1" bestFit="1" customWidth="1"/>
    <col min="16" max="16" width="21.85546875" style="1" hidden="1" customWidth="1"/>
    <col min="17" max="17" width="16.7109375" style="1" bestFit="1" customWidth="1"/>
    <col min="18" max="18" width="10.28515625" style="1" bestFit="1" customWidth="1"/>
    <col min="19" max="19" width="9.85546875" style="1" customWidth="1"/>
    <col min="20" max="20" width="8.5703125" style="1" customWidth="1"/>
    <col min="21" max="21" width="7.7109375" style="1" customWidth="1"/>
    <col min="22" max="22" width="14.7109375" style="1" bestFit="1" customWidth="1"/>
    <col min="23" max="23" width="13" style="1" hidden="1" customWidth="1"/>
    <col min="24" max="24" width="21.42578125" style="1" hidden="1" customWidth="1"/>
    <col min="25" max="25" width="16.5703125" style="1" hidden="1" customWidth="1"/>
    <col min="26" max="26" width="17.28515625" style="1" bestFit="1" customWidth="1"/>
    <col min="27" max="27" width="8.5703125" style="34" bestFit="1" customWidth="1"/>
    <col min="28" max="16384" width="11.42578125" style="1"/>
  </cols>
  <sheetData>
    <row r="1" spans="1:27" ht="21" thickBot="1" x14ac:dyDescent="0.25">
      <c r="A1" s="479" t="s">
        <v>1903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27" s="16" customFormat="1" ht="15" x14ac:dyDescent="0.2">
      <c r="A2" s="392" t="s">
        <v>0</v>
      </c>
      <c r="B2" s="392" t="s">
        <v>1</v>
      </c>
      <c r="C2" s="450" t="s">
        <v>27</v>
      </c>
      <c r="D2" s="450" t="s">
        <v>28</v>
      </c>
      <c r="E2" s="481" t="s">
        <v>2</v>
      </c>
      <c r="F2" s="450" t="s">
        <v>380</v>
      </c>
      <c r="G2" s="450" t="s">
        <v>38</v>
      </c>
      <c r="H2" s="450" t="s">
        <v>52</v>
      </c>
      <c r="I2" s="392" t="s">
        <v>3</v>
      </c>
      <c r="J2" s="450" t="s">
        <v>4</v>
      </c>
      <c r="K2" s="450" t="s">
        <v>5</v>
      </c>
      <c r="L2" s="450" t="s">
        <v>6</v>
      </c>
      <c r="M2" s="450" t="s">
        <v>7</v>
      </c>
      <c r="N2" s="450" t="s">
        <v>8</v>
      </c>
      <c r="O2" s="450" t="s">
        <v>39</v>
      </c>
      <c r="P2" s="392" t="s">
        <v>10</v>
      </c>
      <c r="Q2" s="450" t="s">
        <v>11</v>
      </c>
      <c r="R2" s="450" t="s">
        <v>12</v>
      </c>
      <c r="S2" s="450" t="s">
        <v>13</v>
      </c>
      <c r="T2" s="450" t="s">
        <v>14</v>
      </c>
      <c r="U2" s="450" t="s">
        <v>15</v>
      </c>
      <c r="V2" s="450" t="s">
        <v>16</v>
      </c>
      <c r="W2" s="450" t="s">
        <v>50</v>
      </c>
      <c r="X2" s="450" t="s">
        <v>51</v>
      </c>
      <c r="Y2" s="392" t="s">
        <v>10</v>
      </c>
      <c r="Z2" s="392" t="s">
        <v>17</v>
      </c>
      <c r="AA2" s="29" t="s">
        <v>18</v>
      </c>
    </row>
    <row r="3" spans="1:27" s="16" customFormat="1" ht="15.75" thickBot="1" x14ac:dyDescent="0.25">
      <c r="A3" s="393" t="s">
        <v>24</v>
      </c>
      <c r="B3" s="393" t="s">
        <v>19</v>
      </c>
      <c r="C3" s="451"/>
      <c r="D3" s="451"/>
      <c r="E3" s="482"/>
      <c r="F3" s="451"/>
      <c r="G3" s="451"/>
      <c r="H3" s="451"/>
      <c r="I3" s="393" t="s">
        <v>20</v>
      </c>
      <c r="J3" s="451"/>
      <c r="K3" s="451"/>
      <c r="L3" s="451"/>
      <c r="M3" s="451"/>
      <c r="N3" s="451"/>
      <c r="O3" s="451"/>
      <c r="P3" s="393" t="s">
        <v>29</v>
      </c>
      <c r="Q3" s="451"/>
      <c r="R3" s="451"/>
      <c r="S3" s="451"/>
      <c r="T3" s="451"/>
      <c r="U3" s="451"/>
      <c r="V3" s="451"/>
      <c r="W3" s="451"/>
      <c r="X3" s="451"/>
      <c r="Y3" s="393" t="s">
        <v>30</v>
      </c>
      <c r="Z3" s="393" t="s">
        <v>26</v>
      </c>
      <c r="AA3" s="30" t="s">
        <v>23</v>
      </c>
    </row>
    <row r="4" spans="1:27" ht="30" x14ac:dyDescent="0.2">
      <c r="A4" s="81" t="s">
        <v>80</v>
      </c>
      <c r="B4" s="12"/>
      <c r="C4" s="12"/>
      <c r="D4" s="12"/>
      <c r="E4" s="25"/>
      <c r="F4" s="12"/>
      <c r="G4" s="13"/>
      <c r="H4" s="13"/>
      <c r="I4" s="12"/>
      <c r="J4" s="26"/>
      <c r="K4" s="13"/>
      <c r="L4" s="13"/>
      <c r="M4" s="13"/>
      <c r="N4" s="13"/>
      <c r="O4" s="13"/>
      <c r="P4" s="13"/>
      <c r="Q4" s="17"/>
      <c r="R4" s="13"/>
      <c r="S4" s="13"/>
      <c r="T4" s="13"/>
      <c r="U4" s="13"/>
      <c r="V4" s="13"/>
      <c r="W4" s="13"/>
      <c r="X4" s="13"/>
      <c r="Y4" s="13"/>
      <c r="Z4" s="3"/>
      <c r="AA4" s="33"/>
    </row>
    <row r="5" spans="1:27" s="5" customFormat="1" ht="30" x14ac:dyDescent="0.2">
      <c r="A5" s="168" t="s">
        <v>41</v>
      </c>
      <c r="B5" s="21">
        <f>+B6</f>
        <v>58764935113.12999</v>
      </c>
      <c r="C5" s="21">
        <f t="shared" ref="C5:H5" si="0">+C6</f>
        <v>0</v>
      </c>
      <c r="D5" s="21">
        <f t="shared" si="0"/>
        <v>0</v>
      </c>
      <c r="E5" s="21">
        <f t="shared" si="0"/>
        <v>0</v>
      </c>
      <c r="F5" s="21">
        <f t="shared" si="0"/>
        <v>3018588441.6399994</v>
      </c>
      <c r="G5" s="21">
        <f t="shared" si="0"/>
        <v>0</v>
      </c>
      <c r="H5" s="21">
        <f t="shared" si="0"/>
        <v>0</v>
      </c>
      <c r="I5" s="21">
        <f>+B5+C5-D5+E5-F5</f>
        <v>55746346671.48999</v>
      </c>
      <c r="J5" s="21">
        <f t="shared" ref="J5:O5" si="1">+J6</f>
        <v>0</v>
      </c>
      <c r="K5" s="21">
        <f>+K6</f>
        <v>47611800420.929993</v>
      </c>
      <c r="L5" s="21">
        <f t="shared" si="1"/>
        <v>2000000000</v>
      </c>
      <c r="M5" s="21">
        <f t="shared" si="1"/>
        <v>0</v>
      </c>
      <c r="N5" s="21">
        <f t="shared" si="1"/>
        <v>0</v>
      </c>
      <c r="O5" s="21">
        <f t="shared" si="1"/>
        <v>0</v>
      </c>
      <c r="P5" s="21">
        <f>SUM(J5:O5)</f>
        <v>49611800420.929993</v>
      </c>
      <c r="Q5" s="21">
        <f t="shared" ref="Q5:X5" si="2">+Q6</f>
        <v>-2645652911.5499992</v>
      </c>
      <c r="R5" s="21">
        <f t="shared" si="2"/>
        <v>0</v>
      </c>
      <c r="S5" s="21">
        <f t="shared" si="2"/>
        <v>0</v>
      </c>
      <c r="T5" s="21">
        <f t="shared" si="2"/>
        <v>0</v>
      </c>
      <c r="U5" s="21">
        <f t="shared" si="2"/>
        <v>0</v>
      </c>
      <c r="V5" s="21">
        <f t="shared" si="2"/>
        <v>-372935530.08999997</v>
      </c>
      <c r="W5" s="21">
        <f t="shared" si="2"/>
        <v>0</v>
      </c>
      <c r="X5" s="21">
        <f t="shared" si="2"/>
        <v>0</v>
      </c>
      <c r="Y5" s="21">
        <f t="shared" ref="Y5:Y8" si="3">SUM(Q5:X5)</f>
        <v>-3018588441.6399994</v>
      </c>
      <c r="Z5" s="21">
        <f>+P5+Y5</f>
        <v>46593211979.289993</v>
      </c>
      <c r="AA5" s="31">
        <f>+Z5/I5</f>
        <v>0.83580745217011454</v>
      </c>
    </row>
    <row r="6" spans="1:27" s="5" customFormat="1" ht="30" x14ac:dyDescent="0.2">
      <c r="A6" s="168" t="s">
        <v>42</v>
      </c>
      <c r="B6" s="21">
        <f>SUM(B8:B118)</f>
        <v>58764935113.12999</v>
      </c>
      <c r="C6" s="21">
        <f t="shared" ref="C6:H6" si="4">SUM(C8:C118)</f>
        <v>0</v>
      </c>
      <c r="D6" s="21">
        <f t="shared" si="4"/>
        <v>0</v>
      </c>
      <c r="E6" s="21">
        <f t="shared" si="4"/>
        <v>0</v>
      </c>
      <c r="F6" s="21">
        <f t="shared" si="4"/>
        <v>3018588441.6399994</v>
      </c>
      <c r="G6" s="21">
        <f t="shared" si="4"/>
        <v>0</v>
      </c>
      <c r="H6" s="21">
        <f t="shared" si="4"/>
        <v>0</v>
      </c>
      <c r="I6" s="21">
        <f>+B6+C6-D6+E6-F6</f>
        <v>55746346671.48999</v>
      </c>
      <c r="J6" s="21">
        <f t="shared" ref="J6:O6" si="5">SUM(J8:J118)</f>
        <v>0</v>
      </c>
      <c r="K6" s="21">
        <f t="shared" si="5"/>
        <v>47611800420.929993</v>
      </c>
      <c r="L6" s="21">
        <f t="shared" si="5"/>
        <v>2000000000</v>
      </c>
      <c r="M6" s="21">
        <f t="shared" si="5"/>
        <v>0</v>
      </c>
      <c r="N6" s="21">
        <f t="shared" si="5"/>
        <v>0</v>
      </c>
      <c r="O6" s="21">
        <f t="shared" si="5"/>
        <v>0</v>
      </c>
      <c r="P6" s="21">
        <f t="shared" ref="P6:P87" si="6">SUM(J6:O6)</f>
        <v>49611800420.929993</v>
      </c>
      <c r="Q6" s="21">
        <f t="shared" ref="Q6:X6" si="7">SUM(Q8:Q118)</f>
        <v>-2645652911.5499992</v>
      </c>
      <c r="R6" s="21">
        <f t="shared" si="7"/>
        <v>0</v>
      </c>
      <c r="S6" s="21">
        <f t="shared" si="7"/>
        <v>0</v>
      </c>
      <c r="T6" s="21">
        <f t="shared" si="7"/>
        <v>0</v>
      </c>
      <c r="U6" s="21">
        <f t="shared" si="7"/>
        <v>0</v>
      </c>
      <c r="V6" s="21">
        <f t="shared" si="7"/>
        <v>-372935530.08999997</v>
      </c>
      <c r="W6" s="21">
        <f t="shared" si="7"/>
        <v>0</v>
      </c>
      <c r="X6" s="21">
        <f t="shared" si="7"/>
        <v>0</v>
      </c>
      <c r="Y6" s="21">
        <f t="shared" si="3"/>
        <v>-3018588441.6399994</v>
      </c>
      <c r="Z6" s="21">
        <f>+P6+Y6</f>
        <v>46593211979.289993</v>
      </c>
      <c r="AA6" s="31">
        <f>+Z6/I6</f>
        <v>0.83580745217011454</v>
      </c>
    </row>
    <row r="7" spans="1:27" s="5" customFormat="1" ht="15" x14ac:dyDescent="0.2">
      <c r="A7" s="54" t="s">
        <v>43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>
        <f t="shared" si="6"/>
        <v>0</v>
      </c>
      <c r="Q7" s="21"/>
      <c r="R7" s="21"/>
      <c r="S7" s="21"/>
      <c r="T7" s="21"/>
      <c r="U7" s="21"/>
      <c r="V7" s="21"/>
      <c r="W7" s="21"/>
      <c r="X7" s="21"/>
      <c r="Y7" s="21">
        <f t="shared" si="3"/>
        <v>0</v>
      </c>
      <c r="Z7" s="21"/>
      <c r="AA7" s="31"/>
    </row>
    <row r="8" spans="1:27" x14ac:dyDescent="0.2">
      <c r="A8" s="55" t="s">
        <v>55</v>
      </c>
      <c r="B8" s="14">
        <v>11997014515.1</v>
      </c>
      <c r="C8" s="14"/>
      <c r="D8" s="14"/>
      <c r="E8" s="23"/>
      <c r="F8" s="14">
        <v>1322442129.4400001</v>
      </c>
      <c r="G8" s="14"/>
      <c r="H8" s="14"/>
      <c r="I8" s="23">
        <f>+B8+C8-D8+E8-F8</f>
        <v>10674572385.66</v>
      </c>
      <c r="J8" s="14"/>
      <c r="K8" s="14">
        <v>11997014515.1</v>
      </c>
      <c r="L8" s="14"/>
      <c r="M8" s="14"/>
      <c r="N8" s="14"/>
      <c r="O8" s="14"/>
      <c r="P8" s="23">
        <f t="shared" si="6"/>
        <v>11997014515.1</v>
      </c>
      <c r="Q8" s="14">
        <v>-1081098244.53</v>
      </c>
      <c r="R8" s="14"/>
      <c r="S8" s="14"/>
      <c r="T8" s="14"/>
      <c r="U8" s="14"/>
      <c r="V8" s="14">
        <v>-241343884.91</v>
      </c>
      <c r="W8" s="14"/>
      <c r="X8" s="14"/>
      <c r="Y8" s="23">
        <f t="shared" si="3"/>
        <v>-1322442129.4400001</v>
      </c>
      <c r="Z8" s="23">
        <f>+P8+Y8</f>
        <v>10674572385.66</v>
      </c>
      <c r="AA8" s="32">
        <f t="shared" ref="AA8:AA71" si="8">+Z8/I8</f>
        <v>1</v>
      </c>
    </row>
    <row r="9" spans="1:27" x14ac:dyDescent="0.2">
      <c r="A9" s="55" t="s">
        <v>347</v>
      </c>
      <c r="B9" s="14">
        <v>79512300</v>
      </c>
      <c r="C9" s="14"/>
      <c r="D9" s="14"/>
      <c r="E9" s="23"/>
      <c r="F9" s="14"/>
      <c r="G9" s="14"/>
      <c r="H9" s="14"/>
      <c r="I9" s="23">
        <f t="shared" ref="I9:I72" si="9">+B9+C9-D9+E9-F9</f>
        <v>79512300</v>
      </c>
      <c r="J9" s="14"/>
      <c r="K9" s="14">
        <v>79512300</v>
      </c>
      <c r="L9" s="14"/>
      <c r="M9" s="14"/>
      <c r="N9" s="14"/>
      <c r="O9" s="14"/>
      <c r="P9" s="23">
        <f t="shared" si="6"/>
        <v>79512300</v>
      </c>
      <c r="Q9" s="14"/>
      <c r="R9" s="14"/>
      <c r="S9" s="14"/>
      <c r="T9" s="14"/>
      <c r="U9" s="14"/>
      <c r="V9" s="14"/>
      <c r="W9" s="14"/>
      <c r="X9" s="14"/>
      <c r="Y9" s="23">
        <f t="shared" ref="Y9:Y72" si="10">SUM(Q9:X9)</f>
        <v>0</v>
      </c>
      <c r="Z9" s="23">
        <f t="shared" ref="Z9:Z72" si="11">+P9+Y9</f>
        <v>79512300</v>
      </c>
      <c r="AA9" s="32">
        <f t="shared" si="8"/>
        <v>1</v>
      </c>
    </row>
    <row r="10" spans="1:27" x14ac:dyDescent="0.2">
      <c r="A10" s="55" t="s">
        <v>1140</v>
      </c>
      <c r="B10" s="14">
        <v>10800000</v>
      </c>
      <c r="C10" s="14"/>
      <c r="D10" s="14"/>
      <c r="E10" s="23"/>
      <c r="F10" s="14">
        <v>1050000</v>
      </c>
      <c r="G10" s="14"/>
      <c r="H10" s="14"/>
      <c r="I10" s="23">
        <f t="shared" si="9"/>
        <v>9750000</v>
      </c>
      <c r="J10" s="14"/>
      <c r="K10" s="14">
        <v>10800000</v>
      </c>
      <c r="L10" s="14"/>
      <c r="M10" s="14"/>
      <c r="N10" s="14"/>
      <c r="O10" s="14"/>
      <c r="P10" s="23">
        <f t="shared" si="6"/>
        <v>10800000</v>
      </c>
      <c r="Q10" s="14">
        <v>-1050000</v>
      </c>
      <c r="R10" s="14"/>
      <c r="S10" s="14"/>
      <c r="T10" s="14"/>
      <c r="U10" s="14"/>
      <c r="V10" s="14"/>
      <c r="W10" s="14"/>
      <c r="X10" s="14"/>
      <c r="Y10" s="23">
        <f t="shared" si="10"/>
        <v>-1050000</v>
      </c>
      <c r="Z10" s="23">
        <f t="shared" si="11"/>
        <v>9750000</v>
      </c>
      <c r="AA10" s="32">
        <f t="shared" si="8"/>
        <v>1</v>
      </c>
    </row>
    <row r="11" spans="1:27" s="120" customFormat="1" x14ac:dyDescent="0.2">
      <c r="A11" s="166" t="s">
        <v>273</v>
      </c>
      <c r="B11" s="159">
        <v>1535363846</v>
      </c>
      <c r="C11" s="159"/>
      <c r="D11" s="159"/>
      <c r="E11" s="124"/>
      <c r="F11" s="159">
        <v>65205750</v>
      </c>
      <c r="G11" s="159"/>
      <c r="H11" s="159"/>
      <c r="I11" s="23">
        <f t="shared" si="9"/>
        <v>1470158096</v>
      </c>
      <c r="J11" s="159"/>
      <c r="K11" s="124">
        <v>1535363846</v>
      </c>
      <c r="L11" s="159"/>
      <c r="M11" s="159"/>
      <c r="N11" s="159"/>
      <c r="O11" s="159"/>
      <c r="P11" s="23">
        <f t="shared" si="6"/>
        <v>1535363846</v>
      </c>
      <c r="Q11" s="159"/>
      <c r="R11" s="159"/>
      <c r="S11" s="159"/>
      <c r="T11" s="159"/>
      <c r="U11" s="159"/>
      <c r="V11" s="159">
        <v>-65205750</v>
      </c>
      <c r="W11" s="159"/>
      <c r="X11" s="159"/>
      <c r="Y11" s="23">
        <f t="shared" si="10"/>
        <v>-65205750</v>
      </c>
      <c r="Z11" s="23">
        <f t="shared" si="11"/>
        <v>1470158096</v>
      </c>
      <c r="AA11" s="32">
        <f t="shared" si="8"/>
        <v>1</v>
      </c>
    </row>
    <row r="12" spans="1:27" s="120" customFormat="1" x14ac:dyDescent="0.2">
      <c r="A12" s="166" t="s">
        <v>345</v>
      </c>
      <c r="B12" s="159">
        <v>14419924</v>
      </c>
      <c r="C12" s="159"/>
      <c r="D12" s="159"/>
      <c r="E12" s="124"/>
      <c r="F12" s="159">
        <v>3873456</v>
      </c>
      <c r="G12" s="159"/>
      <c r="H12" s="159"/>
      <c r="I12" s="23">
        <f t="shared" si="9"/>
        <v>10546468</v>
      </c>
      <c r="J12" s="159"/>
      <c r="K12" s="124">
        <v>14419924</v>
      </c>
      <c r="L12" s="159"/>
      <c r="M12" s="159"/>
      <c r="N12" s="159"/>
      <c r="O12" s="159"/>
      <c r="P12" s="23">
        <f t="shared" si="6"/>
        <v>14419924</v>
      </c>
      <c r="Q12" s="159"/>
      <c r="R12" s="159"/>
      <c r="S12" s="159"/>
      <c r="T12" s="159"/>
      <c r="U12" s="159"/>
      <c r="V12" s="159">
        <v>-3873456</v>
      </c>
      <c r="W12" s="159"/>
      <c r="X12" s="159"/>
      <c r="Y12" s="23">
        <f t="shared" si="10"/>
        <v>-3873456</v>
      </c>
      <c r="Z12" s="23">
        <f t="shared" si="11"/>
        <v>10546468</v>
      </c>
      <c r="AA12" s="32">
        <f t="shared" si="8"/>
        <v>1</v>
      </c>
    </row>
    <row r="13" spans="1:27" s="120" customFormat="1" ht="25.5" hidden="1" x14ac:dyDescent="0.2">
      <c r="A13" s="223" t="s">
        <v>346</v>
      </c>
      <c r="B13" s="216"/>
      <c r="C13" s="159"/>
      <c r="D13" s="159"/>
      <c r="E13" s="124"/>
      <c r="F13" s="159"/>
      <c r="G13" s="159"/>
      <c r="H13" s="159"/>
      <c r="I13" s="214">
        <f t="shared" si="9"/>
        <v>0</v>
      </c>
      <c r="J13" s="216"/>
      <c r="K13" s="224"/>
      <c r="L13" s="159"/>
      <c r="M13" s="159"/>
      <c r="N13" s="159"/>
      <c r="O13" s="159"/>
      <c r="P13" s="23">
        <f t="shared" si="6"/>
        <v>0</v>
      </c>
      <c r="Q13" s="159"/>
      <c r="R13" s="159"/>
      <c r="S13" s="159"/>
      <c r="T13" s="159"/>
      <c r="U13" s="159"/>
      <c r="V13" s="159"/>
      <c r="W13" s="159"/>
      <c r="X13" s="159"/>
      <c r="Y13" s="23">
        <f t="shared" si="10"/>
        <v>0</v>
      </c>
      <c r="Z13" s="214">
        <f t="shared" si="11"/>
        <v>0</v>
      </c>
      <c r="AA13" s="225" t="e">
        <f t="shared" si="8"/>
        <v>#DIV/0!</v>
      </c>
    </row>
    <row r="14" spans="1:27" s="120" customFormat="1" ht="38.25" x14ac:dyDescent="0.2">
      <c r="A14" s="166" t="s">
        <v>350</v>
      </c>
      <c r="B14" s="159">
        <v>771657563.26999998</v>
      </c>
      <c r="C14" s="159"/>
      <c r="D14" s="159"/>
      <c r="E14" s="124"/>
      <c r="F14" s="159">
        <v>2883</v>
      </c>
      <c r="G14" s="159"/>
      <c r="H14" s="159"/>
      <c r="I14" s="23">
        <f t="shared" si="9"/>
        <v>771654680.26999998</v>
      </c>
      <c r="J14" s="159"/>
      <c r="K14" s="124">
        <v>771657563.26999998</v>
      </c>
      <c r="L14" s="159"/>
      <c r="M14" s="159"/>
      <c r="N14" s="159"/>
      <c r="O14" s="159"/>
      <c r="P14" s="23">
        <f t="shared" si="6"/>
        <v>771657563.26999998</v>
      </c>
      <c r="Q14" s="159">
        <v>-2883</v>
      </c>
      <c r="R14" s="159"/>
      <c r="S14" s="159"/>
      <c r="T14" s="159"/>
      <c r="U14" s="159"/>
      <c r="V14" s="159"/>
      <c r="W14" s="159"/>
      <c r="X14" s="159"/>
      <c r="Y14" s="23">
        <f t="shared" si="10"/>
        <v>-2883</v>
      </c>
      <c r="Z14" s="23">
        <f t="shared" si="11"/>
        <v>771654680.26999998</v>
      </c>
      <c r="AA14" s="32">
        <f t="shared" si="8"/>
        <v>1</v>
      </c>
    </row>
    <row r="15" spans="1:27" ht="38.25" x14ac:dyDescent="0.2">
      <c r="A15" s="55" t="s">
        <v>1128</v>
      </c>
      <c r="B15" s="14">
        <v>404751201.12</v>
      </c>
      <c r="C15" s="14"/>
      <c r="D15" s="14"/>
      <c r="E15" s="23"/>
      <c r="F15" s="14">
        <v>8357.119999999999</v>
      </c>
      <c r="G15" s="14"/>
      <c r="H15" s="14"/>
      <c r="I15" s="23">
        <f t="shared" si="9"/>
        <v>404742844</v>
      </c>
      <c r="J15" s="14"/>
      <c r="K15" s="23">
        <v>404751201.12</v>
      </c>
      <c r="L15" s="14"/>
      <c r="M15" s="14"/>
      <c r="N15" s="14"/>
      <c r="O15" s="14"/>
      <c r="P15" s="23">
        <f t="shared" si="6"/>
        <v>404751201.12</v>
      </c>
      <c r="Q15" s="14">
        <v>-8357.1200000000008</v>
      </c>
      <c r="R15" s="14"/>
      <c r="S15" s="14"/>
      <c r="T15" s="14"/>
      <c r="U15" s="14"/>
      <c r="V15" s="14"/>
      <c r="W15" s="14"/>
      <c r="X15" s="14"/>
      <c r="Y15" s="23">
        <f t="shared" si="10"/>
        <v>-8357.1200000000008</v>
      </c>
      <c r="Z15" s="23">
        <f t="shared" si="11"/>
        <v>404742844</v>
      </c>
      <c r="AA15" s="32">
        <f t="shared" si="8"/>
        <v>1</v>
      </c>
    </row>
    <row r="16" spans="1:27" s="5" customFormat="1" ht="15" x14ac:dyDescent="0.2">
      <c r="A16" s="54" t="s">
        <v>36</v>
      </c>
      <c r="B16" s="21"/>
      <c r="C16" s="21"/>
      <c r="D16" s="21"/>
      <c r="E16" s="21"/>
      <c r="F16" s="21"/>
      <c r="G16" s="21"/>
      <c r="H16" s="21"/>
      <c r="I16" s="23"/>
      <c r="J16" s="21"/>
      <c r="K16" s="21"/>
      <c r="L16" s="21"/>
      <c r="M16" s="21"/>
      <c r="N16" s="21"/>
      <c r="O16" s="21"/>
      <c r="P16" s="23">
        <f t="shared" si="6"/>
        <v>0</v>
      </c>
      <c r="Q16" s="21"/>
      <c r="R16" s="21"/>
      <c r="S16" s="21"/>
      <c r="T16" s="21"/>
      <c r="U16" s="21"/>
      <c r="V16" s="21"/>
      <c r="W16" s="21"/>
      <c r="X16" s="21"/>
      <c r="Y16" s="23">
        <f t="shared" si="10"/>
        <v>0</v>
      </c>
      <c r="Z16" s="23"/>
      <c r="AA16" s="32"/>
    </row>
    <row r="17" spans="1:27" s="5" customFormat="1" ht="15" x14ac:dyDescent="0.2">
      <c r="A17" s="54" t="s">
        <v>32</v>
      </c>
      <c r="B17" s="21"/>
      <c r="C17" s="21"/>
      <c r="D17" s="21"/>
      <c r="E17" s="21"/>
      <c r="F17" s="21"/>
      <c r="G17" s="21"/>
      <c r="H17" s="21"/>
      <c r="I17" s="23"/>
      <c r="J17" s="21"/>
      <c r="K17" s="21"/>
      <c r="L17" s="21"/>
      <c r="M17" s="21"/>
      <c r="N17" s="21"/>
      <c r="O17" s="21"/>
      <c r="P17" s="23">
        <f t="shared" si="6"/>
        <v>0</v>
      </c>
      <c r="Q17" s="21"/>
      <c r="R17" s="21"/>
      <c r="S17" s="21"/>
      <c r="T17" s="21"/>
      <c r="U17" s="21"/>
      <c r="V17" s="21"/>
      <c r="W17" s="21"/>
      <c r="X17" s="21"/>
      <c r="Y17" s="23">
        <f t="shared" si="10"/>
        <v>0</v>
      </c>
      <c r="Z17" s="23"/>
      <c r="AA17" s="32"/>
    </row>
    <row r="18" spans="1:27" x14ac:dyDescent="0.2">
      <c r="A18" s="55" t="s">
        <v>56</v>
      </c>
      <c r="B18" s="23">
        <v>902783792</v>
      </c>
      <c r="C18" s="23"/>
      <c r="D18" s="23"/>
      <c r="E18" s="23"/>
      <c r="F18" s="23">
        <v>218000000</v>
      </c>
      <c r="G18" s="23"/>
      <c r="H18" s="23"/>
      <c r="I18" s="23">
        <f t="shared" si="9"/>
        <v>684783792</v>
      </c>
      <c r="J18" s="23"/>
      <c r="K18" s="23">
        <v>902783792</v>
      </c>
      <c r="L18" s="23"/>
      <c r="M18" s="23"/>
      <c r="N18" s="23"/>
      <c r="O18" s="23"/>
      <c r="P18" s="23">
        <f t="shared" si="6"/>
        <v>902783792</v>
      </c>
      <c r="Q18" s="23">
        <v>-218000000</v>
      </c>
      <c r="R18" s="23"/>
      <c r="S18" s="23"/>
      <c r="T18" s="23"/>
      <c r="U18" s="23"/>
      <c r="V18" s="23"/>
      <c r="W18" s="23"/>
      <c r="X18" s="23"/>
      <c r="Y18" s="23">
        <f t="shared" si="10"/>
        <v>-218000000</v>
      </c>
      <c r="Z18" s="23">
        <f t="shared" si="11"/>
        <v>684783792</v>
      </c>
      <c r="AA18" s="32">
        <f t="shared" si="8"/>
        <v>1</v>
      </c>
    </row>
    <row r="19" spans="1:27" ht="25.5" x14ac:dyDescent="0.2">
      <c r="A19" s="55" t="s">
        <v>1129</v>
      </c>
      <c r="B19" s="23">
        <v>681338650.94000006</v>
      </c>
      <c r="C19" s="23"/>
      <c r="D19" s="23"/>
      <c r="E19" s="23"/>
      <c r="F19" s="23"/>
      <c r="G19" s="23"/>
      <c r="H19" s="23"/>
      <c r="I19" s="23">
        <f t="shared" si="9"/>
        <v>681338650.94000006</v>
      </c>
      <c r="J19" s="23"/>
      <c r="K19" s="23">
        <v>681338650.94000006</v>
      </c>
      <c r="L19" s="23"/>
      <c r="M19" s="23"/>
      <c r="N19" s="23"/>
      <c r="O19" s="23"/>
      <c r="P19" s="23">
        <f t="shared" si="6"/>
        <v>681338650.94000006</v>
      </c>
      <c r="Q19" s="23"/>
      <c r="R19" s="23"/>
      <c r="S19" s="23"/>
      <c r="T19" s="23"/>
      <c r="U19" s="23"/>
      <c r="V19" s="23"/>
      <c r="W19" s="23"/>
      <c r="X19" s="23"/>
      <c r="Y19" s="23">
        <f t="shared" si="10"/>
        <v>0</v>
      </c>
      <c r="Z19" s="23">
        <f t="shared" si="11"/>
        <v>681338650.94000006</v>
      </c>
      <c r="AA19" s="32">
        <f t="shared" si="8"/>
        <v>1</v>
      </c>
    </row>
    <row r="20" spans="1:27" s="5" customFormat="1" ht="15" x14ac:dyDescent="0.2">
      <c r="A20" s="54" t="s">
        <v>37</v>
      </c>
      <c r="B20" s="21"/>
      <c r="C20" s="21"/>
      <c r="D20" s="21"/>
      <c r="E20" s="21"/>
      <c r="F20" s="21"/>
      <c r="G20" s="21"/>
      <c r="H20" s="21"/>
      <c r="I20" s="23"/>
      <c r="J20" s="21"/>
      <c r="K20" s="21"/>
      <c r="L20" s="21"/>
      <c r="M20" s="21"/>
      <c r="N20" s="21"/>
      <c r="O20" s="21"/>
      <c r="P20" s="23">
        <f t="shared" si="6"/>
        <v>0</v>
      </c>
      <c r="Q20" s="21"/>
      <c r="R20" s="21"/>
      <c r="S20" s="21"/>
      <c r="T20" s="21"/>
      <c r="U20" s="21"/>
      <c r="V20" s="21"/>
      <c r="W20" s="21"/>
      <c r="X20" s="21"/>
      <c r="Y20" s="23">
        <f t="shared" si="10"/>
        <v>0</v>
      </c>
      <c r="Z20" s="23"/>
      <c r="AA20" s="32"/>
    </row>
    <row r="21" spans="1:27" x14ac:dyDescent="0.2">
      <c r="A21" s="55" t="s">
        <v>57</v>
      </c>
      <c r="B21" s="14">
        <v>1409239905.22</v>
      </c>
      <c r="C21" s="14"/>
      <c r="D21" s="14"/>
      <c r="E21" s="23"/>
      <c r="F21" s="14"/>
      <c r="G21" s="14"/>
      <c r="H21" s="14"/>
      <c r="I21" s="23">
        <f t="shared" si="9"/>
        <v>1409239905.22</v>
      </c>
      <c r="J21" s="14"/>
      <c r="K21" s="23">
        <v>1409239905.22</v>
      </c>
      <c r="L21" s="14"/>
      <c r="M21" s="14"/>
      <c r="N21" s="14"/>
      <c r="O21" s="14"/>
      <c r="P21" s="23">
        <f t="shared" si="6"/>
        <v>1409239905.22</v>
      </c>
      <c r="Q21" s="14"/>
      <c r="R21" s="14"/>
      <c r="S21" s="14"/>
      <c r="T21" s="14"/>
      <c r="U21" s="14"/>
      <c r="V21" s="14"/>
      <c r="W21" s="14"/>
      <c r="X21" s="14"/>
      <c r="Y21" s="23">
        <f t="shared" si="10"/>
        <v>0</v>
      </c>
      <c r="Z21" s="23">
        <f t="shared" si="11"/>
        <v>1409239905.22</v>
      </c>
      <c r="AA21" s="32">
        <f t="shared" si="8"/>
        <v>1</v>
      </c>
    </row>
    <row r="22" spans="1:27" s="5" customFormat="1" ht="15" x14ac:dyDescent="0.2">
      <c r="A22" s="54" t="s">
        <v>33</v>
      </c>
      <c r="B22" s="21"/>
      <c r="C22" s="21"/>
      <c r="D22" s="21"/>
      <c r="E22" s="21"/>
      <c r="F22" s="21"/>
      <c r="G22" s="21"/>
      <c r="H22" s="21"/>
      <c r="I22" s="23">
        <f t="shared" si="9"/>
        <v>0</v>
      </c>
      <c r="J22" s="21"/>
      <c r="K22" s="21"/>
      <c r="L22" s="21"/>
      <c r="M22" s="21"/>
      <c r="N22" s="21"/>
      <c r="O22" s="21"/>
      <c r="P22" s="23">
        <f t="shared" si="6"/>
        <v>0</v>
      </c>
      <c r="Q22" s="21"/>
      <c r="R22" s="21"/>
      <c r="S22" s="21"/>
      <c r="T22" s="21"/>
      <c r="U22" s="21"/>
      <c r="V22" s="21"/>
      <c r="W22" s="21"/>
      <c r="X22" s="21"/>
      <c r="Y22" s="23">
        <f t="shared" si="10"/>
        <v>0</v>
      </c>
      <c r="Z22" s="23">
        <f t="shared" si="11"/>
        <v>0</v>
      </c>
      <c r="AA22" s="32"/>
    </row>
    <row r="23" spans="1:27" s="5" customFormat="1" ht="15" x14ac:dyDescent="0.2">
      <c r="A23" s="55" t="s">
        <v>58</v>
      </c>
      <c r="B23" s="14">
        <v>214623028.91</v>
      </c>
      <c r="C23" s="14"/>
      <c r="D23" s="14"/>
      <c r="E23" s="23"/>
      <c r="F23" s="14"/>
      <c r="G23" s="14"/>
      <c r="H23" s="14"/>
      <c r="I23" s="23">
        <f t="shared" si="9"/>
        <v>214623028.91</v>
      </c>
      <c r="J23" s="14"/>
      <c r="K23" s="23">
        <v>214623028.91</v>
      </c>
      <c r="L23" s="14"/>
      <c r="M23" s="14"/>
      <c r="N23" s="14"/>
      <c r="O23" s="14"/>
      <c r="P23" s="23">
        <f t="shared" si="6"/>
        <v>214623028.91</v>
      </c>
      <c r="Q23" s="14"/>
      <c r="R23" s="14"/>
      <c r="S23" s="14"/>
      <c r="T23" s="14"/>
      <c r="U23" s="14"/>
      <c r="V23" s="14"/>
      <c r="W23" s="14"/>
      <c r="X23" s="14"/>
      <c r="Y23" s="23">
        <f t="shared" si="10"/>
        <v>0</v>
      </c>
      <c r="Z23" s="23">
        <f t="shared" si="11"/>
        <v>214623028.91</v>
      </c>
      <c r="AA23" s="32">
        <f t="shared" si="8"/>
        <v>1</v>
      </c>
    </row>
    <row r="24" spans="1:27" x14ac:dyDescent="0.2">
      <c r="A24" s="55" t="s">
        <v>59</v>
      </c>
      <c r="B24" s="14">
        <v>457981176</v>
      </c>
      <c r="C24" s="14"/>
      <c r="D24" s="14"/>
      <c r="E24" s="23"/>
      <c r="F24" s="14"/>
      <c r="G24" s="14"/>
      <c r="H24" s="14"/>
      <c r="I24" s="23">
        <f t="shared" si="9"/>
        <v>457981176</v>
      </c>
      <c r="J24" s="14"/>
      <c r="K24" s="23">
        <v>457981176</v>
      </c>
      <c r="L24" s="14"/>
      <c r="M24" s="14"/>
      <c r="N24" s="14"/>
      <c r="O24" s="14"/>
      <c r="P24" s="23">
        <f t="shared" si="6"/>
        <v>457981176</v>
      </c>
      <c r="Q24" s="14"/>
      <c r="R24" s="14"/>
      <c r="S24" s="14"/>
      <c r="T24" s="14"/>
      <c r="U24" s="14"/>
      <c r="V24" s="14"/>
      <c r="W24" s="14"/>
      <c r="X24" s="14"/>
      <c r="Y24" s="23">
        <f t="shared" si="10"/>
        <v>0</v>
      </c>
      <c r="Z24" s="23">
        <f t="shared" si="11"/>
        <v>457981176</v>
      </c>
      <c r="AA24" s="32">
        <f t="shared" si="8"/>
        <v>1</v>
      </c>
    </row>
    <row r="25" spans="1:27" x14ac:dyDescent="0.2">
      <c r="A25" s="55" t="s">
        <v>60</v>
      </c>
      <c r="B25" s="14">
        <v>232993284</v>
      </c>
      <c r="C25" s="14"/>
      <c r="D25" s="14"/>
      <c r="E25" s="23"/>
      <c r="F25" s="14"/>
      <c r="G25" s="14"/>
      <c r="H25" s="14"/>
      <c r="I25" s="23">
        <f t="shared" si="9"/>
        <v>232993284</v>
      </c>
      <c r="J25" s="14"/>
      <c r="K25" s="23">
        <v>232993284</v>
      </c>
      <c r="L25" s="14"/>
      <c r="M25" s="14"/>
      <c r="N25" s="14"/>
      <c r="O25" s="14"/>
      <c r="P25" s="23">
        <f t="shared" si="6"/>
        <v>232993284</v>
      </c>
      <c r="Q25" s="14"/>
      <c r="R25" s="14"/>
      <c r="S25" s="14"/>
      <c r="T25" s="14"/>
      <c r="U25" s="14"/>
      <c r="V25" s="14"/>
      <c r="W25" s="14"/>
      <c r="X25" s="14"/>
      <c r="Y25" s="23">
        <f t="shared" si="10"/>
        <v>0</v>
      </c>
      <c r="Z25" s="23">
        <f t="shared" si="11"/>
        <v>232993284</v>
      </c>
      <c r="AA25" s="32">
        <f t="shared" si="8"/>
        <v>1</v>
      </c>
    </row>
    <row r="26" spans="1:27" s="5" customFormat="1" ht="15" x14ac:dyDescent="0.2">
      <c r="A26" s="54" t="s">
        <v>34</v>
      </c>
      <c r="B26" s="6"/>
      <c r="C26" s="6"/>
      <c r="D26" s="6"/>
      <c r="E26" s="6"/>
      <c r="F26" s="6"/>
      <c r="G26" s="6"/>
      <c r="H26" s="6"/>
      <c r="I26" s="23">
        <f t="shared" si="9"/>
        <v>0</v>
      </c>
      <c r="J26" s="6"/>
      <c r="K26" s="6"/>
      <c r="L26" s="6"/>
      <c r="M26" s="6"/>
      <c r="N26" s="6"/>
      <c r="O26" s="6"/>
      <c r="P26" s="23">
        <f t="shared" si="6"/>
        <v>0</v>
      </c>
      <c r="Q26" s="6"/>
      <c r="R26" s="6"/>
      <c r="S26" s="6"/>
      <c r="T26" s="6"/>
      <c r="U26" s="6"/>
      <c r="V26" s="6"/>
      <c r="W26" s="6"/>
      <c r="X26" s="6"/>
      <c r="Y26" s="23">
        <f t="shared" si="10"/>
        <v>0</v>
      </c>
      <c r="Z26" s="23">
        <f t="shared" si="11"/>
        <v>0</v>
      </c>
      <c r="AA26" s="32"/>
    </row>
    <row r="27" spans="1:27" x14ac:dyDescent="0.2">
      <c r="A27" s="55" t="s">
        <v>61</v>
      </c>
      <c r="B27" s="14">
        <v>2580129212.1599998</v>
      </c>
      <c r="C27" s="14"/>
      <c r="D27" s="14"/>
      <c r="E27" s="23"/>
      <c r="F27" s="14"/>
      <c r="G27" s="14"/>
      <c r="H27" s="14"/>
      <c r="I27" s="23">
        <f t="shared" si="9"/>
        <v>2580129212.1599998</v>
      </c>
      <c r="J27" s="14"/>
      <c r="K27" s="22">
        <v>2580129212.1599998</v>
      </c>
      <c r="L27" s="14"/>
      <c r="M27" s="14"/>
      <c r="N27" s="14"/>
      <c r="O27" s="14"/>
      <c r="P27" s="23">
        <f t="shared" si="6"/>
        <v>2580129212.1599998</v>
      </c>
      <c r="Q27" s="14"/>
      <c r="R27" s="14"/>
      <c r="S27" s="14"/>
      <c r="T27" s="14"/>
      <c r="U27" s="14"/>
      <c r="V27" s="14"/>
      <c r="W27" s="14"/>
      <c r="X27" s="14"/>
      <c r="Y27" s="23">
        <f t="shared" si="10"/>
        <v>0</v>
      </c>
      <c r="Z27" s="23">
        <f t="shared" si="11"/>
        <v>2580129212.1599998</v>
      </c>
      <c r="AA27" s="32">
        <f t="shared" si="8"/>
        <v>1</v>
      </c>
    </row>
    <row r="28" spans="1:27" s="5" customFormat="1" ht="15" hidden="1" x14ac:dyDescent="0.2">
      <c r="A28" s="226" t="s">
        <v>268</v>
      </c>
      <c r="B28" s="218"/>
      <c r="C28" s="6"/>
      <c r="D28" s="6"/>
      <c r="E28" s="6"/>
      <c r="F28" s="6"/>
      <c r="G28" s="6"/>
      <c r="H28" s="6"/>
      <c r="I28" s="214">
        <f t="shared" si="9"/>
        <v>0</v>
      </c>
      <c r="J28" s="218"/>
      <c r="K28" s="218"/>
      <c r="L28" s="6"/>
      <c r="M28" s="6"/>
      <c r="N28" s="6"/>
      <c r="O28" s="6"/>
      <c r="P28" s="23">
        <f t="shared" si="6"/>
        <v>0</v>
      </c>
      <c r="Q28" s="6"/>
      <c r="R28" s="6"/>
      <c r="S28" s="6"/>
      <c r="T28" s="6"/>
      <c r="U28" s="6"/>
      <c r="V28" s="6"/>
      <c r="W28" s="6"/>
      <c r="X28" s="6"/>
      <c r="Y28" s="23">
        <f t="shared" si="10"/>
        <v>0</v>
      </c>
      <c r="Z28" s="214">
        <f t="shared" si="11"/>
        <v>0</v>
      </c>
      <c r="AA28" s="225" t="e">
        <f t="shared" si="8"/>
        <v>#DIV/0!</v>
      </c>
    </row>
    <row r="29" spans="1:27" hidden="1" x14ac:dyDescent="0.2">
      <c r="A29" s="227" t="s">
        <v>268</v>
      </c>
      <c r="B29" s="215"/>
      <c r="C29" s="14"/>
      <c r="D29" s="14"/>
      <c r="E29" s="23"/>
      <c r="F29" s="14"/>
      <c r="G29" s="14"/>
      <c r="H29" s="14"/>
      <c r="I29" s="214">
        <f t="shared" si="9"/>
        <v>0</v>
      </c>
      <c r="J29" s="215"/>
      <c r="K29" s="213"/>
      <c r="L29" s="14"/>
      <c r="M29" s="14"/>
      <c r="N29" s="14"/>
      <c r="O29" s="14"/>
      <c r="P29" s="23">
        <f t="shared" si="6"/>
        <v>0</v>
      </c>
      <c r="Q29" s="14"/>
      <c r="R29" s="14"/>
      <c r="S29" s="14"/>
      <c r="T29" s="14"/>
      <c r="U29" s="14"/>
      <c r="V29" s="14"/>
      <c r="W29" s="14"/>
      <c r="X29" s="14"/>
      <c r="Y29" s="23">
        <f t="shared" si="10"/>
        <v>0</v>
      </c>
      <c r="Z29" s="214">
        <f t="shared" si="11"/>
        <v>0</v>
      </c>
      <c r="AA29" s="225" t="e">
        <f t="shared" si="8"/>
        <v>#DIV/0!</v>
      </c>
    </row>
    <row r="30" spans="1:27" s="5" customFormat="1" ht="15" x14ac:dyDescent="0.2">
      <c r="A30" s="54" t="s">
        <v>351</v>
      </c>
      <c r="B30" s="6"/>
      <c r="C30" s="6"/>
      <c r="D30" s="6"/>
      <c r="E30" s="6"/>
      <c r="F30" s="6"/>
      <c r="G30" s="6"/>
      <c r="H30" s="6"/>
      <c r="I30" s="23"/>
      <c r="J30" s="6"/>
      <c r="K30" s="6"/>
      <c r="L30" s="6"/>
      <c r="M30" s="6"/>
      <c r="N30" s="6"/>
      <c r="O30" s="6"/>
      <c r="P30" s="23">
        <f t="shared" si="6"/>
        <v>0</v>
      </c>
      <c r="Q30" s="6"/>
      <c r="R30" s="6"/>
      <c r="S30" s="6"/>
      <c r="T30" s="6"/>
      <c r="U30" s="6"/>
      <c r="V30" s="6"/>
      <c r="W30" s="6"/>
      <c r="X30" s="6"/>
      <c r="Y30" s="23">
        <f t="shared" si="10"/>
        <v>0</v>
      </c>
      <c r="Z30" s="23"/>
      <c r="AA30" s="32"/>
    </row>
    <row r="31" spans="1:27" x14ac:dyDescent="0.2">
      <c r="A31" s="55" t="s">
        <v>352</v>
      </c>
      <c r="B31" s="14">
        <v>100000</v>
      </c>
      <c r="C31" s="14"/>
      <c r="D31" s="14"/>
      <c r="E31" s="23"/>
      <c r="F31" s="14"/>
      <c r="G31" s="14"/>
      <c r="H31" s="14"/>
      <c r="I31" s="23">
        <f t="shared" si="9"/>
        <v>100000</v>
      </c>
      <c r="J31" s="14"/>
      <c r="K31" s="22">
        <v>100000</v>
      </c>
      <c r="L31" s="14"/>
      <c r="M31" s="14"/>
      <c r="N31" s="14"/>
      <c r="O31" s="14"/>
      <c r="P31" s="23">
        <f t="shared" si="6"/>
        <v>100000</v>
      </c>
      <c r="Q31" s="14"/>
      <c r="R31" s="14"/>
      <c r="S31" s="14"/>
      <c r="T31" s="14"/>
      <c r="U31" s="14"/>
      <c r="V31" s="14"/>
      <c r="W31" s="14"/>
      <c r="X31" s="14"/>
      <c r="Y31" s="23">
        <f t="shared" si="10"/>
        <v>0</v>
      </c>
      <c r="Z31" s="23">
        <f t="shared" si="11"/>
        <v>100000</v>
      </c>
      <c r="AA31" s="32">
        <f t="shared" si="8"/>
        <v>1</v>
      </c>
    </row>
    <row r="32" spans="1:27" ht="38.25" x14ac:dyDescent="0.2">
      <c r="A32" s="54" t="s">
        <v>364</v>
      </c>
      <c r="B32" s="21"/>
      <c r="C32" s="21"/>
      <c r="D32" s="21"/>
      <c r="E32" s="21"/>
      <c r="F32" s="21"/>
      <c r="G32" s="21"/>
      <c r="H32" s="21"/>
      <c r="I32" s="23"/>
      <c r="J32" s="21"/>
      <c r="K32" s="21"/>
      <c r="L32" s="21"/>
      <c r="M32" s="21"/>
      <c r="N32" s="21"/>
      <c r="O32" s="21"/>
      <c r="P32" s="23">
        <f t="shared" si="6"/>
        <v>0</v>
      </c>
      <c r="Q32" s="21"/>
      <c r="R32" s="21"/>
      <c r="S32" s="21"/>
      <c r="T32" s="21"/>
      <c r="U32" s="21"/>
      <c r="V32" s="21"/>
      <c r="W32" s="21"/>
      <c r="X32" s="21"/>
      <c r="Y32" s="23">
        <f t="shared" si="10"/>
        <v>0</v>
      </c>
      <c r="Z32" s="23"/>
      <c r="AA32" s="32"/>
    </row>
    <row r="33" spans="1:27" ht="38.25" x14ac:dyDescent="0.2">
      <c r="A33" s="55" t="s">
        <v>364</v>
      </c>
      <c r="B33" s="14">
        <v>1206455166</v>
      </c>
      <c r="C33" s="14"/>
      <c r="D33" s="14"/>
      <c r="E33" s="23"/>
      <c r="F33" s="14"/>
      <c r="G33" s="14"/>
      <c r="H33" s="14"/>
      <c r="I33" s="23">
        <f t="shared" si="9"/>
        <v>1206455166</v>
      </c>
      <c r="J33" s="14"/>
      <c r="K33" s="22">
        <v>1206455166</v>
      </c>
      <c r="L33" s="14"/>
      <c r="M33" s="14"/>
      <c r="N33" s="14"/>
      <c r="O33" s="14"/>
      <c r="P33" s="23">
        <f t="shared" si="6"/>
        <v>1206455166</v>
      </c>
      <c r="Q33" s="14"/>
      <c r="R33" s="14"/>
      <c r="S33" s="14"/>
      <c r="T33" s="14"/>
      <c r="U33" s="14"/>
      <c r="V33" s="14"/>
      <c r="W33" s="14"/>
      <c r="X33" s="14"/>
      <c r="Y33" s="23">
        <f t="shared" si="10"/>
        <v>0</v>
      </c>
      <c r="Z33" s="23">
        <f t="shared" si="11"/>
        <v>1206455166</v>
      </c>
      <c r="AA33" s="32">
        <f t="shared" si="8"/>
        <v>1</v>
      </c>
    </row>
    <row r="34" spans="1:27" s="5" customFormat="1" ht="15" x14ac:dyDescent="0.2">
      <c r="A34" s="54" t="s">
        <v>62</v>
      </c>
      <c r="B34" s="21"/>
      <c r="C34" s="21"/>
      <c r="D34" s="21"/>
      <c r="E34" s="21"/>
      <c r="F34" s="21"/>
      <c r="G34" s="21"/>
      <c r="H34" s="21"/>
      <c r="I34" s="23"/>
      <c r="J34" s="21"/>
      <c r="K34" s="21"/>
      <c r="L34" s="21"/>
      <c r="M34" s="21"/>
      <c r="N34" s="21"/>
      <c r="O34" s="21"/>
      <c r="P34" s="23">
        <f t="shared" si="6"/>
        <v>0</v>
      </c>
      <c r="Q34" s="21"/>
      <c r="R34" s="21"/>
      <c r="S34" s="21"/>
      <c r="T34" s="21"/>
      <c r="U34" s="21"/>
      <c r="V34" s="21"/>
      <c r="W34" s="21"/>
      <c r="X34" s="21"/>
      <c r="Y34" s="23">
        <f t="shared" si="10"/>
        <v>0</v>
      </c>
      <c r="Z34" s="23"/>
      <c r="AA34" s="32"/>
    </row>
    <row r="35" spans="1:27" s="5" customFormat="1" ht="25.5" x14ac:dyDescent="0.2">
      <c r="A35" s="208" t="s">
        <v>269</v>
      </c>
      <c r="B35" s="4">
        <v>449518058.80000001</v>
      </c>
      <c r="C35" s="4"/>
      <c r="D35" s="4"/>
      <c r="E35" s="23"/>
      <c r="F35" s="4"/>
      <c r="G35" s="4"/>
      <c r="H35" s="4"/>
      <c r="I35" s="23">
        <f t="shared" si="9"/>
        <v>449518058.80000001</v>
      </c>
      <c r="J35" s="4"/>
      <c r="K35" s="22">
        <v>449518058.80000001</v>
      </c>
      <c r="L35" s="4"/>
      <c r="M35" s="4"/>
      <c r="N35" s="4"/>
      <c r="O35" s="4"/>
      <c r="P35" s="23">
        <f t="shared" si="6"/>
        <v>449518058.80000001</v>
      </c>
      <c r="Q35" s="4"/>
      <c r="R35" s="4"/>
      <c r="S35" s="4"/>
      <c r="T35" s="4"/>
      <c r="U35" s="4"/>
      <c r="V35" s="4"/>
      <c r="W35" s="4"/>
      <c r="X35" s="4"/>
      <c r="Y35" s="23">
        <f t="shared" si="10"/>
        <v>0</v>
      </c>
      <c r="Z35" s="23">
        <f t="shared" si="11"/>
        <v>449518058.80000001</v>
      </c>
      <c r="AA35" s="32">
        <f t="shared" si="8"/>
        <v>1</v>
      </c>
    </row>
    <row r="36" spans="1:27" ht="25.5" x14ac:dyDescent="0.2">
      <c r="A36" s="208" t="s">
        <v>115</v>
      </c>
      <c r="B36" s="14">
        <v>1058391863.88</v>
      </c>
      <c r="C36" s="14"/>
      <c r="D36" s="14"/>
      <c r="E36" s="23"/>
      <c r="F36" s="14">
        <v>2885.55</v>
      </c>
      <c r="G36" s="14"/>
      <c r="H36" s="14"/>
      <c r="I36" s="23">
        <f t="shared" si="9"/>
        <v>1058388978.33</v>
      </c>
      <c r="J36" s="14"/>
      <c r="K36" s="22">
        <v>1058391863.88</v>
      </c>
      <c r="L36" s="14"/>
      <c r="M36" s="14"/>
      <c r="N36" s="14"/>
      <c r="O36" s="14"/>
      <c r="P36" s="23">
        <f t="shared" si="6"/>
        <v>1058391863.88</v>
      </c>
      <c r="Q36" s="14">
        <v>-2885.55</v>
      </c>
      <c r="R36" s="14"/>
      <c r="S36" s="14"/>
      <c r="T36" s="14"/>
      <c r="U36" s="14"/>
      <c r="V36" s="14"/>
      <c r="W36" s="14"/>
      <c r="X36" s="14"/>
      <c r="Y36" s="23">
        <f t="shared" si="10"/>
        <v>-2885.55</v>
      </c>
      <c r="Z36" s="23">
        <f t="shared" si="11"/>
        <v>1058388978.33</v>
      </c>
      <c r="AA36" s="32">
        <f t="shared" si="8"/>
        <v>1</v>
      </c>
    </row>
    <row r="37" spans="1:27" ht="25.5" x14ac:dyDescent="0.2">
      <c r="A37" s="208" t="s">
        <v>111</v>
      </c>
      <c r="B37" s="14">
        <v>272886677</v>
      </c>
      <c r="C37" s="14"/>
      <c r="D37" s="14"/>
      <c r="E37" s="23"/>
      <c r="F37" s="14"/>
      <c r="G37" s="14"/>
      <c r="H37" s="14"/>
      <c r="I37" s="23">
        <f t="shared" si="9"/>
        <v>272886677</v>
      </c>
      <c r="J37" s="14"/>
      <c r="K37" s="22">
        <v>272886677</v>
      </c>
      <c r="L37" s="14"/>
      <c r="M37" s="14"/>
      <c r="N37" s="14"/>
      <c r="O37" s="14"/>
      <c r="P37" s="23">
        <f t="shared" si="6"/>
        <v>272886677</v>
      </c>
      <c r="Q37" s="14"/>
      <c r="R37" s="14"/>
      <c r="S37" s="14"/>
      <c r="T37" s="14"/>
      <c r="U37" s="14"/>
      <c r="V37" s="14"/>
      <c r="W37" s="14"/>
      <c r="X37" s="14"/>
      <c r="Y37" s="23">
        <f t="shared" si="10"/>
        <v>0</v>
      </c>
      <c r="Z37" s="23">
        <f t="shared" si="11"/>
        <v>272886677</v>
      </c>
      <c r="AA37" s="32">
        <f t="shared" si="8"/>
        <v>1</v>
      </c>
    </row>
    <row r="38" spans="1:27" ht="25.5" hidden="1" x14ac:dyDescent="0.2">
      <c r="A38" s="228" t="s">
        <v>348</v>
      </c>
      <c r="B38" s="215"/>
      <c r="C38" s="14"/>
      <c r="D38" s="14"/>
      <c r="E38" s="23"/>
      <c r="F38" s="14"/>
      <c r="G38" s="14"/>
      <c r="H38" s="14"/>
      <c r="I38" s="214">
        <f t="shared" si="9"/>
        <v>0</v>
      </c>
      <c r="J38" s="215"/>
      <c r="K38" s="213"/>
      <c r="L38" s="14"/>
      <c r="M38" s="14"/>
      <c r="N38" s="14"/>
      <c r="O38" s="14"/>
      <c r="P38" s="23">
        <f t="shared" si="6"/>
        <v>0</v>
      </c>
      <c r="Q38" s="14"/>
      <c r="R38" s="14"/>
      <c r="S38" s="14"/>
      <c r="T38" s="14"/>
      <c r="U38" s="14"/>
      <c r="V38" s="14"/>
      <c r="W38" s="14"/>
      <c r="X38" s="14"/>
      <c r="Y38" s="23">
        <f t="shared" si="10"/>
        <v>0</v>
      </c>
      <c r="Z38" s="214">
        <f t="shared" si="11"/>
        <v>0</v>
      </c>
      <c r="AA38" s="225" t="e">
        <f t="shared" si="8"/>
        <v>#DIV/0!</v>
      </c>
    </row>
    <row r="39" spans="1:27" hidden="1" x14ac:dyDescent="0.2">
      <c r="A39" s="228" t="s">
        <v>270</v>
      </c>
      <c r="B39" s="215"/>
      <c r="C39" s="14"/>
      <c r="D39" s="14"/>
      <c r="E39" s="23"/>
      <c r="F39" s="14"/>
      <c r="G39" s="14"/>
      <c r="H39" s="14"/>
      <c r="I39" s="214">
        <f t="shared" si="9"/>
        <v>0</v>
      </c>
      <c r="J39" s="215"/>
      <c r="K39" s="213"/>
      <c r="L39" s="14"/>
      <c r="M39" s="14"/>
      <c r="N39" s="14"/>
      <c r="O39" s="14"/>
      <c r="P39" s="23">
        <f t="shared" si="6"/>
        <v>0</v>
      </c>
      <c r="Q39" s="14"/>
      <c r="R39" s="14"/>
      <c r="S39" s="14"/>
      <c r="T39" s="14"/>
      <c r="U39" s="14"/>
      <c r="V39" s="14"/>
      <c r="W39" s="14"/>
      <c r="X39" s="14"/>
      <c r="Y39" s="23">
        <f t="shared" si="10"/>
        <v>0</v>
      </c>
      <c r="Z39" s="214">
        <f t="shared" si="11"/>
        <v>0</v>
      </c>
      <c r="AA39" s="225" t="e">
        <f t="shared" si="8"/>
        <v>#DIV/0!</v>
      </c>
    </row>
    <row r="40" spans="1:27" ht="25.5" hidden="1" x14ac:dyDescent="0.2">
      <c r="A40" s="228" t="s">
        <v>119</v>
      </c>
      <c r="B40" s="215"/>
      <c r="C40" s="14"/>
      <c r="D40" s="14"/>
      <c r="E40" s="23"/>
      <c r="F40" s="14"/>
      <c r="G40" s="14"/>
      <c r="H40" s="14"/>
      <c r="I40" s="214">
        <f t="shared" si="9"/>
        <v>0</v>
      </c>
      <c r="J40" s="215"/>
      <c r="K40" s="213"/>
      <c r="L40" s="14"/>
      <c r="M40" s="14"/>
      <c r="N40" s="14"/>
      <c r="O40" s="14"/>
      <c r="P40" s="23">
        <f t="shared" si="6"/>
        <v>0</v>
      </c>
      <c r="Q40" s="14"/>
      <c r="R40" s="14"/>
      <c r="S40" s="14"/>
      <c r="T40" s="14"/>
      <c r="U40" s="14"/>
      <c r="V40" s="14"/>
      <c r="W40" s="14"/>
      <c r="X40" s="14"/>
      <c r="Y40" s="23">
        <f t="shared" si="10"/>
        <v>0</v>
      </c>
      <c r="Z40" s="214">
        <f t="shared" si="11"/>
        <v>0</v>
      </c>
      <c r="AA40" s="225" t="e">
        <f t="shared" si="8"/>
        <v>#DIV/0!</v>
      </c>
    </row>
    <row r="41" spans="1:27" s="5" customFormat="1" ht="15" x14ac:dyDescent="0.2">
      <c r="A41" s="54" t="s">
        <v>63</v>
      </c>
      <c r="B41" s="21"/>
      <c r="C41" s="21"/>
      <c r="D41" s="21"/>
      <c r="E41" s="21"/>
      <c r="F41" s="21"/>
      <c r="G41" s="21"/>
      <c r="H41" s="21"/>
      <c r="I41" s="23"/>
      <c r="J41" s="21"/>
      <c r="K41" s="21"/>
      <c r="L41" s="21"/>
      <c r="M41" s="21"/>
      <c r="N41" s="21"/>
      <c r="O41" s="21"/>
      <c r="P41" s="23">
        <f t="shared" si="6"/>
        <v>0</v>
      </c>
      <c r="Q41" s="21"/>
      <c r="R41" s="21"/>
      <c r="S41" s="21"/>
      <c r="T41" s="21"/>
      <c r="U41" s="21"/>
      <c r="V41" s="21"/>
      <c r="W41" s="21"/>
      <c r="X41" s="21"/>
      <c r="Y41" s="23">
        <f t="shared" si="10"/>
        <v>0</v>
      </c>
      <c r="Z41" s="23"/>
      <c r="AA41" s="32"/>
    </row>
    <row r="42" spans="1:27" x14ac:dyDescent="0.2">
      <c r="A42" s="55" t="s">
        <v>64</v>
      </c>
      <c r="B42" s="14">
        <v>11733333</v>
      </c>
      <c r="C42" s="14"/>
      <c r="D42" s="14"/>
      <c r="E42" s="23"/>
      <c r="F42" s="14"/>
      <c r="G42" s="14"/>
      <c r="H42" s="14"/>
      <c r="I42" s="23">
        <f t="shared" si="9"/>
        <v>11733333</v>
      </c>
      <c r="J42" s="14"/>
      <c r="K42" s="22">
        <v>11733333</v>
      </c>
      <c r="L42" s="14"/>
      <c r="M42" s="14"/>
      <c r="N42" s="14"/>
      <c r="O42" s="14"/>
      <c r="P42" s="23">
        <f t="shared" si="6"/>
        <v>11733333</v>
      </c>
      <c r="Q42" s="14"/>
      <c r="R42" s="14"/>
      <c r="S42" s="14"/>
      <c r="T42" s="14"/>
      <c r="U42" s="14"/>
      <c r="V42" s="14"/>
      <c r="W42" s="14"/>
      <c r="X42" s="14"/>
      <c r="Y42" s="23">
        <f t="shared" si="10"/>
        <v>0</v>
      </c>
      <c r="Z42" s="23">
        <f t="shared" si="11"/>
        <v>11733333</v>
      </c>
      <c r="AA42" s="32">
        <f t="shared" si="8"/>
        <v>1</v>
      </c>
    </row>
    <row r="43" spans="1:27" s="5" customFormat="1" ht="15" x14ac:dyDescent="0.2">
      <c r="A43" s="54" t="s">
        <v>1139</v>
      </c>
      <c r="B43" s="21"/>
      <c r="C43" s="21"/>
      <c r="D43" s="21"/>
      <c r="E43" s="21"/>
      <c r="F43" s="21"/>
      <c r="G43" s="21"/>
      <c r="H43" s="21"/>
      <c r="I43" s="23"/>
      <c r="J43" s="21"/>
      <c r="K43" s="21"/>
      <c r="L43" s="21"/>
      <c r="M43" s="21"/>
      <c r="N43" s="21"/>
      <c r="O43" s="21"/>
      <c r="P43" s="23">
        <f t="shared" si="6"/>
        <v>0</v>
      </c>
      <c r="Q43" s="21"/>
      <c r="R43" s="21"/>
      <c r="S43" s="21"/>
      <c r="T43" s="21"/>
      <c r="U43" s="21"/>
      <c r="V43" s="21"/>
      <c r="W43" s="21"/>
      <c r="X43" s="21"/>
      <c r="Y43" s="23">
        <f t="shared" si="10"/>
        <v>0</v>
      </c>
      <c r="Z43" s="23"/>
      <c r="AA43" s="32"/>
    </row>
    <row r="44" spans="1:27" s="5" customFormat="1" ht="15" x14ac:dyDescent="0.2">
      <c r="A44" s="208" t="s">
        <v>1139</v>
      </c>
      <c r="B44" s="4">
        <v>2000000</v>
      </c>
      <c r="C44" s="4"/>
      <c r="D44" s="4"/>
      <c r="E44" s="23"/>
      <c r="F44" s="4"/>
      <c r="G44" s="4"/>
      <c r="H44" s="4"/>
      <c r="I44" s="23">
        <f t="shared" si="9"/>
        <v>2000000</v>
      </c>
      <c r="J44" s="4"/>
      <c r="K44" s="22">
        <v>2000000</v>
      </c>
      <c r="L44" s="4"/>
      <c r="M44" s="4"/>
      <c r="N44" s="4"/>
      <c r="O44" s="4"/>
      <c r="P44" s="23">
        <f t="shared" si="6"/>
        <v>2000000</v>
      </c>
      <c r="Q44" s="4"/>
      <c r="R44" s="4"/>
      <c r="S44" s="4"/>
      <c r="T44" s="4"/>
      <c r="U44" s="4"/>
      <c r="V44" s="4"/>
      <c r="W44" s="4"/>
      <c r="X44" s="4"/>
      <c r="Y44" s="23">
        <f t="shared" si="10"/>
        <v>0</v>
      </c>
      <c r="Z44" s="23">
        <f t="shared" si="11"/>
        <v>2000000</v>
      </c>
      <c r="AA44" s="32">
        <f t="shared" si="8"/>
        <v>1</v>
      </c>
    </row>
    <row r="45" spans="1:27" s="5" customFormat="1" ht="15" x14ac:dyDescent="0.2">
      <c r="A45" s="54" t="s">
        <v>65</v>
      </c>
      <c r="B45" s="21"/>
      <c r="C45" s="21"/>
      <c r="D45" s="21"/>
      <c r="E45" s="21"/>
      <c r="F45" s="21"/>
      <c r="G45" s="21"/>
      <c r="H45" s="21"/>
      <c r="I45" s="23"/>
      <c r="J45" s="21"/>
      <c r="K45" s="21"/>
      <c r="L45" s="21"/>
      <c r="M45" s="21"/>
      <c r="N45" s="21"/>
      <c r="O45" s="21"/>
      <c r="P45" s="23">
        <f t="shared" si="6"/>
        <v>0</v>
      </c>
      <c r="Q45" s="21"/>
      <c r="R45" s="21"/>
      <c r="S45" s="21"/>
      <c r="T45" s="21"/>
      <c r="U45" s="21"/>
      <c r="V45" s="21"/>
      <c r="W45" s="21"/>
      <c r="X45" s="21"/>
      <c r="Y45" s="23">
        <f t="shared" si="10"/>
        <v>0</v>
      </c>
      <c r="Z45" s="23"/>
      <c r="AA45" s="32"/>
    </row>
    <row r="46" spans="1:27" x14ac:dyDescent="0.2">
      <c r="A46" s="55" t="s">
        <v>349</v>
      </c>
      <c r="B46" s="14">
        <v>833333.33</v>
      </c>
      <c r="C46" s="14"/>
      <c r="D46" s="14"/>
      <c r="E46" s="23"/>
      <c r="F46" s="14"/>
      <c r="G46" s="14"/>
      <c r="H46" s="14"/>
      <c r="I46" s="23">
        <f t="shared" si="9"/>
        <v>833333.33</v>
      </c>
      <c r="J46" s="14"/>
      <c r="K46" s="22">
        <v>833333.33</v>
      </c>
      <c r="L46" s="14"/>
      <c r="M46" s="14"/>
      <c r="N46" s="14"/>
      <c r="O46" s="14"/>
      <c r="P46" s="23">
        <f t="shared" si="6"/>
        <v>833333.33</v>
      </c>
      <c r="Q46" s="14"/>
      <c r="R46" s="14"/>
      <c r="S46" s="14"/>
      <c r="T46" s="14"/>
      <c r="U46" s="14"/>
      <c r="V46" s="14"/>
      <c r="W46" s="14"/>
      <c r="X46" s="14"/>
      <c r="Y46" s="23">
        <f t="shared" si="10"/>
        <v>0</v>
      </c>
      <c r="Z46" s="23">
        <f t="shared" si="11"/>
        <v>833333.33</v>
      </c>
      <c r="AA46" s="32">
        <f t="shared" si="8"/>
        <v>1</v>
      </c>
    </row>
    <row r="47" spans="1:27" ht="25.5" x14ac:dyDescent="0.2">
      <c r="A47" s="55" t="s">
        <v>266</v>
      </c>
      <c r="B47" s="14"/>
      <c r="C47" s="14"/>
      <c r="D47" s="14"/>
      <c r="E47" s="23"/>
      <c r="F47" s="14"/>
      <c r="G47" s="14"/>
      <c r="H47" s="14"/>
      <c r="I47" s="23"/>
      <c r="J47" s="14"/>
      <c r="K47" s="22"/>
      <c r="L47" s="14"/>
      <c r="M47" s="14"/>
      <c r="N47" s="14"/>
      <c r="O47" s="14"/>
      <c r="P47" s="23">
        <f t="shared" si="6"/>
        <v>0</v>
      </c>
      <c r="Q47" s="14"/>
      <c r="R47" s="14"/>
      <c r="S47" s="14"/>
      <c r="T47" s="14"/>
      <c r="U47" s="14"/>
      <c r="V47" s="14"/>
      <c r="W47" s="14"/>
      <c r="X47" s="14"/>
      <c r="Y47" s="23">
        <f t="shared" si="10"/>
        <v>0</v>
      </c>
      <c r="Z47" s="23"/>
      <c r="AA47" s="32"/>
    </row>
    <row r="48" spans="1:27" x14ac:dyDescent="0.2">
      <c r="A48" s="55" t="s">
        <v>121</v>
      </c>
      <c r="B48" s="14">
        <v>88144000</v>
      </c>
      <c r="C48" s="14"/>
      <c r="D48" s="14"/>
      <c r="E48" s="23"/>
      <c r="F48" s="14"/>
      <c r="G48" s="14"/>
      <c r="H48" s="14"/>
      <c r="I48" s="23">
        <f t="shared" si="9"/>
        <v>88144000</v>
      </c>
      <c r="J48" s="14"/>
      <c r="K48" s="22">
        <v>88144000</v>
      </c>
      <c r="L48" s="14"/>
      <c r="M48" s="14"/>
      <c r="N48" s="14"/>
      <c r="O48" s="14"/>
      <c r="P48" s="23">
        <f t="shared" si="6"/>
        <v>88144000</v>
      </c>
      <c r="Q48" s="14"/>
      <c r="R48" s="14"/>
      <c r="S48" s="14"/>
      <c r="T48" s="14"/>
      <c r="U48" s="14"/>
      <c r="V48" s="14"/>
      <c r="W48" s="14"/>
      <c r="X48" s="14"/>
      <c r="Y48" s="23">
        <f t="shared" si="10"/>
        <v>0</v>
      </c>
      <c r="Z48" s="23">
        <f t="shared" si="11"/>
        <v>88144000</v>
      </c>
      <c r="AA48" s="32">
        <f t="shared" si="8"/>
        <v>1</v>
      </c>
    </row>
    <row r="49" spans="1:27" s="5" customFormat="1" ht="25.5" x14ac:dyDescent="0.2">
      <c r="A49" s="56" t="s">
        <v>355</v>
      </c>
      <c r="B49" s="21"/>
      <c r="C49" s="21"/>
      <c r="D49" s="21"/>
      <c r="E49" s="21"/>
      <c r="F49" s="21"/>
      <c r="G49" s="21"/>
      <c r="H49" s="21"/>
      <c r="I49" s="23"/>
      <c r="J49" s="21"/>
      <c r="K49" s="21"/>
      <c r="L49" s="21"/>
      <c r="M49" s="21"/>
      <c r="N49" s="21"/>
      <c r="O49" s="21"/>
      <c r="P49" s="23">
        <f t="shared" si="6"/>
        <v>0</v>
      </c>
      <c r="Q49" s="21"/>
      <c r="R49" s="21"/>
      <c r="S49" s="21"/>
      <c r="T49" s="21"/>
      <c r="U49" s="21"/>
      <c r="V49" s="21"/>
      <c r="W49" s="21"/>
      <c r="X49" s="21"/>
      <c r="Y49" s="23">
        <f t="shared" si="10"/>
        <v>0</v>
      </c>
      <c r="Z49" s="23"/>
      <c r="AA49" s="32"/>
    </row>
    <row r="50" spans="1:27" ht="38.25" x14ac:dyDescent="0.2">
      <c r="A50" s="53" t="s">
        <v>354</v>
      </c>
      <c r="B50" s="14">
        <v>7271325.2400000002</v>
      </c>
      <c r="C50" s="14"/>
      <c r="D50" s="14"/>
      <c r="E50" s="23"/>
      <c r="F50" s="14"/>
      <c r="G50" s="14"/>
      <c r="H50" s="14"/>
      <c r="I50" s="23">
        <f t="shared" si="9"/>
        <v>7271325.2400000002</v>
      </c>
      <c r="J50" s="14"/>
      <c r="K50" s="22">
        <v>7271325.2400000002</v>
      </c>
      <c r="L50" s="14"/>
      <c r="M50" s="14"/>
      <c r="N50" s="14"/>
      <c r="O50" s="14"/>
      <c r="P50" s="23">
        <f t="shared" si="6"/>
        <v>7271325.2400000002</v>
      </c>
      <c r="Q50" s="14"/>
      <c r="R50" s="14"/>
      <c r="S50" s="14"/>
      <c r="T50" s="14"/>
      <c r="U50" s="14"/>
      <c r="V50" s="14"/>
      <c r="W50" s="14"/>
      <c r="X50" s="14"/>
      <c r="Y50" s="23">
        <f t="shared" si="10"/>
        <v>0</v>
      </c>
      <c r="Z50" s="23">
        <f t="shared" si="11"/>
        <v>7271325.2400000002</v>
      </c>
      <c r="AA50" s="32">
        <f t="shared" si="8"/>
        <v>1</v>
      </c>
    </row>
    <row r="51" spans="1:27" ht="38.25" x14ac:dyDescent="0.2">
      <c r="A51" s="53" t="s">
        <v>356</v>
      </c>
      <c r="B51" s="14">
        <v>6133218.3700000001</v>
      </c>
      <c r="C51" s="14"/>
      <c r="D51" s="14"/>
      <c r="E51" s="23"/>
      <c r="F51" s="14"/>
      <c r="G51" s="14"/>
      <c r="H51" s="14"/>
      <c r="I51" s="23">
        <f t="shared" si="9"/>
        <v>6133218.3700000001</v>
      </c>
      <c r="J51" s="14"/>
      <c r="K51" s="14">
        <v>6133218.3700000001</v>
      </c>
      <c r="L51" s="14"/>
      <c r="M51" s="14"/>
      <c r="N51" s="14"/>
      <c r="O51" s="14"/>
      <c r="P51" s="23">
        <f t="shared" si="6"/>
        <v>6133218.3700000001</v>
      </c>
      <c r="Q51" s="14"/>
      <c r="R51" s="14"/>
      <c r="S51" s="14"/>
      <c r="T51" s="14"/>
      <c r="U51" s="14"/>
      <c r="V51" s="14"/>
      <c r="W51" s="14"/>
      <c r="X51" s="14"/>
      <c r="Y51" s="23">
        <f t="shared" si="10"/>
        <v>0</v>
      </c>
      <c r="Z51" s="23">
        <f t="shared" si="11"/>
        <v>6133218.3700000001</v>
      </c>
      <c r="AA51" s="32">
        <f t="shared" si="8"/>
        <v>1</v>
      </c>
    </row>
    <row r="52" spans="1:27" ht="25.5" x14ac:dyDescent="0.2">
      <c r="A52" s="53" t="s">
        <v>357</v>
      </c>
      <c r="B52" s="14">
        <v>12724819.17</v>
      </c>
      <c r="C52" s="14"/>
      <c r="D52" s="14"/>
      <c r="E52" s="23"/>
      <c r="F52" s="14"/>
      <c r="G52" s="14"/>
      <c r="H52" s="14"/>
      <c r="I52" s="23">
        <f t="shared" si="9"/>
        <v>12724819.17</v>
      </c>
      <c r="J52" s="14"/>
      <c r="K52" s="22">
        <v>12724819.17</v>
      </c>
      <c r="L52" s="14"/>
      <c r="M52" s="14"/>
      <c r="N52" s="14"/>
      <c r="O52" s="14"/>
      <c r="P52" s="23">
        <f t="shared" si="6"/>
        <v>12724819.17</v>
      </c>
      <c r="Q52" s="14"/>
      <c r="R52" s="14"/>
      <c r="S52" s="14"/>
      <c r="T52" s="14"/>
      <c r="U52" s="14"/>
      <c r="V52" s="14"/>
      <c r="W52" s="14"/>
      <c r="X52" s="14"/>
      <c r="Y52" s="23">
        <f t="shared" si="10"/>
        <v>0</v>
      </c>
      <c r="Z52" s="23">
        <f t="shared" si="11"/>
        <v>12724819.17</v>
      </c>
      <c r="AA52" s="32">
        <f t="shared" si="8"/>
        <v>1</v>
      </c>
    </row>
    <row r="53" spans="1:27" ht="38.25" x14ac:dyDescent="0.2">
      <c r="A53" s="53" t="s">
        <v>1130</v>
      </c>
      <c r="B53" s="14">
        <v>27267469.66</v>
      </c>
      <c r="C53" s="14"/>
      <c r="D53" s="14"/>
      <c r="E53" s="23"/>
      <c r="F53" s="14"/>
      <c r="G53" s="14"/>
      <c r="H53" s="14"/>
      <c r="I53" s="23">
        <f t="shared" si="9"/>
        <v>27267469.66</v>
      </c>
      <c r="J53" s="14"/>
      <c r="K53" s="22">
        <v>27267469.66</v>
      </c>
      <c r="L53" s="14"/>
      <c r="M53" s="14"/>
      <c r="N53" s="14"/>
      <c r="O53" s="14"/>
      <c r="P53" s="23">
        <f t="shared" si="6"/>
        <v>27267469.66</v>
      </c>
      <c r="Q53" s="14"/>
      <c r="R53" s="14"/>
      <c r="S53" s="14"/>
      <c r="T53" s="14"/>
      <c r="U53" s="14"/>
      <c r="V53" s="14"/>
      <c r="W53" s="14"/>
      <c r="X53" s="14"/>
      <c r="Y53" s="23">
        <f t="shared" si="10"/>
        <v>0</v>
      </c>
      <c r="Z53" s="23">
        <f t="shared" si="11"/>
        <v>27267469.66</v>
      </c>
      <c r="AA53" s="32">
        <f t="shared" si="8"/>
        <v>1</v>
      </c>
    </row>
    <row r="54" spans="1:27" s="5" customFormat="1" ht="15" x14ac:dyDescent="0.2">
      <c r="A54" s="56" t="s">
        <v>251</v>
      </c>
      <c r="B54" s="6"/>
      <c r="C54" s="6"/>
      <c r="D54" s="6"/>
      <c r="E54" s="6"/>
      <c r="F54" s="6"/>
      <c r="G54" s="6"/>
      <c r="H54" s="6"/>
      <c r="I54" s="23"/>
      <c r="J54" s="6"/>
      <c r="K54" s="6"/>
      <c r="L54" s="6"/>
      <c r="M54" s="6"/>
      <c r="N54" s="6"/>
      <c r="O54" s="6"/>
      <c r="P54" s="23">
        <f t="shared" si="6"/>
        <v>0</v>
      </c>
      <c r="Q54" s="6"/>
      <c r="R54" s="6"/>
      <c r="S54" s="6"/>
      <c r="T54" s="6"/>
      <c r="U54" s="6"/>
      <c r="V54" s="6"/>
      <c r="W54" s="6"/>
      <c r="X54" s="6"/>
      <c r="Y54" s="23">
        <f t="shared" si="10"/>
        <v>0</v>
      </c>
      <c r="Z54" s="23"/>
      <c r="AA54" s="32"/>
    </row>
    <row r="55" spans="1:27" x14ac:dyDescent="0.2">
      <c r="A55" s="55" t="s">
        <v>251</v>
      </c>
      <c r="B55" s="14">
        <v>8750000</v>
      </c>
      <c r="C55" s="14"/>
      <c r="D55" s="14"/>
      <c r="E55" s="23"/>
      <c r="F55" s="14"/>
      <c r="G55" s="14"/>
      <c r="H55" s="14"/>
      <c r="I55" s="23">
        <f t="shared" si="9"/>
        <v>8750000</v>
      </c>
      <c r="J55" s="14"/>
      <c r="K55" s="9">
        <v>8750000</v>
      </c>
      <c r="L55" s="14"/>
      <c r="M55" s="14"/>
      <c r="N55" s="14"/>
      <c r="O55" s="14"/>
      <c r="P55" s="23">
        <f t="shared" si="6"/>
        <v>8750000</v>
      </c>
      <c r="Q55" s="14"/>
      <c r="R55" s="14"/>
      <c r="S55" s="14"/>
      <c r="T55" s="14"/>
      <c r="U55" s="14"/>
      <c r="V55" s="14"/>
      <c r="W55" s="14"/>
      <c r="X55" s="14"/>
      <c r="Y55" s="23">
        <f t="shared" si="10"/>
        <v>0</v>
      </c>
      <c r="Z55" s="23">
        <f t="shared" si="11"/>
        <v>8750000</v>
      </c>
      <c r="AA55" s="32">
        <f t="shared" si="8"/>
        <v>1</v>
      </c>
    </row>
    <row r="56" spans="1:27" s="5" customFormat="1" ht="15" x14ac:dyDescent="0.2">
      <c r="A56" s="54" t="s">
        <v>66</v>
      </c>
      <c r="B56" s="21"/>
      <c r="C56" s="21"/>
      <c r="D56" s="21"/>
      <c r="E56" s="21"/>
      <c r="F56" s="21"/>
      <c r="G56" s="21"/>
      <c r="H56" s="21"/>
      <c r="I56" s="23"/>
      <c r="J56" s="21"/>
      <c r="K56" s="21"/>
      <c r="L56" s="21"/>
      <c r="M56" s="21"/>
      <c r="N56" s="21"/>
      <c r="O56" s="21"/>
      <c r="P56" s="23">
        <f t="shared" si="6"/>
        <v>0</v>
      </c>
      <c r="Q56" s="21"/>
      <c r="R56" s="21"/>
      <c r="S56" s="21"/>
      <c r="T56" s="21"/>
      <c r="U56" s="21"/>
      <c r="V56" s="21"/>
      <c r="W56" s="21"/>
      <c r="X56" s="21"/>
      <c r="Y56" s="23">
        <f t="shared" si="10"/>
        <v>0</v>
      </c>
      <c r="Z56" s="23"/>
      <c r="AA56" s="32"/>
    </row>
    <row r="57" spans="1:27" hidden="1" x14ac:dyDescent="0.2">
      <c r="A57" s="227" t="s">
        <v>67</v>
      </c>
      <c r="B57" s="215"/>
      <c r="C57" s="14"/>
      <c r="D57" s="14"/>
      <c r="E57" s="23"/>
      <c r="F57" s="14"/>
      <c r="G57" s="14"/>
      <c r="H57" s="14"/>
      <c r="I57" s="214">
        <f t="shared" si="9"/>
        <v>0</v>
      </c>
      <c r="J57" s="215"/>
      <c r="K57" s="214"/>
      <c r="L57" s="14"/>
      <c r="M57" s="14"/>
      <c r="N57" s="14"/>
      <c r="O57" s="14"/>
      <c r="P57" s="23">
        <f t="shared" si="6"/>
        <v>0</v>
      </c>
      <c r="Q57" s="14"/>
      <c r="R57" s="14"/>
      <c r="S57" s="14"/>
      <c r="T57" s="14"/>
      <c r="U57" s="14"/>
      <c r="V57" s="14"/>
      <c r="W57" s="14"/>
      <c r="X57" s="14"/>
      <c r="Y57" s="23">
        <f t="shared" si="10"/>
        <v>0</v>
      </c>
      <c r="Z57" s="214">
        <f t="shared" si="11"/>
        <v>0</v>
      </c>
      <c r="AA57" s="225" t="e">
        <f t="shared" si="8"/>
        <v>#DIV/0!</v>
      </c>
    </row>
    <row r="58" spans="1:27" hidden="1" x14ac:dyDescent="0.2">
      <c r="A58" s="227" t="s">
        <v>68</v>
      </c>
      <c r="B58" s="215"/>
      <c r="C58" s="14"/>
      <c r="D58" s="14"/>
      <c r="E58" s="23"/>
      <c r="F58" s="14"/>
      <c r="G58" s="14"/>
      <c r="H58" s="14"/>
      <c r="I58" s="214">
        <f t="shared" si="9"/>
        <v>0</v>
      </c>
      <c r="J58" s="215"/>
      <c r="K58" s="214"/>
      <c r="L58" s="14"/>
      <c r="M58" s="14"/>
      <c r="N58" s="14"/>
      <c r="O58" s="14"/>
      <c r="P58" s="23">
        <f t="shared" si="6"/>
        <v>0</v>
      </c>
      <c r="Q58" s="14"/>
      <c r="R58" s="14"/>
      <c r="S58" s="14"/>
      <c r="T58" s="14"/>
      <c r="U58" s="14"/>
      <c r="V58" s="14"/>
      <c r="W58" s="14"/>
      <c r="X58" s="14"/>
      <c r="Y58" s="23">
        <f t="shared" si="10"/>
        <v>0</v>
      </c>
      <c r="Z58" s="214">
        <f t="shared" si="11"/>
        <v>0</v>
      </c>
      <c r="AA58" s="225" t="e">
        <f t="shared" si="8"/>
        <v>#DIV/0!</v>
      </c>
    </row>
    <row r="59" spans="1:27" ht="25.5" x14ac:dyDescent="0.2">
      <c r="A59" s="55" t="s">
        <v>110</v>
      </c>
      <c r="B59" s="14">
        <v>156000000</v>
      </c>
      <c r="C59" s="14"/>
      <c r="D59" s="14"/>
      <c r="E59" s="23"/>
      <c r="F59" s="14"/>
      <c r="G59" s="14"/>
      <c r="H59" s="14"/>
      <c r="I59" s="23">
        <f t="shared" si="9"/>
        <v>156000000</v>
      </c>
      <c r="J59" s="14"/>
      <c r="K59" s="23">
        <v>156000000</v>
      </c>
      <c r="L59" s="14"/>
      <c r="M59" s="14"/>
      <c r="N59" s="14"/>
      <c r="O59" s="14"/>
      <c r="P59" s="23">
        <f t="shared" si="6"/>
        <v>156000000</v>
      </c>
      <c r="Q59" s="14"/>
      <c r="R59" s="14"/>
      <c r="S59" s="14"/>
      <c r="T59" s="14"/>
      <c r="U59" s="14"/>
      <c r="V59" s="14"/>
      <c r="W59" s="14"/>
      <c r="X59" s="14"/>
      <c r="Y59" s="23">
        <f t="shared" si="10"/>
        <v>0</v>
      </c>
      <c r="Z59" s="23">
        <f t="shared" si="11"/>
        <v>156000000</v>
      </c>
      <c r="AA59" s="32">
        <f t="shared" si="8"/>
        <v>1</v>
      </c>
    </row>
    <row r="60" spans="1:27" hidden="1" x14ac:dyDescent="0.2">
      <c r="A60" s="227" t="s">
        <v>117</v>
      </c>
      <c r="B60" s="215"/>
      <c r="C60" s="14"/>
      <c r="D60" s="14"/>
      <c r="E60" s="23"/>
      <c r="F60" s="14"/>
      <c r="G60" s="14"/>
      <c r="H60" s="14"/>
      <c r="I60" s="214">
        <f t="shared" si="9"/>
        <v>0</v>
      </c>
      <c r="J60" s="215"/>
      <c r="K60" s="214"/>
      <c r="L60" s="14"/>
      <c r="M60" s="14"/>
      <c r="N60" s="14"/>
      <c r="O60" s="14"/>
      <c r="P60" s="23">
        <f t="shared" si="6"/>
        <v>0</v>
      </c>
      <c r="Q60" s="14"/>
      <c r="R60" s="14"/>
      <c r="S60" s="14"/>
      <c r="T60" s="14"/>
      <c r="U60" s="14"/>
      <c r="V60" s="14"/>
      <c r="W60" s="14"/>
      <c r="X60" s="14"/>
      <c r="Y60" s="23">
        <f t="shared" si="10"/>
        <v>0</v>
      </c>
      <c r="Z60" s="214">
        <f t="shared" si="11"/>
        <v>0</v>
      </c>
      <c r="AA60" s="225" t="e">
        <f t="shared" si="8"/>
        <v>#DIV/0!</v>
      </c>
    </row>
    <row r="61" spans="1:27" hidden="1" x14ac:dyDescent="0.2">
      <c r="A61" s="227" t="s">
        <v>358</v>
      </c>
      <c r="B61" s="215"/>
      <c r="C61" s="14"/>
      <c r="D61" s="14"/>
      <c r="E61" s="23"/>
      <c r="F61" s="14"/>
      <c r="G61" s="14"/>
      <c r="H61" s="14"/>
      <c r="I61" s="214">
        <f t="shared" si="9"/>
        <v>0</v>
      </c>
      <c r="J61" s="215"/>
      <c r="K61" s="214"/>
      <c r="L61" s="14"/>
      <c r="M61" s="14"/>
      <c r="N61" s="14"/>
      <c r="O61" s="14"/>
      <c r="P61" s="23">
        <f t="shared" si="6"/>
        <v>0</v>
      </c>
      <c r="Q61" s="14"/>
      <c r="R61" s="14"/>
      <c r="S61" s="14"/>
      <c r="T61" s="14"/>
      <c r="U61" s="14"/>
      <c r="V61" s="14"/>
      <c r="W61" s="14"/>
      <c r="X61" s="14"/>
      <c r="Y61" s="23">
        <f t="shared" si="10"/>
        <v>0</v>
      </c>
      <c r="Z61" s="214">
        <f t="shared" si="11"/>
        <v>0</v>
      </c>
      <c r="AA61" s="225" t="e">
        <f t="shared" si="8"/>
        <v>#DIV/0!</v>
      </c>
    </row>
    <row r="62" spans="1:27" ht="25.5" x14ac:dyDescent="0.2">
      <c r="A62" s="55" t="s">
        <v>359</v>
      </c>
      <c r="B62" s="14">
        <v>55637862</v>
      </c>
      <c r="C62" s="14"/>
      <c r="D62" s="14"/>
      <c r="E62" s="23"/>
      <c r="F62" s="14"/>
      <c r="G62" s="14"/>
      <c r="H62" s="14"/>
      <c r="I62" s="23">
        <f t="shared" si="9"/>
        <v>55637862</v>
      </c>
      <c r="J62" s="14"/>
      <c r="K62" s="23">
        <v>55637862</v>
      </c>
      <c r="L62" s="14"/>
      <c r="M62" s="14"/>
      <c r="N62" s="14"/>
      <c r="O62" s="14"/>
      <c r="P62" s="23">
        <f t="shared" si="6"/>
        <v>55637862</v>
      </c>
      <c r="Q62" s="14"/>
      <c r="R62" s="14"/>
      <c r="S62" s="14"/>
      <c r="T62" s="14"/>
      <c r="U62" s="14"/>
      <c r="V62" s="14"/>
      <c r="W62" s="14"/>
      <c r="X62" s="14"/>
      <c r="Y62" s="23">
        <f t="shared" si="10"/>
        <v>0</v>
      </c>
      <c r="Z62" s="23">
        <f t="shared" si="11"/>
        <v>55637862</v>
      </c>
      <c r="AA62" s="32">
        <f t="shared" si="8"/>
        <v>1</v>
      </c>
    </row>
    <row r="63" spans="1:27" x14ac:dyDescent="0.2">
      <c r="A63" s="55" t="s">
        <v>267</v>
      </c>
      <c r="B63" s="14">
        <v>45401100.68</v>
      </c>
      <c r="C63" s="14"/>
      <c r="D63" s="14"/>
      <c r="E63" s="23"/>
      <c r="F63" s="14"/>
      <c r="G63" s="14"/>
      <c r="H63" s="14"/>
      <c r="I63" s="23">
        <f t="shared" si="9"/>
        <v>45401100.68</v>
      </c>
      <c r="J63" s="14"/>
      <c r="K63" s="23">
        <v>45401100.68</v>
      </c>
      <c r="L63" s="14"/>
      <c r="M63" s="14"/>
      <c r="N63" s="14"/>
      <c r="O63" s="14"/>
      <c r="P63" s="23">
        <f t="shared" si="6"/>
        <v>45401100.68</v>
      </c>
      <c r="Q63" s="14"/>
      <c r="R63" s="14"/>
      <c r="S63" s="14"/>
      <c r="T63" s="14"/>
      <c r="U63" s="14"/>
      <c r="V63" s="14"/>
      <c r="W63" s="14"/>
      <c r="X63" s="14"/>
      <c r="Y63" s="23">
        <f t="shared" si="10"/>
        <v>0</v>
      </c>
      <c r="Z63" s="23">
        <f t="shared" si="11"/>
        <v>45401100.68</v>
      </c>
      <c r="AA63" s="32">
        <f t="shared" si="8"/>
        <v>1</v>
      </c>
    </row>
    <row r="64" spans="1:27" s="5" customFormat="1" ht="15" x14ac:dyDescent="0.2">
      <c r="A64" s="54" t="s">
        <v>360</v>
      </c>
      <c r="B64" s="21"/>
      <c r="C64" s="21"/>
      <c r="D64" s="21"/>
      <c r="E64" s="21"/>
      <c r="F64" s="21"/>
      <c r="G64" s="21"/>
      <c r="H64" s="21"/>
      <c r="I64" s="23"/>
      <c r="J64" s="21"/>
      <c r="K64" s="21"/>
      <c r="L64" s="21"/>
      <c r="M64" s="21"/>
      <c r="N64" s="21"/>
      <c r="O64" s="21"/>
      <c r="P64" s="23">
        <f t="shared" si="6"/>
        <v>0</v>
      </c>
      <c r="Q64" s="21"/>
      <c r="R64" s="21"/>
      <c r="S64" s="21"/>
      <c r="T64" s="21"/>
      <c r="U64" s="21"/>
      <c r="V64" s="21"/>
      <c r="W64" s="21"/>
      <c r="X64" s="21"/>
      <c r="Y64" s="23">
        <f t="shared" si="10"/>
        <v>0</v>
      </c>
      <c r="Z64" s="23"/>
      <c r="AA64" s="32"/>
    </row>
    <row r="65" spans="1:27" ht="25.5" x14ac:dyDescent="0.2">
      <c r="A65" s="55" t="s">
        <v>1132</v>
      </c>
      <c r="B65" s="14">
        <v>52714186.079999998</v>
      </c>
      <c r="C65" s="14"/>
      <c r="D65" s="14"/>
      <c r="E65" s="23"/>
      <c r="F65" s="14">
        <v>1253.08</v>
      </c>
      <c r="G65" s="14"/>
      <c r="H65" s="14"/>
      <c r="I65" s="23">
        <f t="shared" si="9"/>
        <v>52712933</v>
      </c>
      <c r="J65" s="14"/>
      <c r="K65" s="9">
        <v>52714186.079999998</v>
      </c>
      <c r="L65" s="14"/>
      <c r="M65" s="14"/>
      <c r="N65" s="14"/>
      <c r="O65" s="14"/>
      <c r="P65" s="23">
        <f t="shared" si="6"/>
        <v>52714186.079999998</v>
      </c>
      <c r="Q65" s="14">
        <v>-1253.08</v>
      </c>
      <c r="R65" s="14"/>
      <c r="S65" s="14"/>
      <c r="T65" s="14"/>
      <c r="U65" s="14"/>
      <c r="V65" s="14"/>
      <c r="W65" s="14"/>
      <c r="X65" s="14"/>
      <c r="Y65" s="23">
        <f t="shared" si="10"/>
        <v>-1253.08</v>
      </c>
      <c r="Z65" s="23">
        <f t="shared" si="11"/>
        <v>52712933</v>
      </c>
      <c r="AA65" s="32">
        <f t="shared" si="8"/>
        <v>1</v>
      </c>
    </row>
    <row r="66" spans="1:27" s="5" customFormat="1" ht="25.5" x14ac:dyDescent="0.2">
      <c r="A66" s="54" t="s">
        <v>361</v>
      </c>
      <c r="B66" s="6"/>
      <c r="C66" s="6"/>
      <c r="D66" s="6"/>
      <c r="E66" s="21"/>
      <c r="F66" s="21"/>
      <c r="G66" s="21"/>
      <c r="H66" s="21"/>
      <c r="I66" s="23"/>
      <c r="J66" s="21"/>
      <c r="K66" s="21"/>
      <c r="L66" s="21"/>
      <c r="M66" s="21"/>
      <c r="N66" s="21"/>
      <c r="O66" s="21"/>
      <c r="P66" s="23">
        <f t="shared" si="6"/>
        <v>0</v>
      </c>
      <c r="Q66" s="21"/>
      <c r="R66" s="21"/>
      <c r="S66" s="21"/>
      <c r="T66" s="21"/>
      <c r="U66" s="21"/>
      <c r="V66" s="21"/>
      <c r="W66" s="21"/>
      <c r="X66" s="21"/>
      <c r="Y66" s="23">
        <f t="shared" si="10"/>
        <v>0</v>
      </c>
      <c r="Z66" s="23"/>
      <c r="AA66" s="32"/>
    </row>
    <row r="67" spans="1:27" ht="25.5" x14ac:dyDescent="0.2">
      <c r="A67" s="55" t="s">
        <v>361</v>
      </c>
      <c r="B67" s="14">
        <v>14399790.030000001</v>
      </c>
      <c r="C67" s="14"/>
      <c r="D67" s="14"/>
      <c r="E67" s="23"/>
      <c r="F67" s="14">
        <v>3105.03</v>
      </c>
      <c r="G67" s="14"/>
      <c r="H67" s="14"/>
      <c r="I67" s="23">
        <f t="shared" si="9"/>
        <v>14396685.000000002</v>
      </c>
      <c r="J67" s="14"/>
      <c r="K67" s="9">
        <v>14399790.030000001</v>
      </c>
      <c r="L67" s="14"/>
      <c r="M67" s="14"/>
      <c r="N67" s="14"/>
      <c r="O67" s="14"/>
      <c r="P67" s="23">
        <f t="shared" si="6"/>
        <v>14399790.030000001</v>
      </c>
      <c r="Q67" s="14">
        <v>-3105.03</v>
      </c>
      <c r="R67" s="14"/>
      <c r="S67" s="14"/>
      <c r="T67" s="14"/>
      <c r="U67" s="14"/>
      <c r="V67" s="14"/>
      <c r="W67" s="14"/>
      <c r="X67" s="14"/>
      <c r="Y67" s="23">
        <f t="shared" si="10"/>
        <v>-3105.03</v>
      </c>
      <c r="Z67" s="23">
        <f t="shared" si="11"/>
        <v>14396685.000000002</v>
      </c>
      <c r="AA67" s="32">
        <f t="shared" si="8"/>
        <v>1</v>
      </c>
    </row>
    <row r="68" spans="1:27" s="5" customFormat="1" ht="15" x14ac:dyDescent="0.2">
      <c r="A68" s="54" t="s">
        <v>69</v>
      </c>
      <c r="B68" s="21"/>
      <c r="C68" s="21"/>
      <c r="D68" s="21"/>
      <c r="E68" s="21"/>
      <c r="F68" s="21"/>
      <c r="G68" s="21"/>
      <c r="H68" s="21"/>
      <c r="I68" s="23"/>
      <c r="J68" s="21"/>
      <c r="K68" s="21"/>
      <c r="L68" s="21"/>
      <c r="M68" s="21"/>
      <c r="N68" s="21"/>
      <c r="O68" s="21"/>
      <c r="P68" s="23">
        <f t="shared" si="6"/>
        <v>0</v>
      </c>
      <c r="Q68" s="21"/>
      <c r="R68" s="21"/>
      <c r="S68" s="21"/>
      <c r="T68" s="21"/>
      <c r="U68" s="21"/>
      <c r="V68" s="21"/>
      <c r="W68" s="21"/>
      <c r="X68" s="21"/>
      <c r="Y68" s="23">
        <f t="shared" si="10"/>
        <v>0</v>
      </c>
      <c r="Z68" s="23"/>
      <c r="AA68" s="32"/>
    </row>
    <row r="69" spans="1:27" s="5" customFormat="1" ht="15" x14ac:dyDescent="0.2">
      <c r="A69" s="55" t="s">
        <v>70</v>
      </c>
      <c r="B69" s="14">
        <v>244106485.5</v>
      </c>
      <c r="C69" s="14"/>
      <c r="D69" s="14"/>
      <c r="E69" s="23"/>
      <c r="F69" s="14">
        <v>209499980</v>
      </c>
      <c r="G69" s="14"/>
      <c r="H69" s="14"/>
      <c r="I69" s="23">
        <f t="shared" si="9"/>
        <v>34606505.5</v>
      </c>
      <c r="J69" s="14"/>
      <c r="K69" s="9">
        <v>244106485.5</v>
      </c>
      <c r="L69" s="14"/>
      <c r="M69" s="14"/>
      <c r="N69" s="14"/>
      <c r="O69" s="14"/>
      <c r="P69" s="23">
        <f t="shared" si="6"/>
        <v>244106485.5</v>
      </c>
      <c r="Q69" s="14">
        <v>-209499980</v>
      </c>
      <c r="R69" s="14"/>
      <c r="S69" s="14"/>
      <c r="T69" s="14"/>
      <c r="U69" s="14"/>
      <c r="V69" s="14"/>
      <c r="W69" s="14"/>
      <c r="X69" s="14"/>
      <c r="Y69" s="23">
        <f t="shared" si="10"/>
        <v>-209499980</v>
      </c>
      <c r="Z69" s="23">
        <f t="shared" si="11"/>
        <v>34606505.5</v>
      </c>
      <c r="AA69" s="32">
        <f t="shared" si="8"/>
        <v>1</v>
      </c>
    </row>
    <row r="70" spans="1:27" s="5" customFormat="1" ht="15" hidden="1" x14ac:dyDescent="0.2">
      <c r="A70" s="226" t="s">
        <v>271</v>
      </c>
      <c r="B70" s="218"/>
      <c r="C70" s="6"/>
      <c r="D70" s="6"/>
      <c r="E70" s="6"/>
      <c r="F70" s="6"/>
      <c r="G70" s="6"/>
      <c r="H70" s="6"/>
      <c r="I70" s="214">
        <f t="shared" si="9"/>
        <v>0</v>
      </c>
      <c r="J70" s="218"/>
      <c r="K70" s="218"/>
      <c r="L70" s="6"/>
      <c r="M70" s="6"/>
      <c r="N70" s="6"/>
      <c r="O70" s="6"/>
      <c r="P70" s="23">
        <f t="shared" si="6"/>
        <v>0</v>
      </c>
      <c r="Q70" s="6"/>
      <c r="R70" s="6"/>
      <c r="S70" s="6"/>
      <c r="T70" s="6"/>
      <c r="U70" s="6"/>
      <c r="V70" s="6"/>
      <c r="W70" s="6"/>
      <c r="X70" s="6"/>
      <c r="Y70" s="23">
        <f t="shared" si="10"/>
        <v>0</v>
      </c>
      <c r="Z70" s="214">
        <f t="shared" si="11"/>
        <v>0</v>
      </c>
      <c r="AA70" s="225" t="e">
        <f t="shared" si="8"/>
        <v>#DIV/0!</v>
      </c>
    </row>
    <row r="71" spans="1:27" s="5" customFormat="1" ht="15" hidden="1" x14ac:dyDescent="0.2">
      <c r="A71" s="227" t="s">
        <v>272</v>
      </c>
      <c r="B71" s="215"/>
      <c r="C71" s="14"/>
      <c r="D71" s="14"/>
      <c r="E71" s="23"/>
      <c r="F71" s="14"/>
      <c r="G71" s="14"/>
      <c r="H71" s="14"/>
      <c r="I71" s="214">
        <f t="shared" si="9"/>
        <v>0</v>
      </c>
      <c r="J71" s="215"/>
      <c r="K71" s="229"/>
      <c r="L71" s="14"/>
      <c r="M71" s="14"/>
      <c r="N71" s="14"/>
      <c r="O71" s="14"/>
      <c r="P71" s="23">
        <f t="shared" si="6"/>
        <v>0</v>
      </c>
      <c r="Q71" s="14"/>
      <c r="R71" s="14"/>
      <c r="S71" s="14"/>
      <c r="T71" s="14"/>
      <c r="U71" s="14"/>
      <c r="V71" s="14"/>
      <c r="W71" s="14"/>
      <c r="X71" s="14"/>
      <c r="Y71" s="23">
        <f t="shared" si="10"/>
        <v>0</v>
      </c>
      <c r="Z71" s="214">
        <f t="shared" si="11"/>
        <v>0</v>
      </c>
      <c r="AA71" s="225" t="e">
        <f t="shared" si="8"/>
        <v>#DIV/0!</v>
      </c>
    </row>
    <row r="72" spans="1:27" s="5" customFormat="1" ht="15" hidden="1" x14ac:dyDescent="0.2">
      <c r="A72" s="226" t="s">
        <v>71</v>
      </c>
      <c r="B72" s="218"/>
      <c r="C72" s="6"/>
      <c r="D72" s="6"/>
      <c r="E72" s="6"/>
      <c r="F72" s="6"/>
      <c r="G72" s="6"/>
      <c r="H72" s="6"/>
      <c r="I72" s="214">
        <f t="shared" si="9"/>
        <v>0</v>
      </c>
      <c r="J72" s="218"/>
      <c r="K72" s="218"/>
      <c r="L72" s="6"/>
      <c r="M72" s="6"/>
      <c r="N72" s="6"/>
      <c r="O72" s="6"/>
      <c r="P72" s="23">
        <f t="shared" si="6"/>
        <v>0</v>
      </c>
      <c r="Q72" s="6"/>
      <c r="R72" s="6"/>
      <c r="S72" s="6"/>
      <c r="T72" s="6"/>
      <c r="U72" s="6"/>
      <c r="V72" s="6"/>
      <c r="W72" s="6"/>
      <c r="X72" s="6"/>
      <c r="Y72" s="23">
        <f t="shared" si="10"/>
        <v>0</v>
      </c>
      <c r="Z72" s="214">
        <f t="shared" si="11"/>
        <v>0</v>
      </c>
      <c r="AA72" s="225" t="e">
        <f t="shared" ref="AA72:AA118" si="12">+Z72/I72</f>
        <v>#DIV/0!</v>
      </c>
    </row>
    <row r="73" spans="1:27" hidden="1" x14ac:dyDescent="0.2">
      <c r="A73" s="227" t="s">
        <v>72</v>
      </c>
      <c r="B73" s="215"/>
      <c r="C73" s="14"/>
      <c r="D73" s="14"/>
      <c r="E73" s="23"/>
      <c r="F73" s="14"/>
      <c r="G73" s="14"/>
      <c r="H73" s="14"/>
      <c r="I73" s="214">
        <f t="shared" ref="I73:I118" si="13">+B73+C73-D73+E73-F73</f>
        <v>0</v>
      </c>
      <c r="J73" s="215"/>
      <c r="K73" s="229"/>
      <c r="L73" s="14"/>
      <c r="M73" s="14"/>
      <c r="N73" s="14"/>
      <c r="O73" s="14"/>
      <c r="P73" s="23">
        <f t="shared" si="6"/>
        <v>0</v>
      </c>
      <c r="Q73" s="14"/>
      <c r="R73" s="14"/>
      <c r="S73" s="14"/>
      <c r="T73" s="14"/>
      <c r="U73" s="14"/>
      <c r="V73" s="14"/>
      <c r="W73" s="14"/>
      <c r="X73" s="14"/>
      <c r="Y73" s="23">
        <f t="shared" ref="Y73:Y118" si="14">SUM(Q73:X73)</f>
        <v>0</v>
      </c>
      <c r="Z73" s="214">
        <f t="shared" ref="Z73:Z118" si="15">+P73+Y73</f>
        <v>0</v>
      </c>
      <c r="AA73" s="225" t="e">
        <f t="shared" si="12"/>
        <v>#DIV/0!</v>
      </c>
    </row>
    <row r="74" spans="1:27" s="5" customFormat="1" ht="15" x14ac:dyDescent="0.2">
      <c r="A74" s="210" t="s">
        <v>1133</v>
      </c>
      <c r="B74" s="6"/>
      <c r="C74" s="6"/>
      <c r="D74" s="6"/>
      <c r="E74" s="21"/>
      <c r="F74" s="21"/>
      <c r="G74" s="21"/>
      <c r="H74" s="21"/>
      <c r="I74" s="23"/>
      <c r="J74" s="21"/>
      <c r="K74" s="21"/>
      <c r="L74" s="21"/>
      <c r="M74" s="21"/>
      <c r="N74" s="21"/>
      <c r="O74" s="21"/>
      <c r="P74" s="23">
        <f t="shared" si="6"/>
        <v>0</v>
      </c>
      <c r="Q74" s="21"/>
      <c r="R74" s="21"/>
      <c r="S74" s="21"/>
      <c r="T74" s="21"/>
      <c r="U74" s="21"/>
      <c r="V74" s="21"/>
      <c r="W74" s="21"/>
      <c r="X74" s="21"/>
      <c r="Y74" s="23">
        <f t="shared" si="14"/>
        <v>0</v>
      </c>
      <c r="Z74" s="23"/>
      <c r="AA74" s="32"/>
    </row>
    <row r="75" spans="1:27" x14ac:dyDescent="0.2">
      <c r="A75" s="211" t="s">
        <v>1133</v>
      </c>
      <c r="B75" s="14">
        <v>4566666</v>
      </c>
      <c r="C75" s="14"/>
      <c r="D75" s="14"/>
      <c r="E75" s="23"/>
      <c r="F75" s="14"/>
      <c r="G75" s="14"/>
      <c r="H75" s="14"/>
      <c r="I75" s="23">
        <f t="shared" si="13"/>
        <v>4566666</v>
      </c>
      <c r="J75" s="14"/>
      <c r="K75" s="9">
        <v>4566666</v>
      </c>
      <c r="L75" s="14"/>
      <c r="M75" s="14"/>
      <c r="N75" s="14"/>
      <c r="O75" s="14"/>
      <c r="P75" s="23">
        <f t="shared" si="6"/>
        <v>4566666</v>
      </c>
      <c r="Q75" s="14"/>
      <c r="R75" s="14"/>
      <c r="S75" s="14"/>
      <c r="T75" s="14"/>
      <c r="U75" s="14"/>
      <c r="V75" s="14"/>
      <c r="W75" s="14"/>
      <c r="X75" s="14"/>
      <c r="Y75" s="23">
        <f t="shared" si="14"/>
        <v>0</v>
      </c>
      <c r="Z75" s="23">
        <f t="shared" si="15"/>
        <v>4566666</v>
      </c>
      <c r="AA75" s="32">
        <f t="shared" si="12"/>
        <v>1</v>
      </c>
    </row>
    <row r="76" spans="1:27" s="5" customFormat="1" ht="24" x14ac:dyDescent="0.2">
      <c r="A76" s="210" t="s">
        <v>1134</v>
      </c>
      <c r="B76" s="21"/>
      <c r="C76" s="21"/>
      <c r="D76" s="21"/>
      <c r="E76" s="21"/>
      <c r="F76" s="21"/>
      <c r="G76" s="21"/>
      <c r="H76" s="21"/>
      <c r="I76" s="23"/>
      <c r="J76" s="21"/>
      <c r="K76" s="21"/>
      <c r="L76" s="21"/>
      <c r="M76" s="21"/>
      <c r="N76" s="21"/>
      <c r="O76" s="21"/>
      <c r="P76" s="23">
        <f t="shared" si="6"/>
        <v>0</v>
      </c>
      <c r="Q76" s="21"/>
      <c r="R76" s="21"/>
      <c r="S76" s="21"/>
      <c r="T76" s="21"/>
      <c r="U76" s="21"/>
      <c r="V76" s="21"/>
      <c r="W76" s="21"/>
      <c r="X76" s="21"/>
      <c r="Y76" s="23">
        <f t="shared" si="14"/>
        <v>0</v>
      </c>
      <c r="Z76" s="23"/>
      <c r="AA76" s="32"/>
    </row>
    <row r="77" spans="1:27" ht="24" x14ac:dyDescent="0.2">
      <c r="A77" s="211" t="s">
        <v>1134</v>
      </c>
      <c r="B77" s="14">
        <v>70534.259999999995</v>
      </c>
      <c r="C77" s="14"/>
      <c r="D77" s="14"/>
      <c r="E77" s="23"/>
      <c r="F77" s="14">
        <v>70534.259999999995</v>
      </c>
      <c r="G77" s="14"/>
      <c r="H77" s="14"/>
      <c r="I77" s="23">
        <f t="shared" si="13"/>
        <v>0</v>
      </c>
      <c r="J77" s="14"/>
      <c r="K77" s="9">
        <v>70534.259999999995</v>
      </c>
      <c r="L77" s="14"/>
      <c r="M77" s="14"/>
      <c r="N77" s="14"/>
      <c r="O77" s="14"/>
      <c r="P77" s="23">
        <f t="shared" si="6"/>
        <v>70534.259999999995</v>
      </c>
      <c r="Q77" s="14">
        <v>-70534.259999999995</v>
      </c>
      <c r="R77" s="14"/>
      <c r="S77" s="14"/>
      <c r="T77" s="14"/>
      <c r="U77" s="14"/>
      <c r="V77" s="14"/>
      <c r="W77" s="14"/>
      <c r="X77" s="14"/>
      <c r="Y77" s="23">
        <f t="shared" si="14"/>
        <v>-70534.259999999995</v>
      </c>
      <c r="Z77" s="23">
        <f t="shared" si="15"/>
        <v>0</v>
      </c>
      <c r="AA77" s="32">
        <v>0</v>
      </c>
    </row>
    <row r="78" spans="1:27" s="5" customFormat="1" ht="15" x14ac:dyDescent="0.2">
      <c r="A78" s="54" t="s">
        <v>353</v>
      </c>
      <c r="B78" s="6"/>
      <c r="C78" s="6"/>
      <c r="D78" s="6"/>
      <c r="E78" s="6"/>
      <c r="F78" s="6"/>
      <c r="G78" s="6"/>
      <c r="H78" s="6"/>
      <c r="I78" s="23"/>
      <c r="J78" s="6"/>
      <c r="K78" s="6"/>
      <c r="L78" s="6"/>
      <c r="M78" s="6"/>
      <c r="N78" s="6"/>
      <c r="O78" s="6"/>
      <c r="P78" s="23">
        <f t="shared" si="6"/>
        <v>0</v>
      </c>
      <c r="Q78" s="6"/>
      <c r="R78" s="6"/>
      <c r="S78" s="6"/>
      <c r="T78" s="6"/>
      <c r="U78" s="6"/>
      <c r="V78" s="6"/>
      <c r="W78" s="6"/>
      <c r="X78" s="6"/>
      <c r="Y78" s="23">
        <f t="shared" si="14"/>
        <v>0</v>
      </c>
      <c r="Z78" s="23"/>
      <c r="AA78" s="32"/>
    </row>
    <row r="79" spans="1:27" x14ac:dyDescent="0.2">
      <c r="A79" s="208" t="s">
        <v>353</v>
      </c>
      <c r="B79" s="14">
        <v>483292373.25</v>
      </c>
      <c r="C79" s="14"/>
      <c r="D79" s="14"/>
      <c r="E79" s="23"/>
      <c r="F79" s="14">
        <v>43696.25</v>
      </c>
      <c r="G79" s="14"/>
      <c r="H79" s="14"/>
      <c r="I79" s="23">
        <f t="shared" si="13"/>
        <v>483248677</v>
      </c>
      <c r="J79" s="14"/>
      <c r="K79" s="22">
        <v>483292373.25</v>
      </c>
      <c r="L79" s="14"/>
      <c r="M79" s="14"/>
      <c r="N79" s="14"/>
      <c r="O79" s="14"/>
      <c r="P79" s="23">
        <f t="shared" si="6"/>
        <v>483292373.25</v>
      </c>
      <c r="Q79" s="14">
        <v>-43696.25</v>
      </c>
      <c r="R79" s="14"/>
      <c r="S79" s="14"/>
      <c r="T79" s="14"/>
      <c r="U79" s="14"/>
      <c r="V79" s="14"/>
      <c r="W79" s="14"/>
      <c r="X79" s="14"/>
      <c r="Y79" s="23">
        <f t="shared" si="14"/>
        <v>-43696.25</v>
      </c>
      <c r="Z79" s="23">
        <f t="shared" si="15"/>
        <v>483248677</v>
      </c>
      <c r="AA79" s="32">
        <f t="shared" si="12"/>
        <v>1</v>
      </c>
    </row>
    <row r="80" spans="1:27" s="5" customFormat="1" ht="24" x14ac:dyDescent="0.2">
      <c r="A80" s="210" t="s">
        <v>1135</v>
      </c>
      <c r="B80" s="21"/>
      <c r="C80" s="21"/>
      <c r="D80" s="21"/>
      <c r="E80" s="21"/>
      <c r="F80" s="21"/>
      <c r="G80" s="21"/>
      <c r="H80" s="21"/>
      <c r="I80" s="23"/>
      <c r="J80" s="21"/>
      <c r="K80" s="21"/>
      <c r="L80" s="21"/>
      <c r="M80" s="21"/>
      <c r="N80" s="21"/>
      <c r="O80" s="21"/>
      <c r="P80" s="23">
        <f t="shared" si="6"/>
        <v>0</v>
      </c>
      <c r="Q80" s="21"/>
      <c r="R80" s="21"/>
      <c r="S80" s="21"/>
      <c r="T80" s="21"/>
      <c r="U80" s="21"/>
      <c r="V80" s="21"/>
      <c r="W80" s="21"/>
      <c r="X80" s="21"/>
      <c r="Y80" s="23">
        <f t="shared" si="14"/>
        <v>0</v>
      </c>
      <c r="Z80" s="23"/>
      <c r="AA80" s="32"/>
    </row>
    <row r="81" spans="1:27" ht="24" x14ac:dyDescent="0.2">
      <c r="A81" s="212" t="s">
        <v>1135</v>
      </c>
      <c r="B81" s="14">
        <v>7562</v>
      </c>
      <c r="C81" s="14"/>
      <c r="D81" s="14"/>
      <c r="E81" s="23"/>
      <c r="F81" s="14">
        <v>7562</v>
      </c>
      <c r="G81" s="14"/>
      <c r="H81" s="14"/>
      <c r="I81" s="23">
        <f t="shared" si="13"/>
        <v>0</v>
      </c>
      <c r="J81" s="14"/>
      <c r="K81" s="14">
        <v>7562</v>
      </c>
      <c r="L81" s="14"/>
      <c r="M81" s="14"/>
      <c r="N81" s="14"/>
      <c r="O81" s="14"/>
      <c r="P81" s="23">
        <f t="shared" si="6"/>
        <v>7562</v>
      </c>
      <c r="Q81" s="14">
        <v>-7562</v>
      </c>
      <c r="R81" s="14"/>
      <c r="S81" s="14"/>
      <c r="T81" s="14"/>
      <c r="U81" s="14"/>
      <c r="V81" s="14"/>
      <c r="W81" s="14"/>
      <c r="X81" s="14"/>
      <c r="Y81" s="23">
        <f t="shared" si="14"/>
        <v>-7562</v>
      </c>
      <c r="Z81" s="23">
        <f t="shared" si="15"/>
        <v>0</v>
      </c>
      <c r="AA81" s="32">
        <v>0</v>
      </c>
    </row>
    <row r="82" spans="1:27" s="5" customFormat="1" ht="15" x14ac:dyDescent="0.2">
      <c r="A82" s="54" t="s">
        <v>1131</v>
      </c>
      <c r="B82" s="21"/>
      <c r="C82" s="21"/>
      <c r="D82" s="21"/>
      <c r="E82" s="21"/>
      <c r="F82" s="21"/>
      <c r="G82" s="21"/>
      <c r="H82" s="21"/>
      <c r="I82" s="23"/>
      <c r="J82" s="21"/>
      <c r="K82" s="21"/>
      <c r="L82" s="21"/>
      <c r="M82" s="21"/>
      <c r="N82" s="21"/>
      <c r="O82" s="21"/>
      <c r="P82" s="23">
        <f t="shared" si="6"/>
        <v>0</v>
      </c>
      <c r="Q82" s="21"/>
      <c r="R82" s="21"/>
      <c r="S82" s="21"/>
      <c r="T82" s="21"/>
      <c r="U82" s="21"/>
      <c r="V82" s="21"/>
      <c r="W82" s="21"/>
      <c r="X82" s="21"/>
      <c r="Y82" s="23">
        <f t="shared" si="14"/>
        <v>0</v>
      </c>
      <c r="Z82" s="23"/>
      <c r="AA82" s="32"/>
    </row>
    <row r="83" spans="1:27" x14ac:dyDescent="0.2">
      <c r="A83" s="55" t="s">
        <v>1131</v>
      </c>
      <c r="B83" s="14">
        <v>540704091</v>
      </c>
      <c r="C83" s="14"/>
      <c r="D83" s="14"/>
      <c r="E83" s="23"/>
      <c r="F83" s="14"/>
      <c r="G83" s="14"/>
      <c r="H83" s="14"/>
      <c r="I83" s="23">
        <f t="shared" si="13"/>
        <v>540704091</v>
      </c>
      <c r="J83" s="14"/>
      <c r="K83" s="22">
        <v>540704091</v>
      </c>
      <c r="L83" s="14"/>
      <c r="M83" s="14"/>
      <c r="N83" s="14"/>
      <c r="O83" s="14"/>
      <c r="P83" s="23">
        <f t="shared" si="6"/>
        <v>540704091</v>
      </c>
      <c r="Q83" s="14"/>
      <c r="R83" s="14"/>
      <c r="S83" s="14"/>
      <c r="T83" s="14"/>
      <c r="U83" s="14"/>
      <c r="V83" s="14"/>
      <c r="W83" s="14"/>
      <c r="X83" s="14"/>
      <c r="Y83" s="23">
        <f t="shared" si="14"/>
        <v>0</v>
      </c>
      <c r="Z83" s="23">
        <f t="shared" si="15"/>
        <v>540704091</v>
      </c>
      <c r="AA83" s="32">
        <f t="shared" si="12"/>
        <v>1</v>
      </c>
    </row>
    <row r="84" spans="1:27" s="5" customFormat="1" ht="15" x14ac:dyDescent="0.2">
      <c r="A84" s="54" t="s">
        <v>73</v>
      </c>
      <c r="B84" s="21"/>
      <c r="C84" s="21"/>
      <c r="D84" s="21"/>
      <c r="E84" s="21"/>
      <c r="F84" s="21"/>
      <c r="G84" s="21"/>
      <c r="H84" s="21"/>
      <c r="I84" s="23"/>
      <c r="J84" s="21"/>
      <c r="K84" s="21"/>
      <c r="L84" s="21"/>
      <c r="M84" s="21"/>
      <c r="N84" s="21"/>
      <c r="O84" s="21"/>
      <c r="P84" s="23">
        <f t="shared" si="6"/>
        <v>0</v>
      </c>
      <c r="Q84" s="21"/>
      <c r="R84" s="21"/>
      <c r="S84" s="21"/>
      <c r="T84" s="21"/>
      <c r="U84" s="21"/>
      <c r="V84" s="21"/>
      <c r="W84" s="21"/>
      <c r="X84" s="21"/>
      <c r="Y84" s="23">
        <f t="shared" si="14"/>
        <v>0</v>
      </c>
      <c r="Z84" s="23"/>
      <c r="AA84" s="32"/>
    </row>
    <row r="85" spans="1:27" x14ac:dyDescent="0.2">
      <c r="A85" s="55" t="s">
        <v>74</v>
      </c>
      <c r="B85" s="14">
        <v>3984116786</v>
      </c>
      <c r="C85" s="14"/>
      <c r="D85" s="14"/>
      <c r="E85" s="23"/>
      <c r="F85" s="14"/>
      <c r="G85" s="14"/>
      <c r="H85" s="14"/>
      <c r="I85" s="23">
        <f t="shared" si="13"/>
        <v>3984116786</v>
      </c>
      <c r="J85" s="14"/>
      <c r="K85" s="22">
        <v>3984116786</v>
      </c>
      <c r="L85" s="14"/>
      <c r="M85" s="14"/>
      <c r="N85" s="14"/>
      <c r="O85" s="14"/>
      <c r="P85" s="23">
        <f t="shared" si="6"/>
        <v>3984116786</v>
      </c>
      <c r="Q85" s="14"/>
      <c r="R85" s="14"/>
      <c r="S85" s="14"/>
      <c r="T85" s="14"/>
      <c r="U85" s="14"/>
      <c r="V85" s="14"/>
      <c r="W85" s="14"/>
      <c r="X85" s="14"/>
      <c r="Y85" s="23">
        <f t="shared" si="14"/>
        <v>0</v>
      </c>
      <c r="Z85" s="23">
        <f t="shared" si="15"/>
        <v>3984116786</v>
      </c>
      <c r="AA85" s="32">
        <f t="shared" si="12"/>
        <v>1</v>
      </c>
    </row>
    <row r="86" spans="1:27" s="5" customFormat="1" ht="15" x14ac:dyDescent="0.2">
      <c r="A86" s="54" t="s">
        <v>75</v>
      </c>
      <c r="B86" s="21"/>
      <c r="C86" s="21"/>
      <c r="D86" s="21"/>
      <c r="E86" s="21"/>
      <c r="F86" s="21"/>
      <c r="G86" s="21"/>
      <c r="H86" s="21"/>
      <c r="I86" s="23"/>
      <c r="J86" s="21"/>
      <c r="K86" s="21"/>
      <c r="L86" s="21"/>
      <c r="M86" s="21"/>
      <c r="N86" s="21"/>
      <c r="O86" s="21"/>
      <c r="P86" s="23">
        <f t="shared" si="6"/>
        <v>0</v>
      </c>
      <c r="Q86" s="21"/>
      <c r="R86" s="21"/>
      <c r="S86" s="21"/>
      <c r="T86" s="21"/>
      <c r="U86" s="21"/>
      <c r="V86" s="21"/>
      <c r="W86" s="21"/>
      <c r="X86" s="21"/>
      <c r="Y86" s="23">
        <f t="shared" si="14"/>
        <v>0</v>
      </c>
      <c r="Z86" s="23"/>
      <c r="AA86" s="32"/>
    </row>
    <row r="87" spans="1:27" s="5" customFormat="1" ht="25.5" hidden="1" x14ac:dyDescent="0.2">
      <c r="A87" s="227" t="s">
        <v>249</v>
      </c>
      <c r="B87" s="215"/>
      <c r="C87" s="14"/>
      <c r="D87" s="14"/>
      <c r="E87" s="23"/>
      <c r="F87" s="14"/>
      <c r="G87" s="14"/>
      <c r="H87" s="14"/>
      <c r="I87" s="214">
        <f t="shared" si="13"/>
        <v>0</v>
      </c>
      <c r="J87" s="215"/>
      <c r="K87" s="213"/>
      <c r="L87" s="14"/>
      <c r="M87" s="14"/>
      <c r="N87" s="14"/>
      <c r="O87" s="14"/>
      <c r="P87" s="23">
        <f t="shared" si="6"/>
        <v>0</v>
      </c>
      <c r="Q87" s="14"/>
      <c r="R87" s="14"/>
      <c r="S87" s="14"/>
      <c r="T87" s="14"/>
      <c r="U87" s="14"/>
      <c r="V87" s="14"/>
      <c r="W87" s="14"/>
      <c r="X87" s="14"/>
      <c r="Y87" s="23">
        <f t="shared" si="14"/>
        <v>0</v>
      </c>
      <c r="Z87" s="214">
        <f t="shared" si="15"/>
        <v>0</v>
      </c>
      <c r="AA87" s="225" t="e">
        <f t="shared" si="12"/>
        <v>#DIV/0!</v>
      </c>
    </row>
    <row r="88" spans="1:27" s="5" customFormat="1" ht="15" x14ac:dyDescent="0.2">
      <c r="A88" s="55" t="s">
        <v>116</v>
      </c>
      <c r="B88" s="14">
        <v>77725312.530000001</v>
      </c>
      <c r="C88" s="14"/>
      <c r="D88" s="14"/>
      <c r="E88" s="23"/>
      <c r="F88" s="14"/>
      <c r="G88" s="14"/>
      <c r="H88" s="14"/>
      <c r="I88" s="23">
        <f t="shared" si="13"/>
        <v>77725312.530000001</v>
      </c>
      <c r="J88" s="14"/>
      <c r="K88" s="22">
        <v>77725312.530000001</v>
      </c>
      <c r="L88" s="14"/>
      <c r="M88" s="14"/>
      <c r="N88" s="14"/>
      <c r="O88" s="14"/>
      <c r="P88" s="23">
        <f t="shared" ref="P88:P118" si="16">SUM(J88:O88)</f>
        <v>77725312.530000001</v>
      </c>
      <c r="Q88" s="14"/>
      <c r="R88" s="14"/>
      <c r="S88" s="14"/>
      <c r="T88" s="14"/>
      <c r="U88" s="14"/>
      <c r="V88" s="14"/>
      <c r="W88" s="14"/>
      <c r="X88" s="14"/>
      <c r="Y88" s="23">
        <f t="shared" si="14"/>
        <v>0</v>
      </c>
      <c r="Z88" s="23">
        <f t="shared" si="15"/>
        <v>77725312.530000001</v>
      </c>
      <c r="AA88" s="32">
        <f t="shared" si="12"/>
        <v>1</v>
      </c>
    </row>
    <row r="89" spans="1:27" s="5" customFormat="1" ht="15" hidden="1" x14ac:dyDescent="0.2">
      <c r="A89" s="226" t="s">
        <v>120</v>
      </c>
      <c r="B89" s="218"/>
      <c r="C89" s="6"/>
      <c r="D89" s="6"/>
      <c r="E89" s="6"/>
      <c r="F89" s="6"/>
      <c r="G89" s="6"/>
      <c r="H89" s="6"/>
      <c r="I89" s="214">
        <f t="shared" si="13"/>
        <v>0</v>
      </c>
      <c r="J89" s="218"/>
      <c r="K89" s="218"/>
      <c r="L89" s="6"/>
      <c r="M89" s="6"/>
      <c r="N89" s="6"/>
      <c r="O89" s="6"/>
      <c r="P89" s="23">
        <f t="shared" si="16"/>
        <v>0</v>
      </c>
      <c r="Q89" s="6"/>
      <c r="R89" s="6"/>
      <c r="S89" s="6"/>
      <c r="T89" s="6"/>
      <c r="U89" s="6"/>
      <c r="V89" s="6"/>
      <c r="W89" s="6"/>
      <c r="X89" s="6"/>
      <c r="Y89" s="23">
        <f t="shared" si="14"/>
        <v>0</v>
      </c>
      <c r="Z89" s="214">
        <f t="shared" si="15"/>
        <v>0</v>
      </c>
      <c r="AA89" s="225" t="e">
        <f t="shared" si="12"/>
        <v>#DIV/0!</v>
      </c>
    </row>
    <row r="90" spans="1:27" s="5" customFormat="1" ht="15" hidden="1" x14ac:dyDescent="0.2">
      <c r="A90" s="227" t="s">
        <v>250</v>
      </c>
      <c r="B90" s="215"/>
      <c r="C90" s="14"/>
      <c r="D90" s="14"/>
      <c r="E90" s="23"/>
      <c r="F90" s="14"/>
      <c r="G90" s="14"/>
      <c r="H90" s="14"/>
      <c r="I90" s="214">
        <f t="shared" si="13"/>
        <v>0</v>
      </c>
      <c r="J90" s="215"/>
      <c r="K90" s="213"/>
      <c r="L90" s="14"/>
      <c r="M90" s="14"/>
      <c r="N90" s="14"/>
      <c r="O90" s="14"/>
      <c r="P90" s="23">
        <f t="shared" si="16"/>
        <v>0</v>
      </c>
      <c r="Q90" s="14"/>
      <c r="R90" s="14"/>
      <c r="S90" s="14"/>
      <c r="T90" s="14"/>
      <c r="U90" s="14"/>
      <c r="V90" s="14"/>
      <c r="W90" s="14"/>
      <c r="X90" s="14"/>
      <c r="Y90" s="23">
        <f t="shared" si="14"/>
        <v>0</v>
      </c>
      <c r="Z90" s="214">
        <f t="shared" si="15"/>
        <v>0</v>
      </c>
      <c r="AA90" s="225" t="e">
        <f t="shared" si="12"/>
        <v>#DIV/0!</v>
      </c>
    </row>
    <row r="91" spans="1:27" s="5" customFormat="1" ht="15" x14ac:dyDescent="0.2">
      <c r="A91" s="54" t="s">
        <v>1154</v>
      </c>
      <c r="B91" s="6"/>
      <c r="C91" s="6"/>
      <c r="D91" s="6"/>
      <c r="E91" s="21"/>
      <c r="F91" s="6"/>
      <c r="G91" s="6"/>
      <c r="H91" s="6"/>
      <c r="I91" s="23"/>
      <c r="J91" s="6"/>
      <c r="K91" s="6"/>
      <c r="L91" s="6"/>
      <c r="M91" s="6"/>
      <c r="N91" s="6"/>
      <c r="O91" s="6"/>
      <c r="P91" s="23">
        <f t="shared" si="16"/>
        <v>0</v>
      </c>
      <c r="Q91" s="6"/>
      <c r="R91" s="6"/>
      <c r="S91" s="6"/>
      <c r="T91" s="6"/>
      <c r="U91" s="6"/>
      <c r="V91" s="6"/>
      <c r="W91" s="6"/>
      <c r="X91" s="6"/>
      <c r="Y91" s="23">
        <f t="shared" si="14"/>
        <v>0</v>
      </c>
      <c r="Z91" s="23"/>
      <c r="AA91" s="32"/>
    </row>
    <row r="92" spans="1:27" s="5" customFormat="1" ht="15" x14ac:dyDescent="0.2">
      <c r="A92" s="55" t="s">
        <v>1154</v>
      </c>
      <c r="B92" s="14">
        <v>10000000</v>
      </c>
      <c r="C92" s="14"/>
      <c r="D92" s="14"/>
      <c r="E92" s="23"/>
      <c r="F92" s="14"/>
      <c r="G92" s="14"/>
      <c r="H92" s="14"/>
      <c r="I92" s="23">
        <f t="shared" si="13"/>
        <v>10000000</v>
      </c>
      <c r="J92" s="14"/>
      <c r="K92" s="22">
        <v>10000000</v>
      </c>
      <c r="L92" s="14"/>
      <c r="M92" s="14"/>
      <c r="N92" s="14"/>
      <c r="O92" s="14"/>
      <c r="P92" s="23">
        <f t="shared" si="16"/>
        <v>10000000</v>
      </c>
      <c r="Q92" s="14"/>
      <c r="R92" s="14"/>
      <c r="S92" s="14"/>
      <c r="T92" s="14"/>
      <c r="U92" s="14"/>
      <c r="V92" s="14"/>
      <c r="W92" s="14"/>
      <c r="X92" s="14"/>
      <c r="Y92" s="23">
        <f t="shared" si="14"/>
        <v>0</v>
      </c>
      <c r="Z92" s="23">
        <f t="shared" si="15"/>
        <v>10000000</v>
      </c>
      <c r="AA92" s="32">
        <f t="shared" si="12"/>
        <v>1</v>
      </c>
    </row>
    <row r="93" spans="1:27" s="5" customFormat="1" ht="15" x14ac:dyDescent="0.2">
      <c r="A93" s="54" t="s">
        <v>1153</v>
      </c>
      <c r="B93" s="6"/>
      <c r="C93" s="6"/>
      <c r="D93" s="6"/>
      <c r="E93" s="6"/>
      <c r="F93" s="6"/>
      <c r="G93" s="6"/>
      <c r="H93" s="6"/>
      <c r="I93" s="23"/>
      <c r="J93" s="6"/>
      <c r="K93" s="6"/>
      <c r="L93" s="6"/>
      <c r="M93" s="6"/>
      <c r="N93" s="6"/>
      <c r="O93" s="6"/>
      <c r="P93" s="23">
        <f t="shared" si="16"/>
        <v>0</v>
      </c>
      <c r="Q93" s="6"/>
      <c r="R93" s="6"/>
      <c r="S93" s="6"/>
      <c r="T93" s="6"/>
      <c r="U93" s="6"/>
      <c r="V93" s="6"/>
      <c r="W93" s="6"/>
      <c r="X93" s="6"/>
      <c r="Y93" s="23">
        <f t="shared" si="14"/>
        <v>0</v>
      </c>
      <c r="Z93" s="23"/>
      <c r="AA93" s="32"/>
    </row>
    <row r="94" spans="1:27" s="5" customFormat="1" ht="15" x14ac:dyDescent="0.2">
      <c r="A94" s="55" t="s">
        <v>1153</v>
      </c>
      <c r="B94" s="14">
        <v>4140580</v>
      </c>
      <c r="C94" s="14"/>
      <c r="D94" s="14"/>
      <c r="E94" s="23"/>
      <c r="F94" s="14">
        <v>4140580</v>
      </c>
      <c r="G94" s="14"/>
      <c r="H94" s="14"/>
      <c r="I94" s="23">
        <f t="shared" si="13"/>
        <v>0</v>
      </c>
      <c r="J94" s="14"/>
      <c r="K94" s="22">
        <v>4140580</v>
      </c>
      <c r="L94" s="14"/>
      <c r="M94" s="14"/>
      <c r="N94" s="14"/>
      <c r="O94" s="14"/>
      <c r="P94" s="23">
        <f t="shared" si="16"/>
        <v>4140580</v>
      </c>
      <c r="Q94" s="14"/>
      <c r="R94" s="14"/>
      <c r="S94" s="14"/>
      <c r="T94" s="14"/>
      <c r="U94" s="14"/>
      <c r="V94" s="14">
        <v>-4140580</v>
      </c>
      <c r="W94" s="14"/>
      <c r="X94" s="14"/>
      <c r="Y94" s="23">
        <f t="shared" si="14"/>
        <v>-4140580</v>
      </c>
      <c r="Z94" s="23">
        <f t="shared" si="15"/>
        <v>0</v>
      </c>
      <c r="AA94" s="32">
        <v>0</v>
      </c>
    </row>
    <row r="95" spans="1:27" s="5" customFormat="1" ht="15" x14ac:dyDescent="0.2">
      <c r="A95" s="54" t="s">
        <v>1152</v>
      </c>
      <c r="B95" s="6"/>
      <c r="C95" s="6"/>
      <c r="D95" s="6"/>
      <c r="E95" s="6"/>
      <c r="F95" s="6"/>
      <c r="G95" s="6"/>
      <c r="H95" s="6"/>
      <c r="I95" s="23"/>
      <c r="J95" s="6"/>
      <c r="K95" s="6"/>
      <c r="L95" s="6"/>
      <c r="M95" s="6"/>
      <c r="N95" s="6"/>
      <c r="O95" s="6"/>
      <c r="P95" s="23">
        <f t="shared" si="16"/>
        <v>0</v>
      </c>
      <c r="Q95" s="6"/>
      <c r="R95" s="6"/>
      <c r="S95" s="6"/>
      <c r="T95" s="6"/>
      <c r="U95" s="6"/>
      <c r="V95" s="6"/>
      <c r="W95" s="6"/>
      <c r="X95" s="6"/>
      <c r="Y95" s="23">
        <f t="shared" si="14"/>
        <v>0</v>
      </c>
      <c r="Z95" s="23"/>
      <c r="AA95" s="32"/>
    </row>
    <row r="96" spans="1:27" s="5" customFormat="1" ht="15" x14ac:dyDescent="0.2">
      <c r="A96" s="55" t="s">
        <v>1152</v>
      </c>
      <c r="B96" s="14">
        <v>19477469.82</v>
      </c>
      <c r="C96" s="14"/>
      <c r="D96" s="14"/>
      <c r="E96" s="23"/>
      <c r="F96" s="14"/>
      <c r="G96" s="14"/>
      <c r="H96" s="14"/>
      <c r="I96" s="23">
        <f t="shared" si="13"/>
        <v>19477469.82</v>
      </c>
      <c r="J96" s="14"/>
      <c r="K96" s="14">
        <v>19477469.82</v>
      </c>
      <c r="L96" s="14"/>
      <c r="M96" s="14"/>
      <c r="N96" s="14"/>
      <c r="O96" s="14"/>
      <c r="P96" s="23">
        <f t="shared" si="16"/>
        <v>19477469.82</v>
      </c>
      <c r="Q96" s="14"/>
      <c r="R96" s="14"/>
      <c r="S96" s="14"/>
      <c r="T96" s="14"/>
      <c r="U96" s="14"/>
      <c r="V96" s="14"/>
      <c r="W96" s="14"/>
      <c r="X96" s="14"/>
      <c r="Y96" s="23">
        <f t="shared" si="14"/>
        <v>0</v>
      </c>
      <c r="Z96" s="23">
        <f t="shared" si="15"/>
        <v>19477469.82</v>
      </c>
      <c r="AA96" s="32">
        <f t="shared" si="12"/>
        <v>1</v>
      </c>
    </row>
    <row r="97" spans="1:27" s="5" customFormat="1" ht="15" x14ac:dyDescent="0.2">
      <c r="A97" s="54" t="s">
        <v>54</v>
      </c>
      <c r="B97" s="21"/>
      <c r="C97" s="21"/>
      <c r="D97" s="21"/>
      <c r="E97" s="21"/>
      <c r="F97" s="21"/>
      <c r="G97" s="21"/>
      <c r="H97" s="21"/>
      <c r="I97" s="23"/>
      <c r="J97" s="21"/>
      <c r="K97" s="21"/>
      <c r="L97" s="21"/>
      <c r="M97" s="21"/>
      <c r="N97" s="21"/>
      <c r="O97" s="21"/>
      <c r="P97" s="23">
        <f t="shared" si="16"/>
        <v>0</v>
      </c>
      <c r="Q97" s="21"/>
      <c r="R97" s="21"/>
      <c r="S97" s="21"/>
      <c r="T97" s="21"/>
      <c r="U97" s="21"/>
      <c r="V97" s="21"/>
      <c r="W97" s="21"/>
      <c r="X97" s="21"/>
      <c r="Y97" s="23">
        <f t="shared" si="14"/>
        <v>0</v>
      </c>
      <c r="Z97" s="23"/>
      <c r="AA97" s="32"/>
    </row>
    <row r="98" spans="1:27" ht="45" x14ac:dyDescent="0.2">
      <c r="A98" s="209" t="s">
        <v>1136</v>
      </c>
      <c r="B98" s="23">
        <v>2000000000</v>
      </c>
      <c r="C98" s="23"/>
      <c r="D98" s="23"/>
      <c r="E98" s="23"/>
      <c r="F98" s="23"/>
      <c r="G98" s="23"/>
      <c r="H98" s="23"/>
      <c r="I98" s="23">
        <f t="shared" si="13"/>
        <v>2000000000</v>
      </c>
      <c r="J98" s="23"/>
      <c r="K98" s="23">
        <v>2000000000</v>
      </c>
      <c r="L98" s="23"/>
      <c r="M98" s="23"/>
      <c r="N98" s="23"/>
      <c r="O98" s="23"/>
      <c r="P98" s="23">
        <f t="shared" si="16"/>
        <v>2000000000</v>
      </c>
      <c r="Q98" s="23"/>
      <c r="R98" s="23"/>
      <c r="S98" s="23"/>
      <c r="T98" s="23"/>
      <c r="U98" s="23"/>
      <c r="V98" s="23"/>
      <c r="W98" s="23"/>
      <c r="X98" s="23"/>
      <c r="Y98" s="23">
        <f t="shared" si="14"/>
        <v>0</v>
      </c>
      <c r="Z98" s="23">
        <f t="shared" si="15"/>
        <v>2000000000</v>
      </c>
      <c r="AA98" s="32">
        <f t="shared" si="12"/>
        <v>1</v>
      </c>
    </row>
    <row r="99" spans="1:27" ht="22.5" x14ac:dyDescent="0.2">
      <c r="A99" s="209" t="s">
        <v>1170</v>
      </c>
      <c r="B99" s="23">
        <v>2135782409.8</v>
      </c>
      <c r="C99" s="23"/>
      <c r="D99" s="23"/>
      <c r="E99" s="23"/>
      <c r="F99" s="23"/>
      <c r="G99" s="23"/>
      <c r="H99" s="23"/>
      <c r="I99" s="23">
        <f t="shared" si="13"/>
        <v>2135782409.8</v>
      </c>
      <c r="J99" s="23"/>
      <c r="K99" s="23">
        <f>2135782409.8-1756788543</f>
        <v>378993866.79999995</v>
      </c>
      <c r="L99" s="23"/>
      <c r="M99" s="23"/>
      <c r="N99" s="23"/>
      <c r="O99" s="23"/>
      <c r="P99" s="23">
        <f t="shared" si="16"/>
        <v>378993866.79999995</v>
      </c>
      <c r="Q99" s="23"/>
      <c r="R99" s="23"/>
      <c r="S99" s="23"/>
      <c r="T99" s="23"/>
      <c r="U99" s="23"/>
      <c r="V99" s="23"/>
      <c r="W99" s="23"/>
      <c r="X99" s="23"/>
      <c r="Y99" s="23">
        <f t="shared" si="14"/>
        <v>0</v>
      </c>
      <c r="Z99" s="23">
        <f t="shared" si="15"/>
        <v>378993866.79999995</v>
      </c>
      <c r="AA99" s="32">
        <f t="shared" si="12"/>
        <v>0.17744966203532406</v>
      </c>
    </row>
    <row r="100" spans="1:27" ht="25.5" x14ac:dyDescent="0.2">
      <c r="A100" s="208" t="s">
        <v>363</v>
      </c>
      <c r="B100" s="23">
        <v>5454599200</v>
      </c>
      <c r="C100" s="23"/>
      <c r="D100" s="23"/>
      <c r="E100" s="23"/>
      <c r="F100" s="23"/>
      <c r="G100" s="23"/>
      <c r="H100" s="23"/>
      <c r="I100" s="23">
        <f t="shared" si="13"/>
        <v>5454599200</v>
      </c>
      <c r="J100" s="23"/>
      <c r="K100" s="23">
        <f>5454599200-4454599200</f>
        <v>1000000000</v>
      </c>
      <c r="L100" s="23"/>
      <c r="M100" s="23"/>
      <c r="N100" s="23"/>
      <c r="O100" s="23"/>
      <c r="P100" s="23">
        <f t="shared" si="16"/>
        <v>1000000000</v>
      </c>
      <c r="Q100" s="23"/>
      <c r="R100" s="23"/>
      <c r="S100" s="23"/>
      <c r="T100" s="23"/>
      <c r="U100" s="23"/>
      <c r="V100" s="23"/>
      <c r="W100" s="23"/>
      <c r="X100" s="23"/>
      <c r="Y100" s="23">
        <f t="shared" si="14"/>
        <v>0</v>
      </c>
      <c r="Z100" s="23">
        <f t="shared" si="15"/>
        <v>1000000000</v>
      </c>
      <c r="AA100" s="32">
        <f t="shared" si="12"/>
        <v>0.18333152690668822</v>
      </c>
    </row>
    <row r="101" spans="1:27" ht="25.5" x14ac:dyDescent="0.2">
      <c r="A101" s="208" t="s">
        <v>1137</v>
      </c>
      <c r="B101" s="23">
        <v>3418945954.0300002</v>
      </c>
      <c r="C101" s="23"/>
      <c r="D101" s="23"/>
      <c r="E101" s="23"/>
      <c r="F101" s="23"/>
      <c r="G101" s="23"/>
      <c r="H101" s="23"/>
      <c r="I101" s="23">
        <f t="shared" si="13"/>
        <v>3418945954.0300002</v>
      </c>
      <c r="J101" s="23"/>
      <c r="K101" s="23">
        <f>3418945954.03-2898542218.03</f>
        <v>520403736</v>
      </c>
      <c r="L101" s="23"/>
      <c r="M101" s="23"/>
      <c r="N101" s="23"/>
      <c r="O101" s="23"/>
      <c r="P101" s="23">
        <f t="shared" si="16"/>
        <v>520403736</v>
      </c>
      <c r="Q101" s="23"/>
      <c r="R101" s="23"/>
      <c r="S101" s="23"/>
      <c r="T101" s="23"/>
      <c r="U101" s="23"/>
      <c r="V101" s="23"/>
      <c r="W101" s="23"/>
      <c r="X101" s="23"/>
      <c r="Y101" s="23">
        <f t="shared" si="14"/>
        <v>0</v>
      </c>
      <c r="Z101" s="23">
        <f t="shared" si="15"/>
        <v>520403736</v>
      </c>
      <c r="AA101" s="32">
        <f t="shared" si="12"/>
        <v>0.1522117468357716</v>
      </c>
    </row>
    <row r="102" spans="1:27" ht="25.5" x14ac:dyDescent="0.2">
      <c r="A102" s="208" t="s">
        <v>362</v>
      </c>
      <c r="B102" s="23">
        <v>308185665.19999999</v>
      </c>
      <c r="C102" s="23"/>
      <c r="D102" s="23"/>
      <c r="E102" s="23"/>
      <c r="F102" s="23"/>
      <c r="G102" s="23"/>
      <c r="H102" s="23"/>
      <c r="I102" s="23">
        <f t="shared" si="13"/>
        <v>308185665.19999999</v>
      </c>
      <c r="J102" s="23"/>
      <c r="K102" s="23">
        <v>308185665.19999999</v>
      </c>
      <c r="L102" s="23"/>
      <c r="M102" s="23"/>
      <c r="N102" s="23"/>
      <c r="O102" s="23"/>
      <c r="P102" s="23">
        <f t="shared" si="16"/>
        <v>308185665.19999999</v>
      </c>
      <c r="Q102" s="23"/>
      <c r="R102" s="23"/>
      <c r="S102" s="23"/>
      <c r="T102" s="23"/>
      <c r="U102" s="23"/>
      <c r="V102" s="23"/>
      <c r="W102" s="23"/>
      <c r="X102" s="23"/>
      <c r="Y102" s="23">
        <f t="shared" si="14"/>
        <v>0</v>
      </c>
      <c r="Z102" s="23">
        <f t="shared" si="15"/>
        <v>308185665.19999999</v>
      </c>
      <c r="AA102" s="32">
        <f t="shared" si="12"/>
        <v>1</v>
      </c>
    </row>
    <row r="103" spans="1:27" ht="45" x14ac:dyDescent="0.2">
      <c r="A103" s="209" t="s">
        <v>1138</v>
      </c>
      <c r="B103" s="23">
        <v>2043204731.1700001</v>
      </c>
      <c r="C103" s="23"/>
      <c r="D103" s="23"/>
      <c r="E103" s="23"/>
      <c r="F103" s="23"/>
      <c r="G103" s="23"/>
      <c r="H103" s="23"/>
      <c r="I103" s="23">
        <f t="shared" si="13"/>
        <v>2043204731.1700001</v>
      </c>
      <c r="J103" s="23"/>
      <c r="K103" s="23">
        <f>2043204731.17-2043204731.17</f>
        <v>0</v>
      </c>
      <c r="L103" s="23">
        <v>2000000000</v>
      </c>
      <c r="M103" s="23"/>
      <c r="N103" s="23"/>
      <c r="O103" s="23"/>
      <c r="P103" s="23">
        <f t="shared" si="16"/>
        <v>2000000000</v>
      </c>
      <c r="Q103" s="23"/>
      <c r="R103" s="23"/>
      <c r="S103" s="23"/>
      <c r="T103" s="23"/>
      <c r="U103" s="23"/>
      <c r="V103" s="23"/>
      <c r="W103" s="23"/>
      <c r="X103" s="23"/>
      <c r="Y103" s="23">
        <f t="shared" si="14"/>
        <v>0</v>
      </c>
      <c r="Z103" s="23">
        <f t="shared" si="15"/>
        <v>2000000000</v>
      </c>
      <c r="AA103" s="32">
        <f t="shared" si="12"/>
        <v>0.97885442877510387</v>
      </c>
    </row>
    <row r="104" spans="1:27" ht="25.5" x14ac:dyDescent="0.2">
      <c r="A104" s="208" t="s">
        <v>1151</v>
      </c>
      <c r="B104" s="23">
        <v>18213</v>
      </c>
      <c r="C104" s="23"/>
      <c r="D104" s="23"/>
      <c r="E104" s="23"/>
      <c r="F104" s="23">
        <v>18213</v>
      </c>
      <c r="G104" s="23"/>
      <c r="H104" s="23"/>
      <c r="I104" s="23">
        <f t="shared" si="13"/>
        <v>0</v>
      </c>
      <c r="J104" s="23"/>
      <c r="K104" s="23">
        <v>18213</v>
      </c>
      <c r="L104" s="23"/>
      <c r="M104" s="23"/>
      <c r="N104" s="23"/>
      <c r="O104" s="23"/>
      <c r="P104" s="23">
        <f t="shared" si="16"/>
        <v>18213</v>
      </c>
      <c r="Q104" s="23">
        <v>-18213</v>
      </c>
      <c r="R104" s="23"/>
      <c r="S104" s="23"/>
      <c r="T104" s="23"/>
      <c r="U104" s="23"/>
      <c r="V104" s="23"/>
      <c r="W104" s="23"/>
      <c r="X104" s="23"/>
      <c r="Y104" s="23">
        <f t="shared" si="14"/>
        <v>-18213</v>
      </c>
      <c r="Z104" s="23">
        <f t="shared" si="15"/>
        <v>0</v>
      </c>
      <c r="AA104" s="32">
        <v>0</v>
      </c>
    </row>
    <row r="105" spans="1:27" ht="25.5" x14ac:dyDescent="0.2">
      <c r="A105" s="208" t="s">
        <v>1150</v>
      </c>
      <c r="B105" s="23">
        <v>37848</v>
      </c>
      <c r="C105" s="23"/>
      <c r="D105" s="23"/>
      <c r="E105" s="23"/>
      <c r="F105" s="23">
        <v>37848</v>
      </c>
      <c r="G105" s="23"/>
      <c r="H105" s="23"/>
      <c r="I105" s="23">
        <f t="shared" si="13"/>
        <v>0</v>
      </c>
      <c r="J105" s="23"/>
      <c r="K105" s="23">
        <v>37848</v>
      </c>
      <c r="L105" s="23"/>
      <c r="M105" s="23"/>
      <c r="N105" s="23"/>
      <c r="O105" s="23"/>
      <c r="P105" s="23">
        <f t="shared" si="16"/>
        <v>37848</v>
      </c>
      <c r="Q105" s="23">
        <v>-37848</v>
      </c>
      <c r="R105" s="23"/>
      <c r="S105" s="23"/>
      <c r="T105" s="23"/>
      <c r="U105" s="23"/>
      <c r="V105" s="23"/>
      <c r="W105" s="23"/>
      <c r="X105" s="23"/>
      <c r="Y105" s="23">
        <f t="shared" si="14"/>
        <v>-37848</v>
      </c>
      <c r="Z105" s="23">
        <f t="shared" si="15"/>
        <v>0</v>
      </c>
      <c r="AA105" s="32">
        <v>0</v>
      </c>
    </row>
    <row r="106" spans="1:27" ht="38.25" x14ac:dyDescent="0.2">
      <c r="A106" s="208" t="s">
        <v>1149</v>
      </c>
      <c r="B106" s="23">
        <v>320095749.81999999</v>
      </c>
      <c r="C106" s="23"/>
      <c r="D106" s="23"/>
      <c r="E106" s="23"/>
      <c r="F106" s="23">
        <v>15380.82</v>
      </c>
      <c r="G106" s="23"/>
      <c r="H106" s="23"/>
      <c r="I106" s="23">
        <f t="shared" si="13"/>
        <v>320080369</v>
      </c>
      <c r="J106" s="23"/>
      <c r="K106" s="23">
        <v>320095749.81999999</v>
      </c>
      <c r="L106" s="23"/>
      <c r="M106" s="23"/>
      <c r="N106" s="23"/>
      <c r="O106" s="23"/>
      <c r="P106" s="23">
        <f t="shared" si="16"/>
        <v>320095749.81999999</v>
      </c>
      <c r="Q106" s="23">
        <v>-15380.82</v>
      </c>
      <c r="R106" s="23"/>
      <c r="S106" s="23"/>
      <c r="T106" s="23"/>
      <c r="U106" s="23"/>
      <c r="V106" s="23"/>
      <c r="W106" s="23"/>
      <c r="X106" s="23"/>
      <c r="Y106" s="23">
        <f t="shared" si="14"/>
        <v>-15380.82</v>
      </c>
      <c r="Z106" s="23">
        <f t="shared" si="15"/>
        <v>320080369</v>
      </c>
      <c r="AA106" s="32">
        <f t="shared" si="12"/>
        <v>1</v>
      </c>
    </row>
    <row r="107" spans="1:27" x14ac:dyDescent="0.2">
      <c r="A107" s="208" t="s">
        <v>1148</v>
      </c>
      <c r="B107" s="23">
        <v>3728630074.8400002</v>
      </c>
      <c r="C107" s="23"/>
      <c r="D107" s="23"/>
      <c r="E107" s="23"/>
      <c r="F107" s="301">
        <v>0.84</v>
      </c>
      <c r="G107" s="23"/>
      <c r="H107" s="23"/>
      <c r="I107" s="23">
        <f t="shared" si="13"/>
        <v>3728630074</v>
      </c>
      <c r="J107" s="23"/>
      <c r="K107" s="23">
        <v>3728630074.8400002</v>
      </c>
      <c r="L107" s="23"/>
      <c r="M107" s="23"/>
      <c r="N107" s="23"/>
      <c r="O107" s="23"/>
      <c r="P107" s="23">
        <f t="shared" si="16"/>
        <v>3728630074.8400002</v>
      </c>
      <c r="Q107" s="302">
        <v>-0.84</v>
      </c>
      <c r="R107" s="23"/>
      <c r="S107" s="23"/>
      <c r="T107" s="23"/>
      <c r="U107" s="23"/>
      <c r="V107" s="23"/>
      <c r="W107" s="23"/>
      <c r="X107" s="23"/>
      <c r="Y107" s="23">
        <f t="shared" si="14"/>
        <v>-0.84</v>
      </c>
      <c r="Z107" s="23">
        <f t="shared" si="15"/>
        <v>3728630074</v>
      </c>
      <c r="AA107" s="32">
        <f t="shared" si="12"/>
        <v>1</v>
      </c>
    </row>
    <row r="108" spans="1:27" ht="25.5" x14ac:dyDescent="0.2">
      <c r="A108" s="208" t="s">
        <v>1147</v>
      </c>
      <c r="B108" s="23">
        <v>59423.61</v>
      </c>
      <c r="C108" s="23"/>
      <c r="D108" s="23"/>
      <c r="E108" s="23"/>
      <c r="F108" s="23">
        <v>59423.61</v>
      </c>
      <c r="G108" s="23"/>
      <c r="H108" s="23"/>
      <c r="I108" s="23">
        <f t="shared" si="13"/>
        <v>0</v>
      </c>
      <c r="J108" s="23"/>
      <c r="K108" s="23">
        <v>59423.61</v>
      </c>
      <c r="L108" s="23"/>
      <c r="M108" s="23"/>
      <c r="N108" s="23"/>
      <c r="O108" s="23"/>
      <c r="P108" s="23">
        <f t="shared" si="16"/>
        <v>59423.61</v>
      </c>
      <c r="Q108" s="23">
        <v>-59423.61</v>
      </c>
      <c r="R108" s="23"/>
      <c r="S108" s="23"/>
      <c r="T108" s="23"/>
      <c r="U108" s="23"/>
      <c r="V108" s="23"/>
      <c r="W108" s="23"/>
      <c r="X108" s="23"/>
      <c r="Y108" s="23">
        <f t="shared" si="14"/>
        <v>-59423.61</v>
      </c>
      <c r="Z108" s="23">
        <f t="shared" si="15"/>
        <v>0</v>
      </c>
      <c r="AA108" s="32">
        <v>0</v>
      </c>
    </row>
    <row r="109" spans="1:27" x14ac:dyDescent="0.2">
      <c r="A109" s="208" t="s">
        <v>1146</v>
      </c>
      <c r="B109" s="23">
        <v>85083</v>
      </c>
      <c r="C109" s="23"/>
      <c r="D109" s="23"/>
      <c r="E109" s="23"/>
      <c r="F109" s="23">
        <v>85083</v>
      </c>
      <c r="G109" s="23"/>
      <c r="H109" s="23"/>
      <c r="I109" s="23">
        <f t="shared" si="13"/>
        <v>0</v>
      </c>
      <c r="J109" s="23"/>
      <c r="K109" s="23">
        <v>85083</v>
      </c>
      <c r="L109" s="23"/>
      <c r="M109" s="23"/>
      <c r="N109" s="23"/>
      <c r="O109" s="23"/>
      <c r="P109" s="23">
        <f t="shared" si="16"/>
        <v>85083</v>
      </c>
      <c r="Q109" s="23">
        <v>-85083</v>
      </c>
      <c r="R109" s="23"/>
      <c r="S109" s="23"/>
      <c r="T109" s="23"/>
      <c r="U109" s="23"/>
      <c r="V109" s="23"/>
      <c r="W109" s="23"/>
      <c r="X109" s="23"/>
      <c r="Y109" s="23">
        <f t="shared" si="14"/>
        <v>-85083</v>
      </c>
      <c r="Z109" s="23">
        <f t="shared" si="15"/>
        <v>0</v>
      </c>
      <c r="AA109" s="32">
        <v>0</v>
      </c>
    </row>
    <row r="110" spans="1:27" ht="25.5" x14ac:dyDescent="0.2">
      <c r="A110" s="208" t="s">
        <v>1145</v>
      </c>
      <c r="B110" s="23">
        <v>2565072185.8600001</v>
      </c>
      <c r="C110" s="23"/>
      <c r="D110" s="23"/>
      <c r="E110" s="23"/>
      <c r="F110" s="23">
        <v>966707087.46000004</v>
      </c>
      <c r="G110" s="23"/>
      <c r="H110" s="23"/>
      <c r="I110" s="23">
        <f t="shared" si="13"/>
        <v>1598365098.4000001</v>
      </c>
      <c r="J110" s="23"/>
      <c r="K110" s="23">
        <v>2565072185.8600001</v>
      </c>
      <c r="L110" s="23"/>
      <c r="M110" s="23"/>
      <c r="N110" s="23"/>
      <c r="O110" s="23"/>
      <c r="P110" s="23">
        <f t="shared" si="16"/>
        <v>2565072185.8600001</v>
      </c>
      <c r="Q110" s="23">
        <v>-966707087.46000004</v>
      </c>
      <c r="R110" s="23"/>
      <c r="S110" s="23"/>
      <c r="T110" s="23"/>
      <c r="U110" s="23"/>
      <c r="V110" s="23"/>
      <c r="W110" s="23"/>
      <c r="X110" s="23"/>
      <c r="Y110" s="23">
        <f t="shared" si="14"/>
        <v>-966707087.46000004</v>
      </c>
      <c r="Z110" s="23">
        <f t="shared" si="15"/>
        <v>1598365098.4000001</v>
      </c>
      <c r="AA110" s="32">
        <f t="shared" si="12"/>
        <v>1</v>
      </c>
    </row>
    <row r="111" spans="1:27" x14ac:dyDescent="0.2">
      <c r="A111" s="54" t="s">
        <v>1144</v>
      </c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>
        <f t="shared" si="16"/>
        <v>0</v>
      </c>
      <c r="Q111" s="23"/>
      <c r="R111" s="23"/>
      <c r="S111" s="23"/>
      <c r="T111" s="23"/>
      <c r="U111" s="23"/>
      <c r="V111" s="23"/>
      <c r="W111" s="23"/>
      <c r="X111" s="23"/>
      <c r="Y111" s="23">
        <f t="shared" si="14"/>
        <v>0</v>
      </c>
      <c r="Z111" s="23"/>
      <c r="AA111" s="32"/>
    </row>
    <row r="112" spans="1:27" x14ac:dyDescent="0.2">
      <c r="A112" s="208" t="s">
        <v>1141</v>
      </c>
      <c r="B112" s="23">
        <v>84848531</v>
      </c>
      <c r="C112" s="23"/>
      <c r="D112" s="23"/>
      <c r="E112" s="23"/>
      <c r="F112" s="23"/>
      <c r="G112" s="23"/>
      <c r="H112" s="23"/>
      <c r="I112" s="23">
        <f t="shared" si="13"/>
        <v>84848531</v>
      </c>
      <c r="J112" s="23"/>
      <c r="K112" s="23">
        <v>84848531</v>
      </c>
      <c r="L112" s="23"/>
      <c r="M112" s="23"/>
      <c r="N112" s="23"/>
      <c r="O112" s="23"/>
      <c r="P112" s="23">
        <f t="shared" si="16"/>
        <v>84848531</v>
      </c>
      <c r="Q112" s="23"/>
      <c r="R112" s="23"/>
      <c r="S112" s="23"/>
      <c r="T112" s="23"/>
      <c r="U112" s="23"/>
      <c r="V112" s="23"/>
      <c r="W112" s="23"/>
      <c r="X112" s="23"/>
      <c r="Y112" s="23">
        <f t="shared" si="14"/>
        <v>0</v>
      </c>
      <c r="Z112" s="23">
        <f t="shared" si="15"/>
        <v>84848531</v>
      </c>
      <c r="AA112" s="32">
        <f t="shared" si="12"/>
        <v>1</v>
      </c>
    </row>
    <row r="113" spans="1:27" x14ac:dyDescent="0.2">
      <c r="A113" s="208" t="s">
        <v>1142</v>
      </c>
      <c r="B113" s="23">
        <v>151469</v>
      </c>
      <c r="C113" s="23"/>
      <c r="D113" s="23"/>
      <c r="E113" s="23"/>
      <c r="F113" s="23">
        <v>2607</v>
      </c>
      <c r="G113" s="23"/>
      <c r="H113" s="23"/>
      <c r="I113" s="23">
        <f t="shared" si="13"/>
        <v>148862</v>
      </c>
      <c r="J113" s="23"/>
      <c r="K113" s="23">
        <v>151469</v>
      </c>
      <c r="L113" s="23"/>
      <c r="M113" s="23"/>
      <c r="N113" s="23"/>
      <c r="O113" s="23"/>
      <c r="P113" s="23">
        <f t="shared" si="16"/>
        <v>151469</v>
      </c>
      <c r="Q113" s="23">
        <v>-2607</v>
      </c>
      <c r="R113" s="23"/>
      <c r="S113" s="23"/>
      <c r="T113" s="23"/>
      <c r="U113" s="23"/>
      <c r="V113" s="23"/>
      <c r="W113" s="23"/>
      <c r="X113" s="23"/>
      <c r="Y113" s="23">
        <f t="shared" si="14"/>
        <v>-2607</v>
      </c>
      <c r="Z113" s="23">
        <f t="shared" si="15"/>
        <v>148862</v>
      </c>
      <c r="AA113" s="32">
        <f t="shared" si="12"/>
        <v>1</v>
      </c>
    </row>
    <row r="114" spans="1:27" x14ac:dyDescent="0.2">
      <c r="A114" s="208" t="s">
        <v>1143</v>
      </c>
      <c r="B114" s="23">
        <v>147142567</v>
      </c>
      <c r="C114" s="23"/>
      <c r="D114" s="23"/>
      <c r="E114" s="23"/>
      <c r="F114" s="23"/>
      <c r="G114" s="23"/>
      <c r="H114" s="23"/>
      <c r="I114" s="23">
        <f t="shared" si="13"/>
        <v>147142567</v>
      </c>
      <c r="J114" s="23"/>
      <c r="K114" s="23">
        <v>147142567</v>
      </c>
      <c r="L114" s="23"/>
      <c r="M114" s="23"/>
      <c r="N114" s="23"/>
      <c r="O114" s="23"/>
      <c r="P114" s="23">
        <f t="shared" si="16"/>
        <v>147142567</v>
      </c>
      <c r="Q114" s="23"/>
      <c r="R114" s="23"/>
      <c r="S114" s="23"/>
      <c r="T114" s="23"/>
      <c r="U114" s="23"/>
      <c r="V114" s="23"/>
      <c r="W114" s="23"/>
      <c r="X114" s="23"/>
      <c r="Y114" s="23">
        <f t="shared" si="14"/>
        <v>0</v>
      </c>
      <c r="Z114" s="23">
        <f t="shared" si="15"/>
        <v>147142567</v>
      </c>
      <c r="AA114" s="32">
        <f t="shared" si="12"/>
        <v>1</v>
      </c>
    </row>
    <row r="115" spans="1:27" s="5" customFormat="1" ht="15" x14ac:dyDescent="0.2">
      <c r="A115" s="54" t="s">
        <v>112</v>
      </c>
      <c r="B115" s="21"/>
      <c r="C115" s="21"/>
      <c r="D115" s="21"/>
      <c r="E115" s="21"/>
      <c r="F115" s="21"/>
      <c r="G115" s="21"/>
      <c r="H115" s="21"/>
      <c r="I115" s="23"/>
      <c r="J115" s="21"/>
      <c r="K115" s="21"/>
      <c r="L115" s="21"/>
      <c r="M115" s="21"/>
      <c r="N115" s="21"/>
      <c r="O115" s="21"/>
      <c r="P115" s="23">
        <f t="shared" si="16"/>
        <v>0</v>
      </c>
      <c r="Q115" s="21"/>
      <c r="R115" s="21"/>
      <c r="S115" s="21"/>
      <c r="T115" s="21"/>
      <c r="U115" s="21"/>
      <c r="V115" s="21"/>
      <c r="W115" s="21"/>
      <c r="X115" s="21"/>
      <c r="Y115" s="23">
        <f t="shared" si="14"/>
        <v>0</v>
      </c>
      <c r="Z115" s="23"/>
      <c r="AA115" s="32"/>
    </row>
    <row r="116" spans="1:27" hidden="1" x14ac:dyDescent="0.2">
      <c r="A116" s="227" t="s">
        <v>274</v>
      </c>
      <c r="B116" s="214"/>
      <c r="C116" s="23"/>
      <c r="D116" s="23"/>
      <c r="E116" s="23"/>
      <c r="F116" s="23"/>
      <c r="G116" s="23"/>
      <c r="H116" s="23"/>
      <c r="I116" s="214">
        <f t="shared" si="13"/>
        <v>0</v>
      </c>
      <c r="J116" s="214"/>
      <c r="K116" s="230"/>
      <c r="L116" s="23"/>
      <c r="M116" s="23"/>
      <c r="N116" s="23"/>
      <c r="O116" s="23"/>
      <c r="P116" s="23">
        <f t="shared" si="16"/>
        <v>0</v>
      </c>
      <c r="Q116" s="23"/>
      <c r="R116" s="23"/>
      <c r="S116" s="23"/>
      <c r="T116" s="23"/>
      <c r="U116" s="23"/>
      <c r="V116" s="23"/>
      <c r="W116" s="23"/>
      <c r="X116" s="23"/>
      <c r="Y116" s="23">
        <f t="shared" si="14"/>
        <v>0</v>
      </c>
      <c r="Z116" s="214">
        <f t="shared" si="15"/>
        <v>0</v>
      </c>
      <c r="AA116" s="225" t="e">
        <f t="shared" si="12"/>
        <v>#DIV/0!</v>
      </c>
    </row>
    <row r="117" spans="1:27" x14ac:dyDescent="0.2">
      <c r="A117" s="55" t="s">
        <v>275</v>
      </c>
      <c r="B117" s="23">
        <v>8700000</v>
      </c>
      <c r="C117" s="23"/>
      <c r="D117" s="23"/>
      <c r="E117" s="23"/>
      <c r="F117" s="23"/>
      <c r="G117" s="23"/>
      <c r="H117" s="23"/>
      <c r="I117" s="23">
        <f t="shared" si="13"/>
        <v>8700000</v>
      </c>
      <c r="J117" s="23"/>
      <c r="K117" s="18">
        <v>8700000</v>
      </c>
      <c r="L117" s="23"/>
      <c r="M117" s="23"/>
      <c r="N117" s="23"/>
      <c r="O117" s="23"/>
      <c r="P117" s="23">
        <f t="shared" si="16"/>
        <v>8700000</v>
      </c>
      <c r="Q117" s="23"/>
      <c r="R117" s="23"/>
      <c r="S117" s="23"/>
      <c r="T117" s="23"/>
      <c r="U117" s="23"/>
      <c r="V117" s="23"/>
      <c r="W117" s="23"/>
      <c r="X117" s="23"/>
      <c r="Y117" s="23">
        <f t="shared" si="14"/>
        <v>0</v>
      </c>
      <c r="Z117" s="23">
        <f t="shared" si="15"/>
        <v>8700000</v>
      </c>
      <c r="AA117" s="32">
        <f t="shared" si="12"/>
        <v>1</v>
      </c>
    </row>
    <row r="118" spans="1:27" s="5" customFormat="1" ht="15.75" thickBot="1" x14ac:dyDescent="0.25">
      <c r="A118" s="92" t="s">
        <v>276</v>
      </c>
      <c r="B118" s="93">
        <v>6412197545.4799995</v>
      </c>
      <c r="C118" s="93"/>
      <c r="D118" s="93"/>
      <c r="E118" s="62"/>
      <c r="F118" s="93">
        <v>227310626.18000001</v>
      </c>
      <c r="G118" s="93"/>
      <c r="H118" s="93"/>
      <c r="I118" s="23">
        <f t="shared" si="13"/>
        <v>6184886919.2999992</v>
      </c>
      <c r="J118" s="93"/>
      <c r="K118" s="93">
        <v>6412197545.4799995</v>
      </c>
      <c r="L118" s="93"/>
      <c r="M118" s="93"/>
      <c r="N118" s="93"/>
      <c r="O118" s="93"/>
      <c r="P118" s="23">
        <f t="shared" si="16"/>
        <v>6412197545.4799995</v>
      </c>
      <c r="Q118" s="93">
        <v>-168938767</v>
      </c>
      <c r="R118" s="93"/>
      <c r="S118" s="93"/>
      <c r="T118" s="93"/>
      <c r="U118" s="93"/>
      <c r="V118" s="93">
        <v>-58371859.18</v>
      </c>
      <c r="W118" s="93"/>
      <c r="X118" s="93"/>
      <c r="Y118" s="23">
        <f t="shared" si="14"/>
        <v>-227310626.18000001</v>
      </c>
      <c r="Z118" s="23">
        <f t="shared" si="15"/>
        <v>6184886919.2999992</v>
      </c>
      <c r="AA118" s="32">
        <f t="shared" si="12"/>
        <v>1</v>
      </c>
    </row>
    <row r="119" spans="1:27" ht="39.75" thickBot="1" x14ac:dyDescent="0.25">
      <c r="A119" s="94" t="s">
        <v>82</v>
      </c>
      <c r="B119" s="63">
        <f>+B5</f>
        <v>58764935113.12999</v>
      </c>
      <c r="C119" s="63">
        <f t="shared" ref="C119:Z119" si="17">+C5</f>
        <v>0</v>
      </c>
      <c r="D119" s="63">
        <f t="shared" si="17"/>
        <v>0</v>
      </c>
      <c r="E119" s="63">
        <f t="shared" si="17"/>
        <v>0</v>
      </c>
      <c r="F119" s="63">
        <f t="shared" si="17"/>
        <v>3018588441.6399994</v>
      </c>
      <c r="G119" s="63">
        <f t="shared" si="17"/>
        <v>0</v>
      </c>
      <c r="H119" s="63">
        <f t="shared" si="17"/>
        <v>0</v>
      </c>
      <c r="I119" s="63">
        <f t="shared" si="17"/>
        <v>55746346671.48999</v>
      </c>
      <c r="J119" s="63">
        <f t="shared" si="17"/>
        <v>0</v>
      </c>
      <c r="K119" s="63">
        <f t="shared" si="17"/>
        <v>47611800420.929993</v>
      </c>
      <c r="L119" s="63">
        <f t="shared" si="17"/>
        <v>2000000000</v>
      </c>
      <c r="M119" s="63">
        <f t="shared" si="17"/>
        <v>0</v>
      </c>
      <c r="N119" s="63">
        <f t="shared" si="17"/>
        <v>0</v>
      </c>
      <c r="O119" s="63">
        <f t="shared" si="17"/>
        <v>0</v>
      </c>
      <c r="P119" s="63">
        <f t="shared" si="17"/>
        <v>49611800420.929993</v>
      </c>
      <c r="Q119" s="63">
        <f t="shared" si="17"/>
        <v>-2645652911.5499992</v>
      </c>
      <c r="R119" s="63">
        <f t="shared" si="17"/>
        <v>0</v>
      </c>
      <c r="S119" s="63">
        <f t="shared" si="17"/>
        <v>0</v>
      </c>
      <c r="T119" s="63">
        <f t="shared" si="17"/>
        <v>0</v>
      </c>
      <c r="U119" s="63">
        <f t="shared" si="17"/>
        <v>0</v>
      </c>
      <c r="V119" s="63">
        <f t="shared" si="17"/>
        <v>-372935530.08999997</v>
      </c>
      <c r="W119" s="63">
        <f t="shared" si="17"/>
        <v>0</v>
      </c>
      <c r="X119" s="63">
        <f t="shared" si="17"/>
        <v>0</v>
      </c>
      <c r="Y119" s="63">
        <f t="shared" si="17"/>
        <v>-3018588441.6399994</v>
      </c>
      <c r="Z119" s="63">
        <f t="shared" si="17"/>
        <v>46593211979.289993</v>
      </c>
      <c r="AA119" s="95">
        <f>+Z119/I119</f>
        <v>0.83580745217011454</v>
      </c>
    </row>
    <row r="120" spans="1:27" ht="15" x14ac:dyDescent="0.2">
      <c r="A120" s="52"/>
      <c r="B120" s="12"/>
      <c r="C120" s="12"/>
      <c r="D120" s="12"/>
      <c r="E120" s="25"/>
      <c r="F120" s="12"/>
      <c r="G120" s="13"/>
      <c r="H120" s="13"/>
      <c r="I120" s="12"/>
      <c r="J120" s="26"/>
      <c r="K120" s="13"/>
      <c r="L120" s="13"/>
      <c r="M120" s="13"/>
      <c r="N120" s="13"/>
      <c r="O120" s="13"/>
      <c r="P120" s="13"/>
      <c r="Q120" s="17"/>
      <c r="R120" s="13"/>
      <c r="S120" s="13"/>
      <c r="T120" s="13"/>
      <c r="U120" s="13"/>
      <c r="V120" s="13"/>
      <c r="W120" s="13"/>
      <c r="X120" s="13"/>
      <c r="Y120" s="13"/>
      <c r="Z120" s="3"/>
      <c r="AA120" s="33"/>
    </row>
    <row r="121" spans="1:27" ht="39" x14ac:dyDescent="0.2">
      <c r="A121" s="80" t="s">
        <v>81</v>
      </c>
      <c r="B121" s="7"/>
      <c r="C121" s="7"/>
      <c r="D121" s="7"/>
      <c r="E121" s="27"/>
      <c r="F121" s="7"/>
      <c r="G121" s="4"/>
      <c r="H121" s="4"/>
      <c r="I121" s="7"/>
      <c r="J121" s="9"/>
      <c r="K121" s="4"/>
      <c r="L121" s="4"/>
      <c r="M121" s="4"/>
      <c r="N121" s="4"/>
      <c r="O121" s="4"/>
      <c r="P121" s="4"/>
      <c r="Q121" s="18"/>
      <c r="R121" s="4"/>
      <c r="S121" s="4"/>
      <c r="T121" s="4"/>
      <c r="U121" s="4"/>
      <c r="V121" s="4"/>
      <c r="W121" s="4"/>
      <c r="X121" s="4"/>
      <c r="Y121" s="4"/>
      <c r="Z121" s="2"/>
      <c r="AA121" s="32"/>
    </row>
    <row r="122" spans="1:27" s="5" customFormat="1" ht="30" x14ac:dyDescent="0.2">
      <c r="A122" s="168" t="s">
        <v>76</v>
      </c>
      <c r="B122" s="21">
        <f>+B123</f>
        <v>18509233606.330002</v>
      </c>
      <c r="C122" s="21">
        <f t="shared" ref="C122:H122" si="18">+C123</f>
        <v>0</v>
      </c>
      <c r="D122" s="21">
        <f t="shared" si="18"/>
        <v>0</v>
      </c>
      <c r="E122" s="21">
        <f t="shared" si="18"/>
        <v>0</v>
      </c>
      <c r="F122" s="21">
        <f t="shared" si="18"/>
        <v>281515511.09000003</v>
      </c>
      <c r="G122" s="21">
        <f t="shared" si="18"/>
        <v>0</v>
      </c>
      <c r="H122" s="21">
        <f t="shared" si="18"/>
        <v>0</v>
      </c>
      <c r="I122" s="21">
        <f>+B122+C122-D122+E122-F122</f>
        <v>18227718095.240002</v>
      </c>
      <c r="J122" s="21">
        <f t="shared" ref="J122:O122" si="19">+J123</f>
        <v>0</v>
      </c>
      <c r="K122" s="21">
        <f t="shared" si="19"/>
        <v>18509233606.330002</v>
      </c>
      <c r="L122" s="21">
        <f t="shared" si="19"/>
        <v>0</v>
      </c>
      <c r="M122" s="21">
        <f t="shared" si="19"/>
        <v>0</v>
      </c>
      <c r="N122" s="21">
        <f t="shared" si="19"/>
        <v>0</v>
      </c>
      <c r="O122" s="21">
        <f t="shared" si="19"/>
        <v>0</v>
      </c>
      <c r="P122" s="21">
        <f t="shared" ref="P122:P124" si="20">SUM(J122:O122)</f>
        <v>18509233606.330002</v>
      </c>
      <c r="Q122" s="21">
        <f t="shared" ref="Q122:X122" si="21">+Q123</f>
        <v>-77456672.849999994</v>
      </c>
      <c r="R122" s="21">
        <f t="shared" si="21"/>
        <v>0</v>
      </c>
      <c r="S122" s="21">
        <f t="shared" si="21"/>
        <v>0</v>
      </c>
      <c r="T122" s="21">
        <f t="shared" si="21"/>
        <v>0</v>
      </c>
      <c r="U122" s="21">
        <f t="shared" si="21"/>
        <v>0</v>
      </c>
      <c r="V122" s="21">
        <f t="shared" si="21"/>
        <v>-204058838.24000001</v>
      </c>
      <c r="W122" s="21">
        <f t="shared" si="21"/>
        <v>0</v>
      </c>
      <c r="X122" s="21">
        <f t="shared" si="21"/>
        <v>0</v>
      </c>
      <c r="Y122" s="21">
        <f>+Y123</f>
        <v>-281515511.09000003</v>
      </c>
      <c r="Z122" s="21">
        <f>+P122+Y122</f>
        <v>18227718095.240002</v>
      </c>
      <c r="AA122" s="31">
        <f>+Z122/I122</f>
        <v>1</v>
      </c>
    </row>
    <row r="123" spans="1:27" s="5" customFormat="1" ht="30" x14ac:dyDescent="0.2">
      <c r="A123" s="168" t="s">
        <v>77</v>
      </c>
      <c r="B123" s="21">
        <f>SUM(B125:B169)</f>
        <v>18509233606.330002</v>
      </c>
      <c r="C123" s="21">
        <f t="shared" ref="C123:H123" si="22">SUM(C125:C169)</f>
        <v>0</v>
      </c>
      <c r="D123" s="21">
        <f t="shared" si="22"/>
        <v>0</v>
      </c>
      <c r="E123" s="21">
        <f t="shared" si="22"/>
        <v>0</v>
      </c>
      <c r="F123" s="21">
        <f t="shared" si="22"/>
        <v>281515511.09000003</v>
      </c>
      <c r="G123" s="21">
        <f t="shared" si="22"/>
        <v>0</v>
      </c>
      <c r="H123" s="21">
        <f t="shared" si="22"/>
        <v>0</v>
      </c>
      <c r="I123" s="21">
        <f>+B123+C123-D123+E123-F123</f>
        <v>18227718095.240002</v>
      </c>
      <c r="J123" s="21">
        <f t="shared" ref="J123:O123" si="23">SUM(J125:J169)</f>
        <v>0</v>
      </c>
      <c r="K123" s="21">
        <f t="shared" si="23"/>
        <v>18509233606.330002</v>
      </c>
      <c r="L123" s="21">
        <f t="shared" si="23"/>
        <v>0</v>
      </c>
      <c r="M123" s="21">
        <f t="shared" si="23"/>
        <v>0</v>
      </c>
      <c r="N123" s="21">
        <f t="shared" si="23"/>
        <v>0</v>
      </c>
      <c r="O123" s="21">
        <f t="shared" si="23"/>
        <v>0</v>
      </c>
      <c r="P123" s="21">
        <f t="shared" si="20"/>
        <v>18509233606.330002</v>
      </c>
      <c r="Q123" s="21">
        <f t="shared" ref="Q123:X123" si="24">SUM(Q125:Q169)</f>
        <v>-77456672.849999994</v>
      </c>
      <c r="R123" s="21">
        <f t="shared" si="24"/>
        <v>0</v>
      </c>
      <c r="S123" s="21">
        <f t="shared" si="24"/>
        <v>0</v>
      </c>
      <c r="T123" s="21">
        <f t="shared" si="24"/>
        <v>0</v>
      </c>
      <c r="U123" s="21">
        <f t="shared" si="24"/>
        <v>0</v>
      </c>
      <c r="V123" s="21">
        <f t="shared" si="24"/>
        <v>-204058838.24000001</v>
      </c>
      <c r="W123" s="21">
        <f t="shared" si="24"/>
        <v>0</v>
      </c>
      <c r="X123" s="21">
        <f t="shared" si="24"/>
        <v>0</v>
      </c>
      <c r="Y123" s="21">
        <f>SUM(Y125:Y169)</f>
        <v>-281515511.09000003</v>
      </c>
      <c r="Z123" s="21">
        <f t="shared" ref="Z123" si="25">+P123+Y123</f>
        <v>18227718095.240002</v>
      </c>
      <c r="AA123" s="31">
        <f t="shared" ref="AA123" si="26">+Z123/I123</f>
        <v>1</v>
      </c>
    </row>
    <row r="124" spans="1:27" s="5" customFormat="1" ht="15" x14ac:dyDescent="0.2">
      <c r="A124" s="54" t="s">
        <v>44</v>
      </c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3">
        <f t="shared" si="20"/>
        <v>0</v>
      </c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31"/>
    </row>
    <row r="125" spans="1:27" s="5" customFormat="1" ht="15" hidden="1" x14ac:dyDescent="0.2">
      <c r="A125" s="231" t="s">
        <v>45</v>
      </c>
      <c r="B125" s="219"/>
      <c r="C125" s="2"/>
      <c r="D125" s="2"/>
      <c r="E125" s="23"/>
      <c r="F125" s="4"/>
      <c r="G125" s="2"/>
      <c r="H125" s="2"/>
      <c r="I125" s="214">
        <f t="shared" ref="I125:I169" si="27">+B125+C125-D125+E125-F125</f>
        <v>0</v>
      </c>
      <c r="J125" s="217"/>
      <c r="K125" s="217"/>
      <c r="L125" s="2"/>
      <c r="M125" s="2"/>
      <c r="N125" s="2"/>
      <c r="O125" s="2"/>
      <c r="P125" s="23">
        <f t="shared" ref="P125:P169" si="28">SUM(J125:O125)</f>
        <v>0</v>
      </c>
      <c r="Q125" s="4"/>
      <c r="R125" s="2"/>
      <c r="S125" s="2"/>
      <c r="T125" s="2"/>
      <c r="U125" s="2"/>
      <c r="V125" s="4"/>
      <c r="W125" s="2"/>
      <c r="X125" s="2"/>
      <c r="Y125" s="23">
        <f>SUM(Q125:X125)</f>
        <v>0</v>
      </c>
      <c r="Z125" s="214">
        <f>+P125+Y125</f>
        <v>0</v>
      </c>
      <c r="AA125" s="225" t="e">
        <f>+Z125/I125</f>
        <v>#DIV/0!</v>
      </c>
    </row>
    <row r="126" spans="1:27" x14ac:dyDescent="0.2">
      <c r="A126" s="55" t="s">
        <v>255</v>
      </c>
      <c r="B126" s="4">
        <v>200000000</v>
      </c>
      <c r="C126" s="4"/>
      <c r="D126" s="4"/>
      <c r="E126" s="23"/>
      <c r="F126" s="4"/>
      <c r="G126" s="4"/>
      <c r="H126" s="4"/>
      <c r="I126" s="23">
        <f t="shared" si="27"/>
        <v>200000000</v>
      </c>
      <c r="J126" s="4"/>
      <c r="K126" s="4">
        <v>200000000</v>
      </c>
      <c r="L126" s="4"/>
      <c r="M126" s="4"/>
      <c r="N126" s="4"/>
      <c r="O126" s="4"/>
      <c r="P126" s="23">
        <f t="shared" si="28"/>
        <v>200000000</v>
      </c>
      <c r="Q126" s="4"/>
      <c r="R126" s="4"/>
      <c r="S126" s="4"/>
      <c r="T126" s="4"/>
      <c r="U126" s="4"/>
      <c r="V126" s="4"/>
      <c r="W126" s="4"/>
      <c r="X126" s="4"/>
      <c r="Y126" s="23">
        <f t="shared" ref="Y126:Y169" si="29">SUM(Q126:X126)</f>
        <v>0</v>
      </c>
      <c r="Z126" s="23">
        <f t="shared" ref="Z126:Z169" si="30">+P126+Y126</f>
        <v>200000000</v>
      </c>
      <c r="AA126" s="32">
        <f t="shared" ref="AA126:AA169" si="31">+Z126/I126</f>
        <v>1</v>
      </c>
    </row>
    <row r="127" spans="1:27" s="5" customFormat="1" ht="25.5" x14ac:dyDescent="0.2">
      <c r="A127" s="54" t="s">
        <v>46</v>
      </c>
      <c r="B127" s="21"/>
      <c r="C127" s="21"/>
      <c r="D127" s="21"/>
      <c r="E127" s="21"/>
      <c r="F127" s="21"/>
      <c r="G127" s="21"/>
      <c r="H127" s="21"/>
      <c r="I127" s="23"/>
      <c r="J127" s="21"/>
      <c r="K127" s="21"/>
      <c r="L127" s="21"/>
      <c r="M127" s="21"/>
      <c r="N127" s="21"/>
      <c r="O127" s="21"/>
      <c r="P127" s="23">
        <f t="shared" si="28"/>
        <v>0</v>
      </c>
      <c r="Q127" s="21"/>
      <c r="R127" s="21"/>
      <c r="S127" s="21"/>
      <c r="T127" s="21"/>
      <c r="U127" s="21"/>
      <c r="V127" s="21"/>
      <c r="W127" s="21"/>
      <c r="X127" s="21"/>
      <c r="Y127" s="23">
        <f t="shared" si="29"/>
        <v>0</v>
      </c>
      <c r="Z127" s="23"/>
      <c r="AA127" s="32"/>
    </row>
    <row r="128" spans="1:27" s="5" customFormat="1" ht="15" hidden="1" x14ac:dyDescent="0.2">
      <c r="A128" s="231" t="s">
        <v>45</v>
      </c>
      <c r="B128" s="219"/>
      <c r="C128" s="2"/>
      <c r="D128" s="2"/>
      <c r="E128" s="23"/>
      <c r="F128" s="4"/>
      <c r="G128" s="2"/>
      <c r="H128" s="2"/>
      <c r="I128" s="214">
        <f t="shared" si="27"/>
        <v>0</v>
      </c>
      <c r="J128" s="219"/>
      <c r="K128" s="217"/>
      <c r="L128" s="2"/>
      <c r="M128" s="2"/>
      <c r="N128" s="4"/>
      <c r="O128" s="2"/>
      <c r="P128" s="23">
        <f t="shared" si="28"/>
        <v>0</v>
      </c>
      <c r="Q128" s="4"/>
      <c r="R128" s="2"/>
      <c r="S128" s="2"/>
      <c r="T128" s="2"/>
      <c r="U128" s="2"/>
      <c r="V128" s="4"/>
      <c r="W128" s="2"/>
      <c r="X128" s="2"/>
      <c r="Y128" s="23">
        <f t="shared" si="29"/>
        <v>0</v>
      </c>
      <c r="Z128" s="214">
        <f t="shared" si="30"/>
        <v>0</v>
      </c>
      <c r="AA128" s="225" t="e">
        <f t="shared" si="31"/>
        <v>#DIV/0!</v>
      </c>
    </row>
    <row r="129" spans="1:27" s="5" customFormat="1" ht="25.5" x14ac:dyDescent="0.2">
      <c r="A129" s="55" t="s">
        <v>1165</v>
      </c>
      <c r="B129" s="4">
        <v>1202969458</v>
      </c>
      <c r="C129" s="2"/>
      <c r="D129" s="2"/>
      <c r="E129" s="23"/>
      <c r="F129" s="4"/>
      <c r="G129" s="2"/>
      <c r="H129" s="2"/>
      <c r="I129" s="23">
        <f t="shared" si="27"/>
        <v>1202969458</v>
      </c>
      <c r="J129" s="4"/>
      <c r="K129" s="4">
        <v>1202969458</v>
      </c>
      <c r="L129" s="2"/>
      <c r="M129" s="2"/>
      <c r="N129" s="4"/>
      <c r="O129" s="2"/>
      <c r="P129" s="23">
        <f t="shared" si="28"/>
        <v>1202969458</v>
      </c>
      <c r="Q129" s="4"/>
      <c r="R129" s="2"/>
      <c r="S129" s="2"/>
      <c r="T129" s="2"/>
      <c r="U129" s="2"/>
      <c r="V129" s="4"/>
      <c r="W129" s="2"/>
      <c r="X129" s="2"/>
      <c r="Y129" s="23">
        <f t="shared" si="29"/>
        <v>0</v>
      </c>
      <c r="Z129" s="23">
        <f t="shared" si="30"/>
        <v>1202969458</v>
      </c>
      <c r="AA129" s="32">
        <f t="shared" si="31"/>
        <v>1</v>
      </c>
    </row>
    <row r="130" spans="1:27" s="5" customFormat="1" ht="25.5" x14ac:dyDescent="0.2">
      <c r="A130" s="55" t="s">
        <v>1166</v>
      </c>
      <c r="B130" s="4">
        <v>23900000</v>
      </c>
      <c r="C130" s="2"/>
      <c r="D130" s="2"/>
      <c r="E130" s="23"/>
      <c r="F130" s="4"/>
      <c r="G130" s="2"/>
      <c r="H130" s="2"/>
      <c r="I130" s="23">
        <f t="shared" si="27"/>
        <v>23900000</v>
      </c>
      <c r="J130" s="4"/>
      <c r="K130" s="4">
        <v>23900000</v>
      </c>
      <c r="L130" s="2"/>
      <c r="M130" s="2"/>
      <c r="N130" s="4"/>
      <c r="O130" s="2"/>
      <c r="P130" s="23">
        <f t="shared" si="28"/>
        <v>23900000</v>
      </c>
      <c r="Q130" s="4"/>
      <c r="R130" s="2"/>
      <c r="S130" s="2"/>
      <c r="T130" s="2"/>
      <c r="U130" s="2"/>
      <c r="V130" s="4"/>
      <c r="W130" s="2"/>
      <c r="X130" s="2"/>
      <c r="Y130" s="23">
        <f t="shared" si="29"/>
        <v>0</v>
      </c>
      <c r="Z130" s="23">
        <f t="shared" si="30"/>
        <v>23900000</v>
      </c>
      <c r="AA130" s="32">
        <f t="shared" si="31"/>
        <v>1</v>
      </c>
    </row>
    <row r="131" spans="1:27" s="5" customFormat="1" ht="25.5" x14ac:dyDescent="0.2">
      <c r="A131" s="55" t="s">
        <v>1164</v>
      </c>
      <c r="B131" s="4">
        <v>148951050</v>
      </c>
      <c r="C131" s="2"/>
      <c r="D131" s="2"/>
      <c r="E131" s="23"/>
      <c r="F131" s="4"/>
      <c r="G131" s="2"/>
      <c r="H131" s="2"/>
      <c r="I131" s="23">
        <f t="shared" si="27"/>
        <v>148951050</v>
      </c>
      <c r="J131" s="4"/>
      <c r="K131" s="4">
        <v>148951050</v>
      </c>
      <c r="L131" s="2"/>
      <c r="M131" s="2"/>
      <c r="N131" s="4"/>
      <c r="O131" s="2"/>
      <c r="P131" s="23">
        <f t="shared" si="28"/>
        <v>148951050</v>
      </c>
      <c r="Q131" s="4"/>
      <c r="R131" s="2"/>
      <c r="S131" s="2"/>
      <c r="T131" s="2"/>
      <c r="U131" s="2"/>
      <c r="V131" s="4"/>
      <c r="W131" s="2"/>
      <c r="X131" s="2"/>
      <c r="Y131" s="23">
        <f t="shared" si="29"/>
        <v>0</v>
      </c>
      <c r="Z131" s="23">
        <f t="shared" si="30"/>
        <v>148951050</v>
      </c>
      <c r="AA131" s="32">
        <f t="shared" si="31"/>
        <v>1</v>
      </c>
    </row>
    <row r="132" spans="1:27" s="5" customFormat="1" ht="15" x14ac:dyDescent="0.2">
      <c r="A132" s="55" t="s">
        <v>253</v>
      </c>
      <c r="B132" s="4">
        <v>46766290</v>
      </c>
      <c r="C132" s="2"/>
      <c r="D132" s="2"/>
      <c r="E132" s="23"/>
      <c r="F132" s="4">
        <v>400000</v>
      </c>
      <c r="G132" s="2"/>
      <c r="H132" s="2"/>
      <c r="I132" s="23">
        <f t="shared" si="27"/>
        <v>46366290</v>
      </c>
      <c r="J132" s="4"/>
      <c r="K132" s="4">
        <v>46766290</v>
      </c>
      <c r="L132" s="2"/>
      <c r="M132" s="2"/>
      <c r="N132" s="4"/>
      <c r="O132" s="4"/>
      <c r="P132" s="23">
        <f t="shared" si="28"/>
        <v>46766290</v>
      </c>
      <c r="Q132" s="4">
        <v>-400000</v>
      </c>
      <c r="R132" s="4"/>
      <c r="S132" s="2"/>
      <c r="T132" s="2"/>
      <c r="U132" s="2"/>
      <c r="V132" s="4"/>
      <c r="W132" s="2"/>
      <c r="X132" s="2"/>
      <c r="Y132" s="23">
        <f t="shared" si="29"/>
        <v>-400000</v>
      </c>
      <c r="Z132" s="23">
        <f t="shared" si="30"/>
        <v>46366290</v>
      </c>
      <c r="AA132" s="32">
        <f t="shared" si="31"/>
        <v>1</v>
      </c>
    </row>
    <row r="133" spans="1:27" s="5" customFormat="1" ht="15" x14ac:dyDescent="0.2">
      <c r="A133" s="55" t="s">
        <v>254</v>
      </c>
      <c r="B133" s="4">
        <v>1005552681</v>
      </c>
      <c r="C133" s="2"/>
      <c r="D133" s="2"/>
      <c r="E133" s="23"/>
      <c r="F133" s="4"/>
      <c r="G133" s="2"/>
      <c r="H133" s="2"/>
      <c r="I133" s="23">
        <f t="shared" si="27"/>
        <v>1005552681</v>
      </c>
      <c r="J133" s="4"/>
      <c r="K133" s="4">
        <v>1005552681</v>
      </c>
      <c r="L133" s="2"/>
      <c r="M133" s="2"/>
      <c r="N133" s="4"/>
      <c r="O133" s="2"/>
      <c r="P133" s="23">
        <f t="shared" si="28"/>
        <v>1005552681</v>
      </c>
      <c r="Q133" s="4"/>
      <c r="R133" s="2"/>
      <c r="S133" s="2"/>
      <c r="T133" s="2"/>
      <c r="U133" s="2"/>
      <c r="V133" s="4"/>
      <c r="W133" s="2"/>
      <c r="X133" s="2"/>
      <c r="Y133" s="23">
        <f t="shared" si="29"/>
        <v>0</v>
      </c>
      <c r="Z133" s="23">
        <f t="shared" si="30"/>
        <v>1005552681</v>
      </c>
      <c r="AA133" s="32">
        <f t="shared" si="31"/>
        <v>1</v>
      </c>
    </row>
    <row r="134" spans="1:27" x14ac:dyDescent="0.2">
      <c r="A134" s="55" t="s">
        <v>118</v>
      </c>
      <c r="B134" s="4">
        <v>2677474504.25</v>
      </c>
      <c r="C134" s="4"/>
      <c r="D134" s="4"/>
      <c r="E134" s="23"/>
      <c r="F134" s="4">
        <v>10526612</v>
      </c>
      <c r="G134" s="4"/>
      <c r="H134" s="4"/>
      <c r="I134" s="23">
        <f t="shared" si="27"/>
        <v>2666947892.25</v>
      </c>
      <c r="J134" s="4"/>
      <c r="K134" s="4">
        <v>2677474504.25</v>
      </c>
      <c r="L134" s="4"/>
      <c r="M134" s="4"/>
      <c r="N134" s="4"/>
      <c r="O134" s="4"/>
      <c r="P134" s="23">
        <f t="shared" si="28"/>
        <v>2677474504.25</v>
      </c>
      <c r="Q134" s="4"/>
      <c r="R134" s="4"/>
      <c r="S134" s="4"/>
      <c r="T134" s="4"/>
      <c r="U134" s="4"/>
      <c r="V134" s="4">
        <v>-10526612</v>
      </c>
      <c r="W134" s="4"/>
      <c r="X134" s="4"/>
      <c r="Y134" s="23">
        <f t="shared" si="29"/>
        <v>-10526612</v>
      </c>
      <c r="Z134" s="23">
        <f t="shared" si="30"/>
        <v>2666947892.25</v>
      </c>
      <c r="AA134" s="32">
        <f t="shared" si="31"/>
        <v>1</v>
      </c>
    </row>
    <row r="135" spans="1:27" x14ac:dyDescent="0.2">
      <c r="A135" s="55" t="s">
        <v>252</v>
      </c>
      <c r="B135" s="4">
        <v>4893751601.8299999</v>
      </c>
      <c r="C135" s="4"/>
      <c r="D135" s="4"/>
      <c r="E135" s="23"/>
      <c r="F135" s="4">
        <v>171588785.09</v>
      </c>
      <c r="G135" s="4"/>
      <c r="H135" s="4"/>
      <c r="I135" s="23">
        <f t="shared" si="27"/>
        <v>4722162816.7399998</v>
      </c>
      <c r="J135" s="4"/>
      <c r="K135" s="4">
        <v>4893751601.8299999</v>
      </c>
      <c r="L135" s="4"/>
      <c r="M135" s="4"/>
      <c r="N135" s="4"/>
      <c r="O135" s="4"/>
      <c r="P135" s="23">
        <f t="shared" si="28"/>
        <v>4893751601.8299999</v>
      </c>
      <c r="Q135" s="4">
        <v>-65023334.850000001</v>
      </c>
      <c r="R135" s="4"/>
      <c r="S135" s="4"/>
      <c r="T135" s="4"/>
      <c r="U135" s="4"/>
      <c r="V135" s="1">
        <v>-106565450.23999999</v>
      </c>
      <c r="W135" s="4"/>
      <c r="X135" s="4"/>
      <c r="Y135" s="23">
        <f t="shared" si="29"/>
        <v>-171588785.09</v>
      </c>
      <c r="Z135" s="23">
        <f t="shared" si="30"/>
        <v>4722162816.7399998</v>
      </c>
      <c r="AA135" s="32">
        <f t="shared" si="31"/>
        <v>1</v>
      </c>
    </row>
    <row r="136" spans="1:27" x14ac:dyDescent="0.2">
      <c r="A136" s="55" t="s">
        <v>1139</v>
      </c>
      <c r="B136" s="4">
        <v>399999900</v>
      </c>
      <c r="C136" s="4"/>
      <c r="D136" s="4"/>
      <c r="E136" s="23"/>
      <c r="F136" s="4"/>
      <c r="G136" s="4"/>
      <c r="H136" s="4"/>
      <c r="I136" s="23">
        <f t="shared" si="27"/>
        <v>399999900</v>
      </c>
      <c r="J136" s="4"/>
      <c r="K136" s="4">
        <v>399999900</v>
      </c>
      <c r="L136" s="4"/>
      <c r="M136" s="4"/>
      <c r="N136" s="4"/>
      <c r="O136" s="4"/>
      <c r="P136" s="23">
        <f t="shared" si="28"/>
        <v>399999900</v>
      </c>
      <c r="Q136" s="4"/>
      <c r="R136" s="4"/>
      <c r="S136" s="4"/>
      <c r="T136" s="4"/>
      <c r="U136" s="4"/>
      <c r="V136" s="4"/>
      <c r="W136" s="4"/>
      <c r="X136" s="4"/>
      <c r="Y136" s="23">
        <f t="shared" si="29"/>
        <v>0</v>
      </c>
      <c r="Z136" s="23">
        <f t="shared" si="30"/>
        <v>399999900</v>
      </c>
      <c r="AA136" s="32">
        <f t="shared" si="31"/>
        <v>1</v>
      </c>
    </row>
    <row r="137" spans="1:27" x14ac:dyDescent="0.2">
      <c r="A137" s="55" t="s">
        <v>370</v>
      </c>
      <c r="B137" s="4">
        <v>6383333</v>
      </c>
      <c r="C137" s="4"/>
      <c r="D137" s="4"/>
      <c r="E137" s="23"/>
      <c r="F137" s="4"/>
      <c r="G137" s="4"/>
      <c r="H137" s="4"/>
      <c r="I137" s="23">
        <f t="shared" si="27"/>
        <v>6383333</v>
      </c>
      <c r="J137" s="4"/>
      <c r="K137" s="4">
        <v>6383333</v>
      </c>
      <c r="L137" s="4"/>
      <c r="M137" s="4"/>
      <c r="N137" s="4"/>
      <c r="O137" s="4"/>
      <c r="P137" s="23">
        <f t="shared" si="28"/>
        <v>6383333</v>
      </c>
      <c r="Q137" s="4"/>
      <c r="R137" s="4"/>
      <c r="S137" s="4"/>
      <c r="T137" s="4"/>
      <c r="U137" s="4"/>
      <c r="V137" s="4"/>
      <c r="W137" s="4"/>
      <c r="X137" s="4"/>
      <c r="Y137" s="23">
        <f t="shared" si="29"/>
        <v>0</v>
      </c>
      <c r="Z137" s="23">
        <f t="shared" si="30"/>
        <v>6383333</v>
      </c>
      <c r="AA137" s="32">
        <f t="shared" si="31"/>
        <v>1</v>
      </c>
    </row>
    <row r="138" spans="1:27" ht="25.5" x14ac:dyDescent="0.2">
      <c r="A138" s="55" t="s">
        <v>1155</v>
      </c>
      <c r="B138" s="4">
        <v>96800000</v>
      </c>
      <c r="C138" s="4"/>
      <c r="D138" s="4"/>
      <c r="E138" s="23"/>
      <c r="F138" s="4">
        <v>265000</v>
      </c>
      <c r="G138" s="4"/>
      <c r="H138" s="4"/>
      <c r="I138" s="23">
        <f t="shared" si="27"/>
        <v>96535000</v>
      </c>
      <c r="J138" s="4"/>
      <c r="K138" s="4">
        <v>96800000</v>
      </c>
      <c r="L138" s="4"/>
      <c r="M138" s="4"/>
      <c r="N138" s="4"/>
      <c r="O138" s="4"/>
      <c r="P138" s="23">
        <f t="shared" si="28"/>
        <v>96800000</v>
      </c>
      <c r="Q138" s="4"/>
      <c r="R138" s="4"/>
      <c r="S138" s="4"/>
      <c r="T138" s="4"/>
      <c r="U138" s="4"/>
      <c r="V138" s="4">
        <v>-265000</v>
      </c>
      <c r="W138" s="4"/>
      <c r="X138" s="4"/>
      <c r="Y138" s="23">
        <f t="shared" si="29"/>
        <v>-265000</v>
      </c>
      <c r="Z138" s="23">
        <f t="shared" si="30"/>
        <v>96535000</v>
      </c>
      <c r="AA138" s="32">
        <f t="shared" si="31"/>
        <v>1</v>
      </c>
    </row>
    <row r="139" spans="1:27" ht="25.5" x14ac:dyDescent="0.2">
      <c r="A139" s="55" t="s">
        <v>1156</v>
      </c>
      <c r="B139" s="4">
        <v>565356762</v>
      </c>
      <c r="C139" s="4"/>
      <c r="D139" s="4"/>
      <c r="E139" s="23"/>
      <c r="F139" s="4"/>
      <c r="G139" s="4"/>
      <c r="H139" s="4"/>
      <c r="I139" s="23">
        <f t="shared" si="27"/>
        <v>565356762</v>
      </c>
      <c r="J139" s="4"/>
      <c r="K139" s="4">
        <v>565356762</v>
      </c>
      <c r="L139" s="4"/>
      <c r="M139" s="4"/>
      <c r="N139" s="4"/>
      <c r="O139" s="4"/>
      <c r="P139" s="23">
        <f t="shared" si="28"/>
        <v>565356762</v>
      </c>
      <c r="Q139" s="4"/>
      <c r="R139" s="4"/>
      <c r="S139" s="4"/>
      <c r="T139" s="4"/>
      <c r="U139" s="4"/>
      <c r="V139" s="4"/>
      <c r="W139" s="4"/>
      <c r="X139" s="4"/>
      <c r="Y139" s="23">
        <f t="shared" si="29"/>
        <v>0</v>
      </c>
      <c r="Z139" s="23">
        <f t="shared" si="30"/>
        <v>565356762</v>
      </c>
      <c r="AA139" s="32">
        <f t="shared" si="31"/>
        <v>1</v>
      </c>
    </row>
    <row r="140" spans="1:27" x14ac:dyDescent="0.2">
      <c r="A140" s="55" t="s">
        <v>1157</v>
      </c>
      <c r="B140" s="4">
        <v>12083333</v>
      </c>
      <c r="C140" s="4"/>
      <c r="D140" s="4"/>
      <c r="E140" s="23"/>
      <c r="F140" s="4">
        <v>4416667</v>
      </c>
      <c r="G140" s="4"/>
      <c r="H140" s="4"/>
      <c r="I140" s="23">
        <f t="shared" si="27"/>
        <v>7666666</v>
      </c>
      <c r="J140" s="4"/>
      <c r="K140" s="4">
        <v>12083333</v>
      </c>
      <c r="L140" s="4"/>
      <c r="M140" s="4"/>
      <c r="N140" s="4"/>
      <c r="O140" s="4"/>
      <c r="P140" s="23">
        <f t="shared" si="28"/>
        <v>12083333</v>
      </c>
      <c r="Q140" s="4">
        <v>-1866667</v>
      </c>
      <c r="R140" s="4"/>
      <c r="S140" s="4"/>
      <c r="T140" s="4"/>
      <c r="U140" s="4"/>
      <c r="V140" s="4">
        <v>-2550000</v>
      </c>
      <c r="W140" s="4"/>
      <c r="X140" s="4"/>
      <c r="Y140" s="23">
        <f t="shared" si="29"/>
        <v>-4416667</v>
      </c>
      <c r="Z140" s="23">
        <f t="shared" si="30"/>
        <v>7666666</v>
      </c>
      <c r="AA140" s="32">
        <f t="shared" si="31"/>
        <v>1</v>
      </c>
    </row>
    <row r="141" spans="1:27" x14ac:dyDescent="0.2">
      <c r="A141" s="55" t="s">
        <v>1158</v>
      </c>
      <c r="B141" s="4">
        <v>174915306</v>
      </c>
      <c r="C141" s="4"/>
      <c r="D141" s="4"/>
      <c r="E141" s="23"/>
      <c r="F141" s="4"/>
      <c r="G141" s="4"/>
      <c r="H141" s="4"/>
      <c r="I141" s="23">
        <f t="shared" si="27"/>
        <v>174915306</v>
      </c>
      <c r="J141" s="4"/>
      <c r="K141" s="4">
        <v>174915306</v>
      </c>
      <c r="L141" s="4"/>
      <c r="M141" s="4"/>
      <c r="N141" s="4"/>
      <c r="O141" s="4"/>
      <c r="P141" s="23">
        <f t="shared" si="28"/>
        <v>174915306</v>
      </c>
      <c r="Q141" s="4"/>
      <c r="R141" s="4"/>
      <c r="S141" s="4"/>
      <c r="T141" s="4"/>
      <c r="U141" s="4"/>
      <c r="V141" s="4"/>
      <c r="W141" s="4"/>
      <c r="X141" s="4"/>
      <c r="Y141" s="23">
        <f t="shared" si="29"/>
        <v>0</v>
      </c>
      <c r="Z141" s="23">
        <f t="shared" si="30"/>
        <v>174915306</v>
      </c>
      <c r="AA141" s="32">
        <f t="shared" si="31"/>
        <v>1</v>
      </c>
    </row>
    <row r="142" spans="1:27" x14ac:dyDescent="0.2">
      <c r="A142" s="55" t="s">
        <v>1159</v>
      </c>
      <c r="B142" s="4">
        <v>39315</v>
      </c>
      <c r="C142" s="4"/>
      <c r="D142" s="4"/>
      <c r="E142" s="23"/>
      <c r="F142" s="4">
        <v>1643</v>
      </c>
      <c r="G142" s="4"/>
      <c r="H142" s="4"/>
      <c r="I142" s="23">
        <f t="shared" si="27"/>
        <v>37672</v>
      </c>
      <c r="J142" s="4"/>
      <c r="K142" s="4">
        <v>39315</v>
      </c>
      <c r="L142" s="4"/>
      <c r="M142" s="4"/>
      <c r="N142" s="4"/>
      <c r="O142" s="4"/>
      <c r="P142" s="23">
        <f t="shared" si="28"/>
        <v>39315</v>
      </c>
      <c r="Q142" s="4"/>
      <c r="R142" s="4"/>
      <c r="S142" s="4"/>
      <c r="T142" s="4"/>
      <c r="U142" s="4"/>
      <c r="V142" s="4">
        <v>-1643</v>
      </c>
      <c r="W142" s="4"/>
      <c r="X142" s="4"/>
      <c r="Y142" s="23">
        <f t="shared" si="29"/>
        <v>-1643</v>
      </c>
      <c r="Z142" s="23">
        <f t="shared" si="30"/>
        <v>37672</v>
      </c>
      <c r="AA142" s="32">
        <f t="shared" si="31"/>
        <v>1</v>
      </c>
    </row>
    <row r="143" spans="1:27" x14ac:dyDescent="0.2">
      <c r="A143" s="55" t="s">
        <v>1160</v>
      </c>
      <c r="B143" s="4">
        <v>116893409.25</v>
      </c>
      <c r="C143" s="4"/>
      <c r="D143" s="4"/>
      <c r="E143" s="23"/>
      <c r="F143" s="4"/>
      <c r="G143" s="4"/>
      <c r="H143" s="4"/>
      <c r="I143" s="23">
        <f t="shared" si="27"/>
        <v>116893409.25</v>
      </c>
      <c r="J143" s="4"/>
      <c r="K143" s="4">
        <v>116893409.25</v>
      </c>
      <c r="L143" s="4"/>
      <c r="M143" s="4"/>
      <c r="N143" s="4"/>
      <c r="O143" s="4"/>
      <c r="P143" s="23">
        <f t="shared" si="28"/>
        <v>116893409.25</v>
      </c>
      <c r="Q143" s="4"/>
      <c r="R143" s="4"/>
      <c r="S143" s="4"/>
      <c r="T143" s="4"/>
      <c r="U143" s="4"/>
      <c r="V143" s="4"/>
      <c r="W143" s="4"/>
      <c r="X143" s="4"/>
      <c r="Y143" s="23">
        <f t="shared" si="29"/>
        <v>0</v>
      </c>
      <c r="Z143" s="23">
        <f t="shared" si="30"/>
        <v>116893409.25</v>
      </c>
      <c r="AA143" s="32">
        <f t="shared" si="31"/>
        <v>1</v>
      </c>
    </row>
    <row r="144" spans="1:27" x14ac:dyDescent="0.2">
      <c r="A144" s="55" t="s">
        <v>1161</v>
      </c>
      <c r="B144" s="4">
        <v>7712640</v>
      </c>
      <c r="C144" s="4"/>
      <c r="D144" s="4"/>
      <c r="E144" s="23"/>
      <c r="F144" s="4"/>
      <c r="G144" s="4"/>
      <c r="H144" s="4"/>
      <c r="I144" s="23">
        <f t="shared" si="27"/>
        <v>7712640</v>
      </c>
      <c r="J144" s="4"/>
      <c r="K144" s="4">
        <v>7712640</v>
      </c>
      <c r="L144" s="4"/>
      <c r="M144" s="4"/>
      <c r="N144" s="4"/>
      <c r="O144" s="4"/>
      <c r="P144" s="23">
        <f t="shared" si="28"/>
        <v>7712640</v>
      </c>
      <c r="Q144" s="4"/>
      <c r="R144" s="4"/>
      <c r="S144" s="4"/>
      <c r="T144" s="4"/>
      <c r="U144" s="4"/>
      <c r="V144" s="4"/>
      <c r="W144" s="4"/>
      <c r="X144" s="4"/>
      <c r="Y144" s="23">
        <f t="shared" si="29"/>
        <v>0</v>
      </c>
      <c r="Z144" s="23">
        <f t="shared" si="30"/>
        <v>7712640</v>
      </c>
      <c r="AA144" s="32">
        <f t="shared" si="31"/>
        <v>1</v>
      </c>
    </row>
    <row r="145" spans="1:27" ht="25.5" x14ac:dyDescent="0.2">
      <c r="A145" s="55" t="s">
        <v>372</v>
      </c>
      <c r="B145" s="4">
        <v>84911089.75</v>
      </c>
      <c r="C145" s="4"/>
      <c r="D145" s="4"/>
      <c r="E145" s="23"/>
      <c r="F145" s="4"/>
      <c r="G145" s="4"/>
      <c r="H145" s="4"/>
      <c r="I145" s="23">
        <f t="shared" si="27"/>
        <v>84911089.75</v>
      </c>
      <c r="J145" s="4"/>
      <c r="K145" s="4">
        <v>84911089.75</v>
      </c>
      <c r="L145" s="4"/>
      <c r="M145" s="4"/>
      <c r="N145" s="4"/>
      <c r="O145" s="4"/>
      <c r="P145" s="23">
        <f t="shared" si="28"/>
        <v>84911089.75</v>
      </c>
      <c r="Q145" s="4"/>
      <c r="R145" s="4"/>
      <c r="S145" s="4"/>
      <c r="T145" s="4"/>
      <c r="U145" s="4"/>
      <c r="V145" s="4"/>
      <c r="W145" s="4"/>
      <c r="X145" s="4"/>
      <c r="Y145" s="23">
        <f t="shared" si="29"/>
        <v>0</v>
      </c>
      <c r="Z145" s="23">
        <f t="shared" si="30"/>
        <v>84911089.75</v>
      </c>
      <c r="AA145" s="32">
        <f t="shared" si="31"/>
        <v>1</v>
      </c>
    </row>
    <row r="146" spans="1:27" ht="25.5" x14ac:dyDescent="0.2">
      <c r="A146" s="55" t="s">
        <v>1162</v>
      </c>
      <c r="B146" s="4">
        <v>124381967</v>
      </c>
      <c r="C146" s="4"/>
      <c r="D146" s="4"/>
      <c r="E146" s="23"/>
      <c r="F146" s="4">
        <v>5500005</v>
      </c>
      <c r="G146" s="4"/>
      <c r="H146" s="4"/>
      <c r="I146" s="23">
        <f t="shared" si="27"/>
        <v>118881962</v>
      </c>
      <c r="J146" s="4"/>
      <c r="K146" s="4">
        <v>124381967</v>
      </c>
      <c r="L146" s="4"/>
      <c r="M146" s="4"/>
      <c r="N146" s="4"/>
      <c r="O146" s="4"/>
      <c r="P146" s="23">
        <f t="shared" si="28"/>
        <v>124381967</v>
      </c>
      <c r="Q146" s="4">
        <v>-5366671</v>
      </c>
      <c r="R146" s="4"/>
      <c r="S146" s="4"/>
      <c r="T146" s="4"/>
      <c r="U146" s="4"/>
      <c r="V146" s="4">
        <v>-133334</v>
      </c>
      <c r="W146" s="4"/>
      <c r="X146" s="4"/>
      <c r="Y146" s="23">
        <f t="shared" si="29"/>
        <v>-5500005</v>
      </c>
      <c r="Z146" s="23">
        <f t="shared" si="30"/>
        <v>118881962</v>
      </c>
      <c r="AA146" s="32">
        <f t="shared" si="31"/>
        <v>1</v>
      </c>
    </row>
    <row r="147" spans="1:27" x14ac:dyDescent="0.2">
      <c r="A147" s="55" t="s">
        <v>1163</v>
      </c>
      <c r="B147" s="4">
        <v>2159340</v>
      </c>
      <c r="C147" s="4"/>
      <c r="D147" s="4"/>
      <c r="E147" s="23"/>
      <c r="F147" s="4"/>
      <c r="G147" s="4"/>
      <c r="H147" s="4"/>
      <c r="I147" s="23">
        <f t="shared" si="27"/>
        <v>2159340</v>
      </c>
      <c r="J147" s="4"/>
      <c r="K147" s="4">
        <v>2159340</v>
      </c>
      <c r="L147" s="4"/>
      <c r="M147" s="4"/>
      <c r="N147" s="4"/>
      <c r="O147" s="4"/>
      <c r="P147" s="23">
        <f t="shared" si="28"/>
        <v>2159340</v>
      </c>
      <c r="Q147" s="4"/>
      <c r="R147" s="4"/>
      <c r="S147" s="4"/>
      <c r="T147" s="4"/>
      <c r="U147" s="4"/>
      <c r="V147" s="4"/>
      <c r="W147" s="4"/>
      <c r="X147" s="4"/>
      <c r="Y147" s="23">
        <f t="shared" si="29"/>
        <v>0</v>
      </c>
      <c r="Z147" s="23">
        <f t="shared" si="30"/>
        <v>2159340</v>
      </c>
      <c r="AA147" s="32">
        <f t="shared" si="31"/>
        <v>1</v>
      </c>
    </row>
    <row r="148" spans="1:27" ht="25.5" hidden="1" x14ac:dyDescent="0.2">
      <c r="A148" s="227" t="s">
        <v>278</v>
      </c>
      <c r="B148" s="217"/>
      <c r="C148" s="4"/>
      <c r="D148" s="4"/>
      <c r="E148" s="23"/>
      <c r="F148" s="4"/>
      <c r="G148" s="4"/>
      <c r="H148" s="4"/>
      <c r="I148" s="214">
        <f t="shared" si="27"/>
        <v>0</v>
      </c>
      <c r="J148" s="217"/>
      <c r="K148" s="217"/>
      <c r="L148" s="4"/>
      <c r="M148" s="4"/>
      <c r="N148" s="4"/>
      <c r="O148" s="4"/>
      <c r="P148" s="23">
        <f t="shared" si="28"/>
        <v>0</v>
      </c>
      <c r="Q148" s="4"/>
      <c r="R148" s="4"/>
      <c r="S148" s="4"/>
      <c r="T148" s="4"/>
      <c r="U148" s="4"/>
      <c r="V148" s="4"/>
      <c r="W148" s="4"/>
      <c r="X148" s="4"/>
      <c r="Y148" s="23">
        <f t="shared" si="29"/>
        <v>0</v>
      </c>
      <c r="Z148" s="214">
        <f t="shared" si="30"/>
        <v>0</v>
      </c>
      <c r="AA148" s="225" t="e">
        <f t="shared" si="31"/>
        <v>#DIV/0!</v>
      </c>
    </row>
    <row r="149" spans="1:27" ht="25.5" x14ac:dyDescent="0.2">
      <c r="A149" s="55" t="s">
        <v>256</v>
      </c>
      <c r="B149" s="4">
        <v>105989181</v>
      </c>
      <c r="C149" s="4"/>
      <c r="D149" s="4"/>
      <c r="E149" s="23"/>
      <c r="F149" s="4"/>
      <c r="G149" s="4"/>
      <c r="H149" s="4"/>
      <c r="I149" s="23">
        <f t="shared" si="27"/>
        <v>105989181</v>
      </c>
      <c r="J149" s="4"/>
      <c r="K149" s="4">
        <v>105989181</v>
      </c>
      <c r="L149" s="4"/>
      <c r="M149" s="4"/>
      <c r="N149" s="4"/>
      <c r="O149" s="4"/>
      <c r="P149" s="23">
        <f t="shared" si="28"/>
        <v>105989181</v>
      </c>
      <c r="Q149" s="4"/>
      <c r="R149" s="4"/>
      <c r="S149" s="4"/>
      <c r="T149" s="4"/>
      <c r="U149" s="4"/>
      <c r="V149" s="4"/>
      <c r="W149" s="4"/>
      <c r="X149" s="4"/>
      <c r="Y149" s="23">
        <f t="shared" si="29"/>
        <v>0</v>
      </c>
      <c r="Z149" s="23">
        <f t="shared" si="30"/>
        <v>105989181</v>
      </c>
      <c r="AA149" s="32">
        <f t="shared" si="31"/>
        <v>1</v>
      </c>
    </row>
    <row r="150" spans="1:27" s="5" customFormat="1" ht="15" x14ac:dyDescent="0.2">
      <c r="A150" s="54" t="s">
        <v>78</v>
      </c>
      <c r="B150" s="21"/>
      <c r="C150" s="21"/>
      <c r="D150" s="21"/>
      <c r="E150" s="21"/>
      <c r="F150" s="21"/>
      <c r="G150" s="21"/>
      <c r="H150" s="21"/>
      <c r="I150" s="23"/>
      <c r="J150" s="21"/>
      <c r="K150" s="21"/>
      <c r="L150" s="21"/>
      <c r="M150" s="21"/>
      <c r="N150" s="21"/>
      <c r="O150" s="21"/>
      <c r="P150" s="23">
        <f t="shared" si="28"/>
        <v>0</v>
      </c>
      <c r="Q150" s="21"/>
      <c r="R150" s="21"/>
      <c r="S150" s="21"/>
      <c r="T150" s="21"/>
      <c r="U150" s="21"/>
      <c r="V150" s="21"/>
      <c r="W150" s="21"/>
      <c r="X150" s="21"/>
      <c r="Y150" s="23">
        <f t="shared" si="29"/>
        <v>0</v>
      </c>
      <c r="Z150" s="23"/>
      <c r="AA150" s="32"/>
    </row>
    <row r="151" spans="1:27" s="5" customFormat="1" ht="25.5" x14ac:dyDescent="0.2">
      <c r="A151" s="54" t="s">
        <v>79</v>
      </c>
      <c r="B151" s="21"/>
      <c r="C151" s="21"/>
      <c r="D151" s="21"/>
      <c r="E151" s="21"/>
      <c r="F151" s="21"/>
      <c r="G151" s="21"/>
      <c r="H151" s="21"/>
      <c r="I151" s="23"/>
      <c r="J151" s="21"/>
      <c r="K151" s="21"/>
      <c r="L151" s="21"/>
      <c r="M151" s="21"/>
      <c r="N151" s="21"/>
      <c r="O151" s="21"/>
      <c r="P151" s="23">
        <f t="shared" si="28"/>
        <v>0</v>
      </c>
      <c r="Q151" s="21"/>
      <c r="R151" s="21"/>
      <c r="S151" s="21"/>
      <c r="T151" s="21"/>
      <c r="U151" s="21"/>
      <c r="V151" s="21"/>
      <c r="W151" s="21"/>
      <c r="X151" s="21"/>
      <c r="Y151" s="23">
        <f t="shared" si="29"/>
        <v>0</v>
      </c>
      <c r="Z151" s="23"/>
      <c r="AA151" s="32"/>
    </row>
    <row r="152" spans="1:27" s="5" customFormat="1" ht="15" x14ac:dyDescent="0.2">
      <c r="A152" s="167" t="s">
        <v>109</v>
      </c>
      <c r="B152" s="4">
        <v>2999760</v>
      </c>
      <c r="C152" s="2"/>
      <c r="D152" s="2"/>
      <c r="E152" s="23"/>
      <c r="F152" s="4"/>
      <c r="G152" s="2"/>
      <c r="H152" s="2"/>
      <c r="I152" s="23">
        <f t="shared" si="27"/>
        <v>2999760</v>
      </c>
      <c r="J152" s="4"/>
      <c r="K152" s="4">
        <v>2999760</v>
      </c>
      <c r="L152" s="2"/>
      <c r="M152" s="2"/>
      <c r="N152" s="4"/>
      <c r="O152" s="2"/>
      <c r="P152" s="23">
        <f t="shared" si="28"/>
        <v>2999760</v>
      </c>
      <c r="Q152" s="2"/>
      <c r="R152" s="4"/>
      <c r="S152" s="2"/>
      <c r="T152" s="2"/>
      <c r="U152" s="2"/>
      <c r="V152" s="4"/>
      <c r="W152" s="2"/>
      <c r="X152" s="2"/>
      <c r="Y152" s="23">
        <f t="shared" si="29"/>
        <v>0</v>
      </c>
      <c r="Z152" s="23">
        <f t="shared" si="30"/>
        <v>2999760</v>
      </c>
      <c r="AA152" s="32">
        <f t="shared" si="31"/>
        <v>1</v>
      </c>
    </row>
    <row r="153" spans="1:27" s="5" customFormat="1" ht="15" x14ac:dyDescent="0.2">
      <c r="A153" s="55" t="s">
        <v>365</v>
      </c>
      <c r="B153" s="4">
        <v>109164816</v>
      </c>
      <c r="C153" s="2"/>
      <c r="D153" s="2"/>
      <c r="E153" s="23"/>
      <c r="F153" s="4">
        <v>4374332</v>
      </c>
      <c r="G153" s="2"/>
      <c r="H153" s="2"/>
      <c r="I153" s="23">
        <f t="shared" si="27"/>
        <v>104790484</v>
      </c>
      <c r="J153" s="4"/>
      <c r="K153" s="4">
        <v>109164816</v>
      </c>
      <c r="L153" s="2"/>
      <c r="M153" s="2"/>
      <c r="N153" s="4"/>
      <c r="O153" s="2"/>
      <c r="P153" s="23">
        <f t="shared" si="28"/>
        <v>109164816</v>
      </c>
      <c r="Q153" s="2"/>
      <c r="R153" s="4"/>
      <c r="S153" s="2"/>
      <c r="T153" s="2"/>
      <c r="U153" s="2"/>
      <c r="V153" s="4">
        <v>-4374332</v>
      </c>
      <c r="W153" s="2"/>
      <c r="X153" s="2"/>
      <c r="Y153" s="23">
        <f t="shared" si="29"/>
        <v>-4374332</v>
      </c>
      <c r="Z153" s="23">
        <f t="shared" si="30"/>
        <v>104790484</v>
      </c>
      <c r="AA153" s="32">
        <f t="shared" si="31"/>
        <v>1</v>
      </c>
    </row>
    <row r="154" spans="1:27" s="5" customFormat="1" ht="25.5" hidden="1" x14ac:dyDescent="0.2">
      <c r="A154" s="227" t="s">
        <v>122</v>
      </c>
      <c r="B154" s="217"/>
      <c r="C154" s="4"/>
      <c r="D154" s="4"/>
      <c r="E154" s="23"/>
      <c r="F154" s="4"/>
      <c r="G154" s="4"/>
      <c r="H154" s="4"/>
      <c r="I154" s="214">
        <f t="shared" si="27"/>
        <v>0</v>
      </c>
      <c r="J154" s="217"/>
      <c r="K154" s="217"/>
      <c r="L154" s="4"/>
      <c r="M154" s="4"/>
      <c r="N154" s="4"/>
      <c r="O154" s="4"/>
      <c r="P154" s="23">
        <f t="shared" si="28"/>
        <v>0</v>
      </c>
      <c r="Q154" s="4"/>
      <c r="R154" s="4"/>
      <c r="S154" s="4"/>
      <c r="T154" s="4"/>
      <c r="U154" s="4"/>
      <c r="V154" s="4"/>
      <c r="W154" s="4"/>
      <c r="X154" s="4"/>
      <c r="Y154" s="23">
        <f t="shared" si="29"/>
        <v>0</v>
      </c>
      <c r="Z154" s="214">
        <f t="shared" si="30"/>
        <v>0</v>
      </c>
      <c r="AA154" s="225" t="e">
        <f t="shared" si="31"/>
        <v>#DIV/0!</v>
      </c>
    </row>
    <row r="155" spans="1:27" s="5" customFormat="1" ht="25.5" x14ac:dyDescent="0.2">
      <c r="A155" s="55" t="s">
        <v>257</v>
      </c>
      <c r="B155" s="4">
        <v>37707521.490000002</v>
      </c>
      <c r="C155" s="4"/>
      <c r="D155" s="4"/>
      <c r="E155" s="23"/>
      <c r="F155" s="4">
        <v>9483667</v>
      </c>
      <c r="G155" s="4"/>
      <c r="H155" s="4"/>
      <c r="I155" s="23">
        <f t="shared" si="27"/>
        <v>28223854.490000002</v>
      </c>
      <c r="J155" s="4"/>
      <c r="K155" s="4">
        <v>37707521.490000002</v>
      </c>
      <c r="L155" s="4"/>
      <c r="M155" s="4"/>
      <c r="N155" s="4"/>
      <c r="O155" s="4"/>
      <c r="P155" s="23">
        <f t="shared" si="28"/>
        <v>37707521.490000002</v>
      </c>
      <c r="Q155" s="4">
        <v>-3500000</v>
      </c>
      <c r="R155" s="4"/>
      <c r="S155" s="4"/>
      <c r="T155" s="4"/>
      <c r="U155" s="4"/>
      <c r="V155" s="4">
        <v>-5983667</v>
      </c>
      <c r="W155" s="4"/>
      <c r="X155" s="4"/>
      <c r="Y155" s="23">
        <f t="shared" si="29"/>
        <v>-9483667</v>
      </c>
      <c r="Z155" s="23">
        <f t="shared" si="30"/>
        <v>28223854.490000002</v>
      </c>
      <c r="AA155" s="32">
        <f t="shared" si="31"/>
        <v>1</v>
      </c>
    </row>
    <row r="156" spans="1:27" s="5" customFormat="1" ht="15" hidden="1" x14ac:dyDescent="0.2">
      <c r="A156" s="227" t="s">
        <v>369</v>
      </c>
      <c r="B156" s="217"/>
      <c r="C156" s="4"/>
      <c r="D156" s="4"/>
      <c r="E156" s="23"/>
      <c r="F156" s="4"/>
      <c r="G156" s="4"/>
      <c r="H156" s="4"/>
      <c r="I156" s="214">
        <f t="shared" si="27"/>
        <v>0</v>
      </c>
      <c r="J156" s="217"/>
      <c r="K156" s="217"/>
      <c r="L156" s="4"/>
      <c r="M156" s="4"/>
      <c r="N156" s="4"/>
      <c r="O156" s="4"/>
      <c r="P156" s="23">
        <f t="shared" si="28"/>
        <v>0</v>
      </c>
      <c r="Q156" s="4"/>
      <c r="R156" s="4"/>
      <c r="S156" s="4"/>
      <c r="T156" s="4"/>
      <c r="U156" s="4"/>
      <c r="V156" s="4"/>
      <c r="W156" s="4"/>
      <c r="X156" s="4"/>
      <c r="Y156" s="23">
        <f t="shared" si="29"/>
        <v>0</v>
      </c>
      <c r="Z156" s="214">
        <f t="shared" si="30"/>
        <v>0</v>
      </c>
      <c r="AA156" s="225" t="e">
        <f t="shared" si="31"/>
        <v>#DIV/0!</v>
      </c>
    </row>
    <row r="157" spans="1:27" s="5" customFormat="1" ht="25.5" hidden="1" x14ac:dyDescent="0.2">
      <c r="A157" s="227" t="s">
        <v>372</v>
      </c>
      <c r="B157" s="217"/>
      <c r="C157" s="4"/>
      <c r="D157" s="4"/>
      <c r="E157" s="23"/>
      <c r="F157" s="4"/>
      <c r="G157" s="4"/>
      <c r="H157" s="4"/>
      <c r="I157" s="214">
        <f t="shared" si="27"/>
        <v>0</v>
      </c>
      <c r="J157" s="217"/>
      <c r="K157" s="217"/>
      <c r="L157" s="4"/>
      <c r="M157" s="4"/>
      <c r="N157" s="4"/>
      <c r="O157" s="4"/>
      <c r="P157" s="23">
        <f t="shared" si="28"/>
        <v>0</v>
      </c>
      <c r="Q157" s="4"/>
      <c r="R157" s="4"/>
      <c r="S157" s="4"/>
      <c r="T157" s="4"/>
      <c r="U157" s="4"/>
      <c r="V157" s="4"/>
      <c r="W157" s="4"/>
      <c r="X157" s="4"/>
      <c r="Y157" s="23">
        <f t="shared" si="29"/>
        <v>0</v>
      </c>
      <c r="Z157" s="214">
        <f t="shared" si="30"/>
        <v>0</v>
      </c>
      <c r="AA157" s="225" t="e">
        <f t="shared" si="31"/>
        <v>#DIV/0!</v>
      </c>
    </row>
    <row r="158" spans="1:27" s="5" customFormat="1" ht="15" hidden="1" x14ac:dyDescent="0.2">
      <c r="A158" s="227" t="s">
        <v>366</v>
      </c>
      <c r="B158" s="217"/>
      <c r="C158" s="4"/>
      <c r="D158" s="4"/>
      <c r="E158" s="23"/>
      <c r="F158" s="4"/>
      <c r="G158" s="4"/>
      <c r="H158" s="4"/>
      <c r="I158" s="214">
        <f t="shared" si="27"/>
        <v>0</v>
      </c>
      <c r="J158" s="217"/>
      <c r="K158" s="217"/>
      <c r="L158" s="4"/>
      <c r="M158" s="4"/>
      <c r="N158" s="4"/>
      <c r="O158" s="4"/>
      <c r="P158" s="23">
        <f t="shared" si="28"/>
        <v>0</v>
      </c>
      <c r="Q158" s="4"/>
      <c r="R158" s="4"/>
      <c r="S158" s="4"/>
      <c r="T158" s="4"/>
      <c r="U158" s="4"/>
      <c r="V158" s="4"/>
      <c r="W158" s="4"/>
      <c r="X158" s="4"/>
      <c r="Y158" s="23">
        <f t="shared" si="29"/>
        <v>0</v>
      </c>
      <c r="Z158" s="214">
        <f t="shared" si="30"/>
        <v>0</v>
      </c>
      <c r="AA158" s="225" t="e">
        <f t="shared" si="31"/>
        <v>#DIV/0!</v>
      </c>
    </row>
    <row r="159" spans="1:27" s="5" customFormat="1" ht="25.5" hidden="1" x14ac:dyDescent="0.2">
      <c r="A159" s="227" t="s">
        <v>368</v>
      </c>
      <c r="B159" s="217"/>
      <c r="C159" s="4"/>
      <c r="D159" s="4"/>
      <c r="E159" s="23"/>
      <c r="F159" s="4"/>
      <c r="G159" s="4"/>
      <c r="H159" s="4"/>
      <c r="I159" s="214">
        <f t="shared" si="27"/>
        <v>0</v>
      </c>
      <c r="J159" s="217"/>
      <c r="K159" s="217"/>
      <c r="L159" s="4"/>
      <c r="M159" s="4"/>
      <c r="N159" s="4"/>
      <c r="O159" s="4"/>
      <c r="P159" s="23">
        <f t="shared" si="28"/>
        <v>0</v>
      </c>
      <c r="Q159" s="4"/>
      <c r="R159" s="4"/>
      <c r="S159" s="4"/>
      <c r="T159" s="4"/>
      <c r="U159" s="4"/>
      <c r="V159" s="4"/>
      <c r="W159" s="4"/>
      <c r="X159" s="4"/>
      <c r="Y159" s="23">
        <f t="shared" si="29"/>
        <v>0</v>
      </c>
      <c r="Z159" s="214">
        <f t="shared" si="30"/>
        <v>0</v>
      </c>
      <c r="AA159" s="225" t="e">
        <f t="shared" si="31"/>
        <v>#DIV/0!</v>
      </c>
    </row>
    <row r="160" spans="1:27" s="5" customFormat="1" ht="15" x14ac:dyDescent="0.2">
      <c r="A160" s="55" t="s">
        <v>1169</v>
      </c>
      <c r="B160" s="4">
        <v>22719141.93</v>
      </c>
      <c r="C160" s="4"/>
      <c r="D160" s="4"/>
      <c r="E160" s="23"/>
      <c r="F160" s="4"/>
      <c r="G160" s="4"/>
      <c r="H160" s="4"/>
      <c r="I160" s="23">
        <f t="shared" si="27"/>
        <v>22719141.93</v>
      </c>
      <c r="J160" s="4"/>
      <c r="K160" s="4">
        <v>22719141.93</v>
      </c>
      <c r="L160" s="4"/>
      <c r="M160" s="4"/>
      <c r="N160" s="4"/>
      <c r="O160" s="4"/>
      <c r="P160" s="23">
        <f t="shared" si="28"/>
        <v>22719141.93</v>
      </c>
      <c r="Q160" s="4"/>
      <c r="R160" s="4"/>
      <c r="S160" s="4"/>
      <c r="T160" s="4"/>
      <c r="U160" s="4"/>
      <c r="V160" s="4"/>
      <c r="W160" s="4"/>
      <c r="X160" s="4"/>
      <c r="Y160" s="23">
        <f t="shared" si="29"/>
        <v>0</v>
      </c>
      <c r="Z160" s="23">
        <f t="shared" si="30"/>
        <v>22719141.93</v>
      </c>
      <c r="AA160" s="32">
        <f t="shared" si="31"/>
        <v>1</v>
      </c>
    </row>
    <row r="161" spans="1:27" s="5" customFormat="1" ht="25.5" x14ac:dyDescent="0.2">
      <c r="A161" s="55" t="s">
        <v>123</v>
      </c>
      <c r="B161" s="4">
        <v>17086</v>
      </c>
      <c r="C161" s="4"/>
      <c r="D161" s="4"/>
      <c r="E161" s="23"/>
      <c r="F161" s="4"/>
      <c r="G161" s="4"/>
      <c r="H161" s="4"/>
      <c r="I161" s="23">
        <f t="shared" si="27"/>
        <v>17086</v>
      </c>
      <c r="J161" s="4"/>
      <c r="K161" s="4">
        <v>17086</v>
      </c>
      <c r="L161" s="4"/>
      <c r="M161" s="4"/>
      <c r="N161" s="4"/>
      <c r="O161" s="4"/>
      <c r="P161" s="23">
        <f t="shared" si="28"/>
        <v>17086</v>
      </c>
      <c r="Q161" s="4"/>
      <c r="R161" s="4"/>
      <c r="S161" s="4"/>
      <c r="T161" s="4"/>
      <c r="U161" s="4"/>
      <c r="V161" s="4"/>
      <c r="W161" s="4"/>
      <c r="X161" s="4"/>
      <c r="Y161" s="23">
        <f t="shared" si="29"/>
        <v>0</v>
      </c>
      <c r="Z161" s="23">
        <f t="shared" si="30"/>
        <v>17086</v>
      </c>
      <c r="AA161" s="32">
        <f t="shared" si="31"/>
        <v>1</v>
      </c>
    </row>
    <row r="162" spans="1:27" s="5" customFormat="1" ht="15" x14ac:dyDescent="0.2">
      <c r="A162" s="55" t="s">
        <v>277</v>
      </c>
      <c r="B162" s="4">
        <v>5418391443.46</v>
      </c>
      <c r="C162" s="4"/>
      <c r="D162" s="4"/>
      <c r="E162" s="23"/>
      <c r="F162" s="4">
        <v>8950000</v>
      </c>
      <c r="G162" s="4"/>
      <c r="H162" s="4"/>
      <c r="I162" s="23">
        <f t="shared" si="27"/>
        <v>5409441443.46</v>
      </c>
      <c r="J162" s="4"/>
      <c r="K162" s="4">
        <v>5418391443.46</v>
      </c>
      <c r="L162" s="4"/>
      <c r="M162" s="4"/>
      <c r="N162" s="4"/>
      <c r="O162" s="4"/>
      <c r="P162" s="23">
        <f t="shared" si="28"/>
        <v>5418391443.46</v>
      </c>
      <c r="Q162" s="4">
        <v>-1300000</v>
      </c>
      <c r="R162" s="4"/>
      <c r="S162" s="4"/>
      <c r="T162" s="4"/>
      <c r="U162" s="4"/>
      <c r="V162" s="4">
        <v>-7650000</v>
      </c>
      <c r="W162" s="4"/>
      <c r="X162" s="4"/>
      <c r="Y162" s="23">
        <f t="shared" si="29"/>
        <v>-8950000</v>
      </c>
      <c r="Z162" s="23">
        <f t="shared" si="30"/>
        <v>5409441443.46</v>
      </c>
      <c r="AA162" s="32">
        <f t="shared" si="31"/>
        <v>1</v>
      </c>
    </row>
    <row r="163" spans="1:27" s="5" customFormat="1" ht="15" x14ac:dyDescent="0.2">
      <c r="A163" s="54" t="s">
        <v>47</v>
      </c>
      <c r="B163" s="21"/>
      <c r="C163" s="21"/>
      <c r="D163" s="21"/>
      <c r="E163" s="21"/>
      <c r="F163" s="21"/>
      <c r="G163" s="21"/>
      <c r="H163" s="21"/>
      <c r="I163" s="23"/>
      <c r="J163" s="21"/>
      <c r="K163" s="21"/>
      <c r="L163" s="21"/>
      <c r="M163" s="21"/>
      <c r="N163" s="21"/>
      <c r="O163" s="21"/>
      <c r="P163" s="23">
        <f t="shared" si="28"/>
        <v>0</v>
      </c>
      <c r="Q163" s="21"/>
      <c r="R163" s="21"/>
      <c r="S163" s="21"/>
      <c r="T163" s="21"/>
      <c r="U163" s="21"/>
      <c r="V163" s="21"/>
      <c r="W163" s="21"/>
      <c r="X163" s="21"/>
      <c r="Y163" s="23">
        <f t="shared" si="29"/>
        <v>0</v>
      </c>
      <c r="Z163" s="23"/>
      <c r="AA163" s="32"/>
    </row>
    <row r="164" spans="1:27" hidden="1" x14ac:dyDescent="0.2">
      <c r="A164" s="227" t="s">
        <v>258</v>
      </c>
      <c r="B164" s="217"/>
      <c r="C164" s="4"/>
      <c r="D164" s="4"/>
      <c r="E164" s="23"/>
      <c r="F164" s="4"/>
      <c r="G164" s="4"/>
      <c r="H164" s="4"/>
      <c r="I164" s="214">
        <f t="shared" si="27"/>
        <v>0</v>
      </c>
      <c r="J164" s="217"/>
      <c r="K164" s="217"/>
      <c r="L164" s="4"/>
      <c r="M164" s="4"/>
      <c r="N164" s="4"/>
      <c r="O164" s="4"/>
      <c r="P164" s="23">
        <f t="shared" si="28"/>
        <v>0</v>
      </c>
      <c r="Q164" s="4"/>
      <c r="R164" s="4"/>
      <c r="S164" s="4"/>
      <c r="T164" s="4"/>
      <c r="U164" s="4"/>
      <c r="V164" s="4"/>
      <c r="W164" s="4"/>
      <c r="X164" s="4"/>
      <c r="Y164" s="23">
        <f t="shared" si="29"/>
        <v>0</v>
      </c>
      <c r="Z164" s="214">
        <f t="shared" si="30"/>
        <v>0</v>
      </c>
      <c r="AA164" s="225" t="e">
        <f t="shared" si="31"/>
        <v>#DIV/0!</v>
      </c>
    </row>
    <row r="165" spans="1:27" x14ac:dyDescent="0.2">
      <c r="A165" s="55" t="s">
        <v>367</v>
      </c>
      <c r="B165" s="4">
        <v>108182334.59999999</v>
      </c>
      <c r="C165" s="4"/>
      <c r="D165" s="4"/>
      <c r="E165" s="23"/>
      <c r="F165" s="4">
        <v>66008797</v>
      </c>
      <c r="G165" s="4"/>
      <c r="H165" s="4"/>
      <c r="I165" s="23">
        <f t="shared" si="27"/>
        <v>42173537.599999994</v>
      </c>
      <c r="J165" s="4"/>
      <c r="K165" s="4">
        <v>108182334.59999999</v>
      </c>
      <c r="L165" s="4"/>
      <c r="M165" s="4"/>
      <c r="N165" s="4"/>
      <c r="O165" s="4"/>
      <c r="P165" s="23">
        <f t="shared" si="28"/>
        <v>108182334.59999999</v>
      </c>
      <c r="Q165" s="4"/>
      <c r="R165" s="4"/>
      <c r="S165" s="4"/>
      <c r="T165" s="4"/>
      <c r="U165" s="4"/>
      <c r="V165" s="4">
        <v>-66008797</v>
      </c>
      <c r="W165" s="4"/>
      <c r="X165" s="4"/>
      <c r="Y165" s="23">
        <f t="shared" si="29"/>
        <v>-66008797</v>
      </c>
      <c r="Z165" s="23">
        <f t="shared" si="30"/>
        <v>42173537.599999994</v>
      </c>
      <c r="AA165" s="32">
        <f t="shared" si="31"/>
        <v>1</v>
      </c>
    </row>
    <row r="166" spans="1:27" s="5" customFormat="1" ht="25.5" x14ac:dyDescent="0.2">
      <c r="A166" s="55" t="s">
        <v>1167</v>
      </c>
      <c r="B166" s="4">
        <v>1271.97</v>
      </c>
      <c r="C166" s="2"/>
      <c r="D166" s="2"/>
      <c r="E166" s="23"/>
      <c r="F166" s="90"/>
      <c r="G166" s="2"/>
      <c r="H166" s="2"/>
      <c r="I166" s="23">
        <f t="shared" si="27"/>
        <v>1271.97</v>
      </c>
      <c r="J166" s="2"/>
      <c r="K166" s="4">
        <v>1271.97</v>
      </c>
      <c r="L166" s="2"/>
      <c r="M166" s="2"/>
      <c r="N166" s="4"/>
      <c r="O166" s="2"/>
      <c r="P166" s="23">
        <f t="shared" si="28"/>
        <v>1271.97</v>
      </c>
      <c r="Q166" s="2"/>
      <c r="R166" s="90"/>
      <c r="S166" s="2"/>
      <c r="T166" s="2"/>
      <c r="U166" s="2"/>
      <c r="V166" s="2"/>
      <c r="W166" s="2"/>
      <c r="X166" s="2"/>
      <c r="Y166" s="23">
        <f t="shared" si="29"/>
        <v>0</v>
      </c>
      <c r="Z166" s="23">
        <f t="shared" si="30"/>
        <v>1271.97</v>
      </c>
      <c r="AA166" s="32">
        <f t="shared" si="31"/>
        <v>1</v>
      </c>
    </row>
    <row r="167" spans="1:27" s="5" customFormat="1" ht="25.5" x14ac:dyDescent="0.2">
      <c r="A167" s="55" t="s">
        <v>1168</v>
      </c>
      <c r="B167" s="4">
        <v>14280000</v>
      </c>
      <c r="C167" s="2"/>
      <c r="D167" s="2"/>
      <c r="E167" s="23"/>
      <c r="F167" s="90"/>
      <c r="G167" s="2"/>
      <c r="H167" s="2"/>
      <c r="I167" s="23">
        <f t="shared" si="27"/>
        <v>14280000</v>
      </c>
      <c r="J167" s="2"/>
      <c r="K167" s="4">
        <v>14280000</v>
      </c>
      <c r="L167" s="2"/>
      <c r="M167" s="2"/>
      <c r="N167" s="4"/>
      <c r="O167" s="2"/>
      <c r="P167" s="23">
        <f t="shared" si="28"/>
        <v>14280000</v>
      </c>
      <c r="Q167" s="2"/>
      <c r="R167" s="90"/>
      <c r="S167" s="2"/>
      <c r="T167" s="2"/>
      <c r="U167" s="2"/>
      <c r="V167" s="2"/>
      <c r="W167" s="2"/>
      <c r="X167" s="2"/>
      <c r="Y167" s="23">
        <f t="shared" si="29"/>
        <v>0</v>
      </c>
      <c r="Z167" s="23">
        <f t="shared" si="30"/>
        <v>14280000</v>
      </c>
      <c r="AA167" s="32">
        <f t="shared" si="31"/>
        <v>1</v>
      </c>
    </row>
    <row r="168" spans="1:27" s="5" customFormat="1" ht="25.5" x14ac:dyDescent="0.2">
      <c r="A168" s="57" t="s">
        <v>373</v>
      </c>
      <c r="B168" s="4">
        <v>179370297.40000001</v>
      </c>
      <c r="C168" s="2"/>
      <c r="D168" s="2"/>
      <c r="E168" s="23"/>
      <c r="F168" s="4">
        <v>3</v>
      </c>
      <c r="G168" s="2"/>
      <c r="H168" s="2"/>
      <c r="I168" s="23">
        <f t="shared" si="27"/>
        <v>179370294.40000001</v>
      </c>
      <c r="J168" s="2"/>
      <c r="K168" s="4">
        <v>179370297.40000001</v>
      </c>
      <c r="L168" s="2"/>
      <c r="M168" s="2"/>
      <c r="N168" s="4"/>
      <c r="O168" s="2"/>
      <c r="P168" s="23">
        <f t="shared" si="28"/>
        <v>179370297.40000001</v>
      </c>
      <c r="Q168" s="2"/>
      <c r="R168" s="2"/>
      <c r="S168" s="2"/>
      <c r="T168" s="2"/>
      <c r="U168" s="2"/>
      <c r="V168" s="4">
        <v>-3</v>
      </c>
      <c r="W168" s="2"/>
      <c r="X168" s="2"/>
      <c r="Y168" s="23">
        <f t="shared" si="29"/>
        <v>-3</v>
      </c>
      <c r="Z168" s="23">
        <f t="shared" si="30"/>
        <v>179370294.40000001</v>
      </c>
      <c r="AA168" s="32">
        <f t="shared" si="31"/>
        <v>1</v>
      </c>
    </row>
    <row r="169" spans="1:27" s="5" customFormat="1" ht="15.75" thickBot="1" x14ac:dyDescent="0.25">
      <c r="A169" s="58" t="s">
        <v>371</v>
      </c>
      <c r="B169" s="4">
        <v>719408772.39999998</v>
      </c>
      <c r="C169" s="10"/>
      <c r="D169" s="10"/>
      <c r="E169" s="37"/>
      <c r="F169" s="10"/>
      <c r="G169" s="10"/>
      <c r="H169" s="10"/>
      <c r="I169" s="23">
        <f t="shared" si="27"/>
        <v>719408772.39999998</v>
      </c>
      <c r="J169" s="10"/>
      <c r="K169" s="11">
        <v>719408772.39999998</v>
      </c>
      <c r="L169" s="10"/>
      <c r="M169" s="10"/>
      <c r="N169" s="11"/>
      <c r="O169" s="10"/>
      <c r="P169" s="23">
        <f t="shared" si="28"/>
        <v>719408772.39999998</v>
      </c>
      <c r="Q169" s="10"/>
      <c r="R169" s="10"/>
      <c r="S169" s="10"/>
      <c r="T169" s="10"/>
      <c r="U169" s="10"/>
      <c r="V169" s="10"/>
      <c r="W169" s="10"/>
      <c r="X169" s="10"/>
      <c r="Y169" s="23">
        <f t="shared" si="29"/>
        <v>0</v>
      </c>
      <c r="Z169" s="23">
        <f t="shared" si="30"/>
        <v>719408772.39999998</v>
      </c>
      <c r="AA169" s="32">
        <f t="shared" si="31"/>
        <v>1</v>
      </c>
    </row>
    <row r="170" spans="1:27" ht="41.25" thickBot="1" x14ac:dyDescent="0.25">
      <c r="A170" s="41" t="s">
        <v>81</v>
      </c>
      <c r="B170" s="63">
        <f t="shared" ref="B170:Z170" si="32">+B122</f>
        <v>18509233606.330002</v>
      </c>
      <c r="C170" s="63">
        <f t="shared" si="32"/>
        <v>0</v>
      </c>
      <c r="D170" s="63">
        <f t="shared" si="32"/>
        <v>0</v>
      </c>
      <c r="E170" s="63">
        <f t="shared" si="32"/>
        <v>0</v>
      </c>
      <c r="F170" s="63">
        <f t="shared" si="32"/>
        <v>281515511.09000003</v>
      </c>
      <c r="G170" s="63">
        <f t="shared" si="32"/>
        <v>0</v>
      </c>
      <c r="H170" s="63">
        <f t="shared" si="32"/>
        <v>0</v>
      </c>
      <c r="I170" s="63">
        <f t="shared" si="32"/>
        <v>18227718095.240002</v>
      </c>
      <c r="J170" s="63">
        <f t="shared" si="32"/>
        <v>0</v>
      </c>
      <c r="K170" s="63">
        <f t="shared" si="32"/>
        <v>18509233606.330002</v>
      </c>
      <c r="L170" s="63">
        <f t="shared" si="32"/>
        <v>0</v>
      </c>
      <c r="M170" s="63">
        <f t="shared" si="32"/>
        <v>0</v>
      </c>
      <c r="N170" s="63">
        <f t="shared" si="32"/>
        <v>0</v>
      </c>
      <c r="O170" s="63">
        <f t="shared" si="32"/>
        <v>0</v>
      </c>
      <c r="P170" s="63">
        <f t="shared" si="32"/>
        <v>18509233606.330002</v>
      </c>
      <c r="Q170" s="63">
        <f t="shared" si="32"/>
        <v>-77456672.849999994</v>
      </c>
      <c r="R170" s="63">
        <f t="shared" si="32"/>
        <v>0</v>
      </c>
      <c r="S170" s="63">
        <f t="shared" si="32"/>
        <v>0</v>
      </c>
      <c r="T170" s="63">
        <f t="shared" si="32"/>
        <v>0</v>
      </c>
      <c r="U170" s="63">
        <f t="shared" si="32"/>
        <v>0</v>
      </c>
      <c r="V170" s="63">
        <f t="shared" si="32"/>
        <v>-204058838.24000001</v>
      </c>
      <c r="W170" s="63">
        <f t="shared" si="32"/>
        <v>0</v>
      </c>
      <c r="X170" s="63">
        <f t="shared" si="32"/>
        <v>0</v>
      </c>
      <c r="Y170" s="63">
        <f t="shared" si="32"/>
        <v>-281515511.09000003</v>
      </c>
      <c r="Z170" s="63">
        <f t="shared" si="32"/>
        <v>18227718095.240002</v>
      </c>
      <c r="AA170" s="95">
        <f>+Z170/I170</f>
        <v>1</v>
      </c>
    </row>
    <row r="171" spans="1:27" ht="15" hidden="1" x14ac:dyDescent="0.2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8"/>
    </row>
    <row r="172" spans="1:27" s="5" customFormat="1" ht="41.25" hidden="1" thickBot="1" x14ac:dyDescent="0.25">
      <c r="A172" s="45" t="s">
        <v>259</v>
      </c>
      <c r="B172" s="46"/>
      <c r="C172" s="46"/>
      <c r="D172" s="46"/>
      <c r="E172" s="64"/>
      <c r="F172" s="64"/>
      <c r="G172" s="46"/>
      <c r="H172" s="46"/>
      <c r="I172" s="46"/>
      <c r="J172" s="46"/>
      <c r="K172" s="64"/>
      <c r="L172" s="46"/>
      <c r="M172" s="46"/>
      <c r="N172" s="46"/>
      <c r="O172" s="46"/>
      <c r="P172" s="47">
        <f>SUM(J172:O172)</f>
        <v>0</v>
      </c>
      <c r="Q172" s="46"/>
      <c r="R172" s="64"/>
      <c r="S172" s="46"/>
      <c r="T172" s="46"/>
      <c r="U172" s="46"/>
      <c r="V172" s="46"/>
      <c r="W172" s="46"/>
      <c r="X172" s="46"/>
      <c r="Y172" s="47">
        <f>SUM(Q172:X172)</f>
        <v>0</v>
      </c>
      <c r="Z172" s="47">
        <f>+P172+Y172</f>
        <v>0</v>
      </c>
      <c r="AA172" s="49">
        <v>0</v>
      </c>
    </row>
    <row r="173" spans="1:27" ht="15.75" thickBot="1" x14ac:dyDescent="0.25">
      <c r="A173" s="8"/>
      <c r="B173" s="44"/>
      <c r="C173" s="44"/>
      <c r="D173" s="44"/>
      <c r="E173" s="44"/>
      <c r="F173" s="220">
        <v>281515511.08999997</v>
      </c>
      <c r="G173" s="44"/>
      <c r="H173" s="44"/>
      <c r="I173" s="44">
        <f>+F173-F170</f>
        <v>0</v>
      </c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50"/>
    </row>
    <row r="174" spans="1:27" ht="61.5" thickBot="1" x14ac:dyDescent="0.25">
      <c r="A174" s="91" t="s">
        <v>260</v>
      </c>
      <c r="B174" s="46">
        <v>2181407370.0999999</v>
      </c>
      <c r="C174" s="46"/>
      <c r="D174" s="46"/>
      <c r="E174" s="46"/>
      <c r="F174" s="221"/>
      <c r="G174" s="46"/>
      <c r="H174" s="46"/>
      <c r="I174" s="46">
        <f>+B174+C174-D174+E174-F174</f>
        <v>2181407370.0999999</v>
      </c>
      <c r="J174" s="46"/>
      <c r="K174" s="46">
        <v>2181407370.0999999</v>
      </c>
      <c r="L174" s="46"/>
      <c r="M174" s="46"/>
      <c r="N174" s="46"/>
      <c r="O174" s="64"/>
      <c r="P174" s="47">
        <f>SUM(J174:O174)</f>
        <v>2181407370.0999999</v>
      </c>
      <c r="Q174" s="46"/>
      <c r="R174" s="46"/>
      <c r="S174" s="46"/>
      <c r="T174" s="46"/>
      <c r="U174" s="46"/>
      <c r="V174" s="46"/>
      <c r="W174" s="46"/>
      <c r="X174" s="46"/>
      <c r="Y174" s="47">
        <f>SUM(Q174:X174)</f>
        <v>0</v>
      </c>
      <c r="Z174" s="47">
        <f>+P174+Y174</f>
        <v>2181407370.0999999</v>
      </c>
      <c r="AA174" s="49">
        <f>+Z174/I174</f>
        <v>1</v>
      </c>
    </row>
    <row r="175" spans="1:27" ht="15.75" thickBot="1" x14ac:dyDescent="0.25">
      <c r="A175" s="8"/>
      <c r="B175" s="44"/>
      <c r="C175" s="44"/>
      <c r="D175" s="44"/>
      <c r="E175" s="44"/>
      <c r="F175" s="22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50"/>
    </row>
    <row r="176" spans="1:27" s="19" customFormat="1" ht="41.25" thickBot="1" x14ac:dyDescent="0.25">
      <c r="A176" s="41" t="s">
        <v>113</v>
      </c>
      <c r="B176" s="24">
        <f>+B119+B170+B172</f>
        <v>77274168719.459991</v>
      </c>
      <c r="C176" s="24">
        <f t="shared" ref="C176:Z176" si="33">+C119+C170+C172</f>
        <v>0</v>
      </c>
      <c r="D176" s="24">
        <f t="shared" si="33"/>
        <v>0</v>
      </c>
      <c r="E176" s="24">
        <f t="shared" si="33"/>
        <v>0</v>
      </c>
      <c r="F176" s="24">
        <f t="shared" si="33"/>
        <v>3300103952.7299995</v>
      </c>
      <c r="G176" s="24">
        <f t="shared" si="33"/>
        <v>0</v>
      </c>
      <c r="H176" s="24">
        <f t="shared" si="33"/>
        <v>0</v>
      </c>
      <c r="I176" s="24">
        <f t="shared" si="33"/>
        <v>73974064766.729996</v>
      </c>
      <c r="J176" s="24">
        <f t="shared" si="33"/>
        <v>0</v>
      </c>
      <c r="K176" s="24">
        <f t="shared" si="33"/>
        <v>66121034027.259995</v>
      </c>
      <c r="L176" s="24">
        <f t="shared" si="33"/>
        <v>2000000000</v>
      </c>
      <c r="M176" s="24">
        <f t="shared" si="33"/>
        <v>0</v>
      </c>
      <c r="N176" s="24">
        <f t="shared" si="33"/>
        <v>0</v>
      </c>
      <c r="O176" s="24">
        <f t="shared" si="33"/>
        <v>0</v>
      </c>
      <c r="P176" s="24">
        <f t="shared" si="33"/>
        <v>68121034027.259995</v>
      </c>
      <c r="Q176" s="24">
        <f t="shared" si="33"/>
        <v>-2723109584.3999991</v>
      </c>
      <c r="R176" s="24">
        <f t="shared" si="33"/>
        <v>0</v>
      </c>
      <c r="S176" s="24">
        <f t="shared" si="33"/>
        <v>0</v>
      </c>
      <c r="T176" s="24">
        <f t="shared" si="33"/>
        <v>0</v>
      </c>
      <c r="U176" s="24">
        <f t="shared" si="33"/>
        <v>0</v>
      </c>
      <c r="V176" s="24">
        <f t="shared" si="33"/>
        <v>-576994368.32999992</v>
      </c>
      <c r="W176" s="24">
        <f t="shared" si="33"/>
        <v>0</v>
      </c>
      <c r="X176" s="24">
        <f t="shared" si="33"/>
        <v>0</v>
      </c>
      <c r="Y176" s="24">
        <f t="shared" si="33"/>
        <v>-3300103952.7299995</v>
      </c>
      <c r="Z176" s="24">
        <f t="shared" si="33"/>
        <v>64820930074.529999</v>
      </c>
      <c r="AA176" s="51">
        <f>+Z176/I176</f>
        <v>0.87626562470152869</v>
      </c>
    </row>
    <row r="177" spans="1:27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</row>
    <row r="178" spans="1:27" x14ac:dyDescent="0.2">
      <c r="A178" s="38"/>
      <c r="B178" s="139"/>
      <c r="C178" s="20"/>
      <c r="D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35"/>
    </row>
    <row r="179" spans="1:27" x14ac:dyDescent="0.2">
      <c r="A179" s="38"/>
      <c r="B179" s="38"/>
      <c r="C179" s="38"/>
      <c r="D179" s="38"/>
      <c r="F179" s="20"/>
      <c r="G179" s="38"/>
      <c r="H179" s="38"/>
      <c r="I179" s="20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20"/>
      <c r="AA179" s="36"/>
    </row>
    <row r="180" spans="1:27" x14ac:dyDescent="0.2">
      <c r="A180" s="38"/>
      <c r="B180" s="38"/>
      <c r="C180" s="38"/>
      <c r="D180" s="38"/>
      <c r="F180" s="28"/>
      <c r="G180" s="28"/>
      <c r="H180" s="28"/>
      <c r="I180" s="2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6"/>
    </row>
    <row r="181" spans="1:27" x14ac:dyDescent="0.2">
      <c r="A181" s="38"/>
      <c r="B181" s="38"/>
      <c r="C181" s="38"/>
      <c r="D181" s="38"/>
      <c r="F181" s="28"/>
      <c r="G181" s="28"/>
      <c r="H181" s="28"/>
      <c r="I181" s="2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6"/>
    </row>
    <row r="182" spans="1:27" ht="15.75" x14ac:dyDescent="0.2">
      <c r="A182" s="442" t="s">
        <v>53</v>
      </c>
      <c r="B182" s="442"/>
      <c r="C182" s="442"/>
      <c r="D182" s="442"/>
      <c r="E182" s="442"/>
      <c r="F182" s="442"/>
      <c r="G182" s="442"/>
      <c r="H182" s="442"/>
      <c r="I182" s="442"/>
      <c r="J182" s="442"/>
      <c r="K182" s="442"/>
      <c r="L182" s="442"/>
      <c r="M182" s="442"/>
      <c r="N182" s="442"/>
      <c r="O182" s="442"/>
      <c r="P182" s="442"/>
      <c r="Q182" s="442"/>
      <c r="R182" s="442"/>
      <c r="S182" s="442"/>
      <c r="T182" s="442"/>
      <c r="U182" s="442"/>
      <c r="V182" s="442"/>
      <c r="W182" s="442"/>
      <c r="X182" s="442"/>
      <c r="Y182" s="442"/>
      <c r="Z182" s="442"/>
      <c r="AA182" s="442"/>
    </row>
    <row r="183" spans="1:27" x14ac:dyDescent="0.2">
      <c r="A183" s="441" t="s">
        <v>83</v>
      </c>
      <c r="B183" s="441"/>
      <c r="C183" s="441"/>
      <c r="D183" s="441"/>
      <c r="E183" s="441"/>
      <c r="F183" s="441"/>
      <c r="G183" s="441"/>
      <c r="H183" s="441"/>
      <c r="I183" s="441"/>
      <c r="J183" s="441"/>
      <c r="K183" s="441"/>
      <c r="L183" s="441"/>
      <c r="M183" s="441"/>
      <c r="N183" s="441"/>
      <c r="O183" s="441"/>
      <c r="P183" s="441"/>
      <c r="Q183" s="441"/>
      <c r="R183" s="441"/>
      <c r="S183" s="441"/>
      <c r="T183" s="441"/>
      <c r="U183" s="441"/>
      <c r="V183" s="441"/>
      <c r="W183" s="441"/>
      <c r="X183" s="441"/>
      <c r="Y183" s="441"/>
      <c r="Z183" s="441"/>
      <c r="AA183" s="441"/>
    </row>
  </sheetData>
  <mergeCells count="23">
    <mergeCell ref="A1:AA1"/>
    <mergeCell ref="C2:C3"/>
    <mergeCell ref="D2:D3"/>
    <mergeCell ref="E2:E3"/>
    <mergeCell ref="F2:F3"/>
    <mergeCell ref="G2:G3"/>
    <mergeCell ref="H2:H3"/>
    <mergeCell ref="J2:J3"/>
    <mergeCell ref="K2:K3"/>
    <mergeCell ref="L2:L3"/>
    <mergeCell ref="A183:AA183"/>
    <mergeCell ref="T2:T3"/>
    <mergeCell ref="U2:U3"/>
    <mergeCell ref="V2:V3"/>
    <mergeCell ref="W2:W3"/>
    <mergeCell ref="X2:X3"/>
    <mergeCell ref="A182:AA182"/>
    <mergeCell ref="M2:M3"/>
    <mergeCell ref="N2:N3"/>
    <mergeCell ref="O2:O3"/>
    <mergeCell ref="Q2:Q3"/>
    <mergeCell ref="R2:R3"/>
    <mergeCell ref="S2:S3"/>
  </mergeCells>
  <printOptions gridLines="1"/>
  <pageMargins left="1.3779527559055118" right="0" top="0.39370078740157483" bottom="0.78740157480314965" header="0.27559055118110237" footer="0.59055118110236227"/>
  <pageSetup paperSize="5" scale="60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FECHA: DICIEMBRE   2021  -  ELABORO: JOSE LUNA DURAN.
                       FUENTE: SISTEMA INTEGRADO GUANE (FUENTE GASTOS)
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DICIEMBRE  2021</vt:lpstr>
      <vt:lpstr>ADICIONES  2021</vt:lpstr>
      <vt:lpstr>EJECUTIVO DICIEMBRE  2021 </vt:lpstr>
      <vt:lpstr>RESERVA  DICIEMBRE DTO  83</vt:lpstr>
      <vt:lpstr>'DICIEMBRE  2021'!Títulos_a_imprimir</vt:lpstr>
      <vt:lpstr>'EJECUTIVO DICIEMBRE  2021 '!Títulos_a_imprimir</vt:lpstr>
      <vt:lpstr>'RESERVA  DICIEMBRE DTO  83'!Títulos_a_imprimir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desconocido</dc:creator>
  <cp:lastModifiedBy>Jose Luna Duran</cp:lastModifiedBy>
  <cp:lastPrinted>2022-01-31T22:03:05Z</cp:lastPrinted>
  <dcterms:created xsi:type="dcterms:W3CDTF">1999-08-24T16:07:02Z</dcterms:created>
  <dcterms:modified xsi:type="dcterms:W3CDTF">2022-02-04T19:29:35Z</dcterms:modified>
</cp:coreProperties>
</file>